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18.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xl/comments8.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date1904="1" showInkAnnotation="0" codeName="ThisWorkbook" autoCompressPictures="0"/>
  <mc:AlternateContent xmlns:mc="http://schemas.openxmlformats.org/markup-compatibility/2006">
    <mc:Choice Requires="x15">
      <x15ac:absPath xmlns:x15ac="http://schemas.microsoft.com/office/spreadsheetml/2010/11/ac" url="/Users/maymauseth/Alviss Consulting Dropbox/Tariff-Tracking July 2023/SA/SA Workbooks/Locked workbooks/"/>
    </mc:Choice>
  </mc:AlternateContent>
  <xr:revisionPtr revIDLastSave="0" documentId="13_ncr:1_{EF303747-C1A9-8849-BE8D-B716040ACC99}" xr6:coauthVersionLast="47" xr6:coauthVersionMax="47" xr10:uidLastSave="{00000000-0000-0000-0000-000000000000}"/>
  <workbookProtection workbookAlgorithmName="SHA-512" workbookHashValue="K9vUJcd2o29NJOKIdthoLUbqYnT5oqcIs6snQXDU/5KkkAfhItfByBnQ45yPEuL9vB0drKb6kbAABr5GY6xt7A==" workbookSaltValue="BXoaPy/6Aa8Zw7YgUgk43g==" workbookSpinCount="100000" lockStructure="1"/>
  <bookViews>
    <workbookView xWindow="0" yWindow="560" windowWidth="44800" windowHeight="20840" tabRatio="500" activeTab="1" xr2:uid="{00000000-000D-0000-FFFF-FFFF00000000}"/>
  </bookViews>
  <sheets>
    <sheet name="Summary" sheetId="1" r:id="rId1"/>
    <sheet name="Adelaide Bills Jul'23" sheetId="34" r:id="rId2"/>
    <sheet name="Non-Metro Bills Jul'23" sheetId="35" r:id="rId3"/>
    <sheet name="Adelaide Bills Jul'22" sheetId="31" r:id="rId4"/>
    <sheet name="Non-Metro Bills Jul'22" sheetId="32" r:id="rId5"/>
    <sheet name="Adelaide Bills Jul'21" sheetId="28" r:id="rId6"/>
    <sheet name="Non-Metro Bills Jul'21" sheetId="29" r:id="rId7"/>
    <sheet name="Adelaide Bills Jul'20" sheetId="25" r:id="rId8"/>
    <sheet name="Non-Metro Bills Jul'20" sheetId="26" r:id="rId9"/>
    <sheet name="Adelaide Bills Jul'19" sheetId="22" r:id="rId10"/>
    <sheet name="Non-Metro Bills Jul'19" sheetId="23" r:id="rId11"/>
    <sheet name="Adelaide Bills Jul'18" sheetId="20" r:id="rId12"/>
    <sheet name="Non-Metro Bills Jul'18" sheetId="19" r:id="rId13"/>
    <sheet name="Adelaide Bills Jul'17" sheetId="16" r:id="rId14"/>
    <sheet name="Non-Metro Bills Jul'17" sheetId="17" r:id="rId15"/>
    <sheet name="Adelaide Bills Jul'16" sheetId="13" r:id="rId16"/>
    <sheet name="Non-Metro Bills Jul'16" sheetId="14" r:id="rId17"/>
    <sheet name="Tariff Jul 2023" sheetId="33" state="hidden" r:id="rId18"/>
    <sheet name="Tariff Jul 2022" sheetId="30" state="hidden" r:id="rId19"/>
    <sheet name="Tariff Jul 2021" sheetId="27" state="hidden" r:id="rId20"/>
    <sheet name="Tariff Jul 2020" sheetId="24" state="hidden" r:id="rId21"/>
    <sheet name="Tariff Jul 2019" sheetId="21" state="hidden" r:id="rId22"/>
    <sheet name="Tariff Jul 2018" sheetId="18" state="hidden" r:id="rId23"/>
    <sheet name="Tariff Jul 2017" sheetId="15" state="hidden" r:id="rId24"/>
    <sheet name="Tariff Jul 2016" sheetId="12" state="hidden"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A44" i="34" l="1"/>
  <c r="A44" i="35" l="1"/>
  <c r="T44" i="35" s="1"/>
  <c r="B44" i="35"/>
  <c r="C44" i="35"/>
  <c r="E44" i="35"/>
  <c r="F44" i="35"/>
  <c r="G44" i="35"/>
  <c r="N44" i="35"/>
  <c r="O44" i="35"/>
  <c r="P44" i="35"/>
  <c r="Q44" i="35"/>
  <c r="AA44" i="35"/>
  <c r="AB44" i="35"/>
  <c r="A45" i="35"/>
  <c r="T45" i="35" s="1"/>
  <c r="B45" i="35"/>
  <c r="C45" i="35"/>
  <c r="E45" i="35"/>
  <c r="F45" i="35"/>
  <c r="G45" i="35"/>
  <c r="N45" i="35"/>
  <c r="O45" i="35"/>
  <c r="P45" i="35"/>
  <c r="Q45" i="35"/>
  <c r="AA45" i="35"/>
  <c r="AB45" i="35"/>
  <c r="A46" i="35"/>
  <c r="T46" i="35" s="1"/>
  <c r="B46" i="35"/>
  <c r="C46" i="35"/>
  <c r="E46" i="35"/>
  <c r="F46" i="35"/>
  <c r="G46" i="35"/>
  <c r="N46" i="35"/>
  <c r="O46" i="35"/>
  <c r="P46" i="35"/>
  <c r="Q46" i="35"/>
  <c r="AA46" i="35"/>
  <c r="AB46" i="35"/>
  <c r="A47" i="35"/>
  <c r="T47" i="35" s="1"/>
  <c r="B47" i="35"/>
  <c r="C47" i="35"/>
  <c r="E47" i="35"/>
  <c r="F47" i="35"/>
  <c r="G47" i="35"/>
  <c r="N47" i="35"/>
  <c r="O47" i="35"/>
  <c r="P47" i="35"/>
  <c r="Q47" i="35"/>
  <c r="AA47" i="35"/>
  <c r="AB47" i="35"/>
  <c r="A23" i="35"/>
  <c r="T23" i="35" s="1"/>
  <c r="B23" i="35"/>
  <c r="C23" i="35"/>
  <c r="E23" i="35"/>
  <c r="F23" i="35"/>
  <c r="I23" i="35"/>
  <c r="N23" i="35"/>
  <c r="O23" i="35"/>
  <c r="P23" i="35"/>
  <c r="Q23" i="35"/>
  <c r="AA23" i="35"/>
  <c r="AB23" i="35"/>
  <c r="A24" i="35"/>
  <c r="T24" i="35" s="1"/>
  <c r="B24" i="35"/>
  <c r="C24" i="35"/>
  <c r="E24" i="35"/>
  <c r="F24" i="35"/>
  <c r="I24" i="35"/>
  <c r="N24" i="35"/>
  <c r="O24" i="35"/>
  <c r="P24" i="35"/>
  <c r="Q24" i="35"/>
  <c r="AA24" i="35"/>
  <c r="AB24" i="35"/>
  <c r="A25" i="35"/>
  <c r="T25" i="35" s="1"/>
  <c r="B25" i="35"/>
  <c r="C25" i="35"/>
  <c r="E25" i="35"/>
  <c r="F25" i="35"/>
  <c r="I25" i="35"/>
  <c r="N25" i="35"/>
  <c r="O25" i="35"/>
  <c r="P25" i="35"/>
  <c r="Q25" i="35"/>
  <c r="AA25" i="35"/>
  <c r="AB25" i="35"/>
  <c r="A26" i="35"/>
  <c r="T26" i="35" s="1"/>
  <c r="B26" i="35"/>
  <c r="C26" i="35"/>
  <c r="E26" i="35"/>
  <c r="F26" i="35"/>
  <c r="I26" i="35"/>
  <c r="N26" i="35"/>
  <c r="O26" i="35"/>
  <c r="P26" i="35"/>
  <c r="Q26" i="35"/>
  <c r="AA26" i="35"/>
  <c r="AB26" i="35"/>
  <c r="A44" i="34"/>
  <c r="T44" i="34" s="1"/>
  <c r="B44" i="34"/>
  <c r="C44" i="34"/>
  <c r="E44" i="34"/>
  <c r="F44" i="34"/>
  <c r="G44" i="34"/>
  <c r="N44" i="34"/>
  <c r="O44" i="34"/>
  <c r="P44" i="34"/>
  <c r="Q44" i="34"/>
  <c r="AB44" i="34"/>
  <c r="A45" i="34"/>
  <c r="T45" i="34" s="1"/>
  <c r="B45" i="34"/>
  <c r="C45" i="34"/>
  <c r="E45" i="34"/>
  <c r="F45" i="34"/>
  <c r="G45" i="34"/>
  <c r="N45" i="34"/>
  <c r="O45" i="34"/>
  <c r="P45" i="34"/>
  <c r="Q45" i="34"/>
  <c r="AA45" i="34"/>
  <c r="AB45" i="34"/>
  <c r="A46" i="34"/>
  <c r="T46" i="34" s="1"/>
  <c r="B46" i="34"/>
  <c r="C46" i="34"/>
  <c r="E46" i="34"/>
  <c r="F46" i="34"/>
  <c r="G46" i="34"/>
  <c r="N46" i="34"/>
  <c r="O46" i="34"/>
  <c r="P46" i="34"/>
  <c r="Q46" i="34"/>
  <c r="AA46" i="34"/>
  <c r="AB46" i="34"/>
  <c r="A47" i="34"/>
  <c r="T47" i="34" s="1"/>
  <c r="B47" i="34"/>
  <c r="C47" i="34"/>
  <c r="E47" i="34"/>
  <c r="F47" i="34"/>
  <c r="G47" i="34"/>
  <c r="N47" i="34"/>
  <c r="O47" i="34"/>
  <c r="P47" i="34"/>
  <c r="Q47" i="34"/>
  <c r="AA47" i="34"/>
  <c r="AB47" i="34"/>
  <c r="A23" i="34"/>
  <c r="T23" i="34" s="1"/>
  <c r="B23" i="34"/>
  <c r="C23" i="34"/>
  <c r="E23" i="34"/>
  <c r="F23" i="34"/>
  <c r="I23" i="34"/>
  <c r="N23" i="34"/>
  <c r="O23" i="34"/>
  <c r="P23" i="34"/>
  <c r="Q23" i="34"/>
  <c r="AA23" i="34"/>
  <c r="AB23" i="34"/>
  <c r="A24" i="34"/>
  <c r="T24" i="34" s="1"/>
  <c r="B24" i="34"/>
  <c r="C24" i="34"/>
  <c r="E24" i="34"/>
  <c r="F24" i="34"/>
  <c r="I24" i="34"/>
  <c r="N24" i="34"/>
  <c r="O24" i="34"/>
  <c r="P24" i="34"/>
  <c r="Q24" i="34"/>
  <c r="AA24" i="34"/>
  <c r="AB24" i="34"/>
  <c r="A25" i="34"/>
  <c r="T25" i="34" s="1"/>
  <c r="B25" i="34"/>
  <c r="C25" i="34"/>
  <c r="E25" i="34"/>
  <c r="F25" i="34"/>
  <c r="I25" i="34"/>
  <c r="N25" i="34"/>
  <c r="O25" i="34"/>
  <c r="P25" i="34"/>
  <c r="Q25" i="34"/>
  <c r="AA25" i="34"/>
  <c r="AB25" i="34"/>
  <c r="A26" i="34"/>
  <c r="T26" i="34" s="1"/>
  <c r="B26" i="34"/>
  <c r="C26" i="34"/>
  <c r="E26" i="34"/>
  <c r="F26" i="34"/>
  <c r="I26" i="34"/>
  <c r="N26" i="34"/>
  <c r="O26" i="34"/>
  <c r="P26" i="34"/>
  <c r="Q26" i="34"/>
  <c r="AA26" i="34"/>
  <c r="AB26" i="34"/>
  <c r="AB43" i="35"/>
  <c r="AA43" i="35"/>
  <c r="Q43" i="35"/>
  <c r="P43" i="35"/>
  <c r="O43" i="35"/>
  <c r="N43" i="35"/>
  <c r="G43" i="35"/>
  <c r="F43" i="35"/>
  <c r="E43" i="35"/>
  <c r="C43" i="35"/>
  <c r="B43" i="35"/>
  <c r="A43" i="35"/>
  <c r="T43" i="35" s="1"/>
  <c r="AB42" i="35"/>
  <c r="AA42" i="35"/>
  <c r="Q42" i="35"/>
  <c r="P42" i="35"/>
  <c r="O42" i="35"/>
  <c r="N42" i="35"/>
  <c r="F42" i="35"/>
  <c r="E42" i="35"/>
  <c r="C42" i="35"/>
  <c r="B42" i="35"/>
  <c r="A42" i="35"/>
  <c r="T42" i="35" s="1"/>
  <c r="AB41" i="35"/>
  <c r="AA41" i="35"/>
  <c r="Q41" i="35"/>
  <c r="P41" i="35"/>
  <c r="O41" i="35"/>
  <c r="N41" i="35"/>
  <c r="F41" i="35"/>
  <c r="E41" i="35"/>
  <c r="C41" i="35"/>
  <c r="B41" i="35"/>
  <c r="A41" i="35"/>
  <c r="T41" i="35" s="1"/>
  <c r="AB40" i="35"/>
  <c r="AA40" i="35"/>
  <c r="Q40" i="35"/>
  <c r="P40" i="35"/>
  <c r="O40" i="35"/>
  <c r="N40" i="35"/>
  <c r="G40" i="35"/>
  <c r="F40" i="35"/>
  <c r="E40" i="35"/>
  <c r="C40" i="35"/>
  <c r="B40" i="35"/>
  <c r="A40" i="35"/>
  <c r="T40" i="35" s="1"/>
  <c r="AB39" i="35"/>
  <c r="AA39" i="35"/>
  <c r="Q39" i="35"/>
  <c r="P39" i="35"/>
  <c r="O39" i="35"/>
  <c r="N39" i="35"/>
  <c r="F39" i="35"/>
  <c r="E39" i="35"/>
  <c r="C39" i="35"/>
  <c r="B39" i="35"/>
  <c r="A39" i="35"/>
  <c r="T39" i="35" s="1"/>
  <c r="AB38" i="35"/>
  <c r="AA38" i="35"/>
  <c r="Q38" i="35"/>
  <c r="P38" i="35"/>
  <c r="O38" i="35"/>
  <c r="N38" i="35"/>
  <c r="G38" i="35"/>
  <c r="F38" i="35"/>
  <c r="E38" i="35"/>
  <c r="C38" i="35"/>
  <c r="B38" i="35"/>
  <c r="A38" i="35"/>
  <c r="T38" i="35" s="1"/>
  <c r="AB37" i="35"/>
  <c r="AA37" i="35"/>
  <c r="Q37" i="35"/>
  <c r="P37" i="35"/>
  <c r="O37" i="35"/>
  <c r="N37" i="35"/>
  <c r="G37" i="35"/>
  <c r="F37" i="35"/>
  <c r="E37" i="35"/>
  <c r="C37" i="35"/>
  <c r="B37" i="35"/>
  <c r="A37" i="35"/>
  <c r="T37" i="35" s="1"/>
  <c r="AB36" i="35"/>
  <c r="AA36" i="35"/>
  <c r="Q36" i="35"/>
  <c r="P36" i="35"/>
  <c r="O36" i="35"/>
  <c r="N36" i="35"/>
  <c r="F36" i="35"/>
  <c r="E36" i="35"/>
  <c r="C36" i="35"/>
  <c r="B36" i="35"/>
  <c r="A36" i="35"/>
  <c r="T36" i="35" s="1"/>
  <c r="AB35" i="35"/>
  <c r="AA35" i="35"/>
  <c r="Q35" i="35"/>
  <c r="P35" i="35"/>
  <c r="O35" i="35"/>
  <c r="N35" i="35"/>
  <c r="G35" i="35"/>
  <c r="F35" i="35"/>
  <c r="E35" i="35"/>
  <c r="C35" i="35"/>
  <c r="B35" i="35"/>
  <c r="A35" i="35"/>
  <c r="T35" i="35" s="1"/>
  <c r="AB34" i="35"/>
  <c r="AA34" i="35"/>
  <c r="Q34" i="35"/>
  <c r="P34" i="35"/>
  <c r="O34" i="35"/>
  <c r="N34" i="35"/>
  <c r="I34" i="35"/>
  <c r="G34" i="35"/>
  <c r="F34" i="35"/>
  <c r="E34" i="35"/>
  <c r="C34" i="35"/>
  <c r="B34" i="35"/>
  <c r="A34" i="35"/>
  <c r="T34" i="35" s="1"/>
  <c r="AB33" i="35"/>
  <c r="AA33" i="35"/>
  <c r="Q33" i="35"/>
  <c r="P33" i="35"/>
  <c r="O33" i="35"/>
  <c r="N33" i="35"/>
  <c r="C33" i="35"/>
  <c r="B33" i="35"/>
  <c r="A33" i="35"/>
  <c r="T33" i="35" s="1"/>
  <c r="AB32" i="35"/>
  <c r="AA32" i="35"/>
  <c r="Q32" i="35"/>
  <c r="P32" i="35"/>
  <c r="O32" i="35"/>
  <c r="N32" i="35"/>
  <c r="G32" i="35"/>
  <c r="F32" i="35"/>
  <c r="E32" i="35"/>
  <c r="C32" i="35"/>
  <c r="B32" i="35"/>
  <c r="A32" i="35"/>
  <c r="T32" i="35" s="1"/>
  <c r="AB31" i="35"/>
  <c r="AA31" i="35"/>
  <c r="Q31" i="35"/>
  <c r="P31" i="35"/>
  <c r="O31" i="35"/>
  <c r="N31" i="35"/>
  <c r="G31" i="35"/>
  <c r="F31" i="35"/>
  <c r="E31" i="35"/>
  <c r="C31" i="35"/>
  <c r="B31" i="35"/>
  <c r="A31" i="35"/>
  <c r="T31" i="35" s="1"/>
  <c r="AB22" i="35"/>
  <c r="AA22" i="35"/>
  <c r="Q22" i="35"/>
  <c r="P22" i="35"/>
  <c r="O22" i="35"/>
  <c r="N22" i="35"/>
  <c r="I22" i="35"/>
  <c r="F22" i="35"/>
  <c r="E22" i="35"/>
  <c r="C22" i="35"/>
  <c r="B22" i="35"/>
  <c r="A22" i="35"/>
  <c r="T22" i="35" s="1"/>
  <c r="AB21" i="35"/>
  <c r="AA21" i="35"/>
  <c r="Q21" i="35"/>
  <c r="P21" i="35"/>
  <c r="O21" i="35"/>
  <c r="N21" i="35"/>
  <c r="F21" i="35"/>
  <c r="E21" i="35"/>
  <c r="C21" i="35"/>
  <c r="B21" i="35"/>
  <c r="A21" i="35"/>
  <c r="T21" i="35" s="1"/>
  <c r="AB20" i="35"/>
  <c r="AA20" i="35"/>
  <c r="Q20" i="35"/>
  <c r="P20" i="35"/>
  <c r="O20" i="35"/>
  <c r="N20" i="35"/>
  <c r="I20" i="35"/>
  <c r="F20" i="35"/>
  <c r="E20" i="35"/>
  <c r="C20" i="35"/>
  <c r="B20" i="35"/>
  <c r="A20" i="35"/>
  <c r="T20" i="35" s="1"/>
  <c r="AB19" i="35"/>
  <c r="AA19" i="35"/>
  <c r="Q19" i="35"/>
  <c r="P19" i="35"/>
  <c r="O19" i="35"/>
  <c r="N19" i="35"/>
  <c r="I19" i="35"/>
  <c r="F19" i="35"/>
  <c r="E19" i="35"/>
  <c r="C19" i="35"/>
  <c r="B19" i="35"/>
  <c r="A19" i="35"/>
  <c r="T19" i="35" s="1"/>
  <c r="AB18" i="35"/>
  <c r="AA18" i="35"/>
  <c r="Q18" i="35"/>
  <c r="P18" i="35"/>
  <c r="O18" i="35"/>
  <c r="N18" i="35"/>
  <c r="F18" i="35"/>
  <c r="E18" i="35"/>
  <c r="C18" i="35"/>
  <c r="B18" i="35"/>
  <c r="A18" i="35"/>
  <c r="T18" i="35" s="1"/>
  <c r="AB17" i="35"/>
  <c r="AA17" i="35"/>
  <c r="Q17" i="35"/>
  <c r="P17" i="35"/>
  <c r="O17" i="35"/>
  <c r="N17" i="35"/>
  <c r="I17" i="35"/>
  <c r="F17" i="35"/>
  <c r="E17" i="35"/>
  <c r="C17" i="35"/>
  <c r="B17" i="35"/>
  <c r="A17" i="35"/>
  <c r="T17" i="35" s="1"/>
  <c r="AB16" i="35"/>
  <c r="AA16" i="35"/>
  <c r="Q16" i="35"/>
  <c r="P16" i="35"/>
  <c r="O16" i="35"/>
  <c r="N16" i="35"/>
  <c r="I16" i="35"/>
  <c r="F16" i="35"/>
  <c r="E16" i="35"/>
  <c r="C16" i="35"/>
  <c r="B16" i="35"/>
  <c r="A16" i="35"/>
  <c r="T16" i="35" s="1"/>
  <c r="AB15" i="35"/>
  <c r="AA15" i="35"/>
  <c r="Q15" i="35"/>
  <c r="P15" i="35"/>
  <c r="O15" i="35"/>
  <c r="N15" i="35"/>
  <c r="F15" i="35"/>
  <c r="E15" i="35"/>
  <c r="C15" i="35"/>
  <c r="B15" i="35"/>
  <c r="A15" i="35"/>
  <c r="T15" i="35" s="1"/>
  <c r="AB14" i="35"/>
  <c r="AA14" i="35"/>
  <c r="Q14" i="35"/>
  <c r="P14" i="35"/>
  <c r="O14" i="35"/>
  <c r="N14" i="35"/>
  <c r="I14" i="35"/>
  <c r="F14" i="35"/>
  <c r="E14" i="35"/>
  <c r="C14" i="35"/>
  <c r="B14" i="35"/>
  <c r="A14" i="35"/>
  <c r="T14" i="35" s="1"/>
  <c r="AB13" i="35"/>
  <c r="AA13" i="35"/>
  <c r="Q13" i="35"/>
  <c r="P13" i="35"/>
  <c r="O13" i="35"/>
  <c r="N13" i="35"/>
  <c r="I13" i="35"/>
  <c r="F13" i="35"/>
  <c r="E13" i="35"/>
  <c r="C13" i="35"/>
  <c r="B13" i="35"/>
  <c r="A13" i="35"/>
  <c r="T13" i="35" s="1"/>
  <c r="AB12" i="35"/>
  <c r="AA12" i="35"/>
  <c r="Q12" i="35"/>
  <c r="P12" i="35"/>
  <c r="O12" i="35"/>
  <c r="N12" i="35"/>
  <c r="C12" i="35"/>
  <c r="B12" i="35"/>
  <c r="A12" i="35"/>
  <c r="T12" i="35" s="1"/>
  <c r="AB11" i="35"/>
  <c r="AA11" i="35"/>
  <c r="Q11" i="35"/>
  <c r="P11" i="35"/>
  <c r="O11" i="35"/>
  <c r="N11" i="35"/>
  <c r="I11" i="35"/>
  <c r="F11" i="35"/>
  <c r="E11" i="35"/>
  <c r="C11" i="35"/>
  <c r="B11" i="35"/>
  <c r="A11" i="35"/>
  <c r="T11" i="35" s="1"/>
  <c r="AB10" i="35"/>
  <c r="AA10" i="35"/>
  <c r="Q10" i="35"/>
  <c r="P10" i="35"/>
  <c r="O10" i="35"/>
  <c r="N10" i="35"/>
  <c r="I10" i="35"/>
  <c r="F10" i="35"/>
  <c r="E10" i="35"/>
  <c r="C10" i="35"/>
  <c r="B10" i="35"/>
  <c r="A10" i="35"/>
  <c r="T10" i="35" s="1"/>
  <c r="AB43" i="34"/>
  <c r="AA43" i="34"/>
  <c r="Q43" i="34"/>
  <c r="P43" i="34"/>
  <c r="O43" i="34"/>
  <c r="N43" i="34"/>
  <c r="G43" i="34"/>
  <c r="F43" i="34"/>
  <c r="E43" i="34"/>
  <c r="C43" i="34"/>
  <c r="B43" i="34"/>
  <c r="A43" i="34"/>
  <c r="T43" i="34" s="1"/>
  <c r="AB42" i="34"/>
  <c r="AA42" i="34"/>
  <c r="Q42" i="34"/>
  <c r="P42" i="34"/>
  <c r="O42" i="34"/>
  <c r="N42" i="34"/>
  <c r="F42" i="34"/>
  <c r="E42" i="34"/>
  <c r="C42" i="34"/>
  <c r="B42" i="34"/>
  <c r="A42" i="34"/>
  <c r="T42" i="34" s="1"/>
  <c r="AB41" i="34"/>
  <c r="AA41" i="34"/>
  <c r="Q41" i="34"/>
  <c r="P41" i="34"/>
  <c r="O41" i="34"/>
  <c r="N41" i="34"/>
  <c r="F41" i="34"/>
  <c r="E41" i="34"/>
  <c r="C41" i="34"/>
  <c r="B41" i="34"/>
  <c r="A41" i="34"/>
  <c r="T41" i="34" s="1"/>
  <c r="AB40" i="34"/>
  <c r="AA40" i="34"/>
  <c r="Q40" i="34"/>
  <c r="P40" i="34"/>
  <c r="O40" i="34"/>
  <c r="N40" i="34"/>
  <c r="G40" i="34"/>
  <c r="F40" i="34"/>
  <c r="E40" i="34"/>
  <c r="C40" i="34"/>
  <c r="B40" i="34"/>
  <c r="A40" i="34"/>
  <c r="T40" i="34" s="1"/>
  <c r="AB39" i="34"/>
  <c r="AA39" i="34"/>
  <c r="Q39" i="34"/>
  <c r="P39" i="34"/>
  <c r="O39" i="34"/>
  <c r="N39" i="34"/>
  <c r="F39" i="34"/>
  <c r="E39" i="34"/>
  <c r="C39" i="34"/>
  <c r="B39" i="34"/>
  <c r="A39" i="34"/>
  <c r="T39" i="34" s="1"/>
  <c r="AB38" i="34"/>
  <c r="AA38" i="34"/>
  <c r="Q38" i="34"/>
  <c r="P38" i="34"/>
  <c r="O38" i="34"/>
  <c r="N38" i="34"/>
  <c r="G38" i="34"/>
  <c r="F38" i="34"/>
  <c r="E38" i="34"/>
  <c r="C38" i="34"/>
  <c r="B38" i="34"/>
  <c r="A38" i="34"/>
  <c r="T38" i="34" s="1"/>
  <c r="AB37" i="34"/>
  <c r="AA37" i="34"/>
  <c r="Q37" i="34"/>
  <c r="P37" i="34"/>
  <c r="O37" i="34"/>
  <c r="N37" i="34"/>
  <c r="G37" i="34"/>
  <c r="F37" i="34"/>
  <c r="E37" i="34"/>
  <c r="C37" i="34"/>
  <c r="B37" i="34"/>
  <c r="A37" i="34"/>
  <c r="T37" i="34" s="1"/>
  <c r="AB36" i="34"/>
  <c r="AA36" i="34"/>
  <c r="Q36" i="34"/>
  <c r="P36" i="34"/>
  <c r="O36" i="34"/>
  <c r="N36" i="34"/>
  <c r="F36" i="34"/>
  <c r="E36" i="34"/>
  <c r="C36" i="34"/>
  <c r="B36" i="34"/>
  <c r="A36" i="34"/>
  <c r="T36" i="34" s="1"/>
  <c r="AB35" i="34"/>
  <c r="AA35" i="34"/>
  <c r="Q35" i="34"/>
  <c r="P35" i="34"/>
  <c r="O35" i="34"/>
  <c r="N35" i="34"/>
  <c r="G35" i="34"/>
  <c r="F35" i="34"/>
  <c r="E35" i="34"/>
  <c r="C35" i="34"/>
  <c r="B35" i="34"/>
  <c r="A35" i="34"/>
  <c r="T35" i="34" s="1"/>
  <c r="AB34" i="34"/>
  <c r="AA34" i="34"/>
  <c r="Q34" i="34"/>
  <c r="P34" i="34"/>
  <c r="O34" i="34"/>
  <c r="N34" i="34"/>
  <c r="I34" i="34"/>
  <c r="G34" i="34"/>
  <c r="F34" i="34"/>
  <c r="E34" i="34"/>
  <c r="C34" i="34"/>
  <c r="B34" i="34"/>
  <c r="A34" i="34"/>
  <c r="T34" i="34" s="1"/>
  <c r="AB33" i="34"/>
  <c r="AA33" i="34"/>
  <c r="Q33" i="34"/>
  <c r="P33" i="34"/>
  <c r="O33" i="34"/>
  <c r="N33" i="34"/>
  <c r="C33" i="34"/>
  <c r="B33" i="34"/>
  <c r="A33" i="34"/>
  <c r="T33" i="34" s="1"/>
  <c r="AB32" i="34"/>
  <c r="AA32" i="34"/>
  <c r="Q32" i="34"/>
  <c r="P32" i="34"/>
  <c r="O32" i="34"/>
  <c r="N32" i="34"/>
  <c r="G32" i="34"/>
  <c r="F32" i="34"/>
  <c r="E32" i="34"/>
  <c r="C32" i="34"/>
  <c r="B32" i="34"/>
  <c r="A32" i="34"/>
  <c r="T32" i="34" s="1"/>
  <c r="AB31" i="34"/>
  <c r="AA31" i="34"/>
  <c r="Q31" i="34"/>
  <c r="P31" i="34"/>
  <c r="O31" i="34"/>
  <c r="N31" i="34"/>
  <c r="G31" i="34"/>
  <c r="F31" i="34"/>
  <c r="E31" i="34"/>
  <c r="C31" i="34"/>
  <c r="B31" i="34"/>
  <c r="A31" i="34"/>
  <c r="T31" i="34" s="1"/>
  <c r="AB22" i="34"/>
  <c r="AA22" i="34"/>
  <c r="Q22" i="34"/>
  <c r="P22" i="34"/>
  <c r="O22" i="34"/>
  <c r="N22" i="34"/>
  <c r="I22" i="34"/>
  <c r="F22" i="34"/>
  <c r="E22" i="34"/>
  <c r="C22" i="34"/>
  <c r="B22" i="34"/>
  <c r="A22" i="34"/>
  <c r="T22" i="34" s="1"/>
  <c r="AB21" i="34"/>
  <c r="AA21" i="34"/>
  <c r="Q21" i="34"/>
  <c r="P21" i="34"/>
  <c r="O21" i="34"/>
  <c r="N21" i="34"/>
  <c r="F21" i="34"/>
  <c r="E21" i="34"/>
  <c r="C21" i="34"/>
  <c r="B21" i="34"/>
  <c r="A21" i="34"/>
  <c r="T21" i="34" s="1"/>
  <c r="AB20" i="34"/>
  <c r="AA20" i="34"/>
  <c r="Q20" i="34"/>
  <c r="P20" i="34"/>
  <c r="O20" i="34"/>
  <c r="N20" i="34"/>
  <c r="I20" i="34"/>
  <c r="F20" i="34"/>
  <c r="E20" i="34"/>
  <c r="C20" i="34"/>
  <c r="B20" i="34"/>
  <c r="A20" i="34"/>
  <c r="T20" i="34" s="1"/>
  <c r="AB19" i="34"/>
  <c r="AA19" i="34"/>
  <c r="Q19" i="34"/>
  <c r="P19" i="34"/>
  <c r="O19" i="34"/>
  <c r="N19" i="34"/>
  <c r="I19" i="34"/>
  <c r="F19" i="34"/>
  <c r="E19" i="34"/>
  <c r="C19" i="34"/>
  <c r="B19" i="34"/>
  <c r="A19" i="34"/>
  <c r="AB18" i="34"/>
  <c r="AA18" i="34"/>
  <c r="Q18" i="34"/>
  <c r="P18" i="34"/>
  <c r="O18" i="34"/>
  <c r="N18" i="34"/>
  <c r="F18" i="34"/>
  <c r="E18" i="34"/>
  <c r="C18" i="34"/>
  <c r="B18" i="34"/>
  <c r="A18" i="34"/>
  <c r="T18" i="34" s="1"/>
  <c r="AB17" i="34"/>
  <c r="AA17" i="34"/>
  <c r="Q17" i="34"/>
  <c r="P17" i="34"/>
  <c r="O17" i="34"/>
  <c r="N17" i="34"/>
  <c r="I17" i="34"/>
  <c r="F17" i="34"/>
  <c r="E17" i="34"/>
  <c r="C17" i="34"/>
  <c r="B17" i="34"/>
  <c r="A17" i="34"/>
  <c r="T17" i="34" s="1"/>
  <c r="AB16" i="34"/>
  <c r="AA16" i="34"/>
  <c r="Q16" i="34"/>
  <c r="P16" i="34"/>
  <c r="O16" i="34"/>
  <c r="N16" i="34"/>
  <c r="I16" i="34"/>
  <c r="F16" i="34"/>
  <c r="E16" i="34"/>
  <c r="C16" i="34"/>
  <c r="B16" i="34"/>
  <c r="A16" i="34"/>
  <c r="T16" i="34" s="1"/>
  <c r="AB15" i="34"/>
  <c r="AA15" i="34"/>
  <c r="Q15" i="34"/>
  <c r="P15" i="34"/>
  <c r="O15" i="34"/>
  <c r="N15" i="34"/>
  <c r="F15" i="34"/>
  <c r="E15" i="34"/>
  <c r="C15" i="34"/>
  <c r="B15" i="34"/>
  <c r="A15" i="34"/>
  <c r="T15" i="34" s="1"/>
  <c r="AB14" i="34"/>
  <c r="AA14" i="34"/>
  <c r="Q14" i="34"/>
  <c r="P14" i="34"/>
  <c r="O14" i="34"/>
  <c r="N14" i="34"/>
  <c r="I14" i="34"/>
  <c r="F14" i="34"/>
  <c r="E14" i="34"/>
  <c r="C14" i="34"/>
  <c r="B14" i="34"/>
  <c r="A14" i="34"/>
  <c r="T14" i="34" s="1"/>
  <c r="AB13" i="34"/>
  <c r="AA13" i="34"/>
  <c r="Q13" i="34"/>
  <c r="P13" i="34"/>
  <c r="O13" i="34"/>
  <c r="N13" i="34"/>
  <c r="I13" i="34"/>
  <c r="F13" i="34"/>
  <c r="E13" i="34"/>
  <c r="C13" i="34"/>
  <c r="B13" i="34"/>
  <c r="A13" i="34"/>
  <c r="T13" i="34" s="1"/>
  <c r="AB12" i="34"/>
  <c r="AA12" i="34"/>
  <c r="Q12" i="34"/>
  <c r="P12" i="34"/>
  <c r="O12" i="34"/>
  <c r="N12" i="34"/>
  <c r="C12" i="34"/>
  <c r="B12" i="34"/>
  <c r="A12" i="34"/>
  <c r="T12" i="34" s="1"/>
  <c r="AB11" i="34"/>
  <c r="AA11" i="34"/>
  <c r="Q11" i="34"/>
  <c r="P11" i="34"/>
  <c r="O11" i="34"/>
  <c r="N11" i="34"/>
  <c r="I11" i="34"/>
  <c r="F11" i="34"/>
  <c r="E11" i="34"/>
  <c r="C11" i="34"/>
  <c r="B11" i="34"/>
  <c r="A11" i="34"/>
  <c r="T11" i="34" s="1"/>
  <c r="AB10" i="34"/>
  <c r="AA10" i="34"/>
  <c r="Q10" i="34"/>
  <c r="P10" i="34"/>
  <c r="O10" i="34"/>
  <c r="N10" i="34"/>
  <c r="I10" i="34"/>
  <c r="F10" i="34"/>
  <c r="E10" i="34"/>
  <c r="C10" i="34"/>
  <c r="B10" i="34"/>
  <c r="A10" i="34"/>
  <c r="T10" i="34" s="1"/>
  <c r="F4" i="35"/>
  <c r="F6" i="35" s="1"/>
  <c r="R41" i="35" s="1"/>
  <c r="T19" i="34"/>
  <c r="F4" i="34"/>
  <c r="B23" i="31"/>
  <c r="R47" i="35" l="1"/>
  <c r="R23" i="35"/>
  <c r="R24" i="35"/>
  <c r="R25" i="35"/>
  <c r="R26" i="35"/>
  <c r="R44" i="35"/>
  <c r="R45" i="35"/>
  <c r="R46" i="35"/>
  <c r="S26" i="35"/>
  <c r="S24" i="35"/>
  <c r="S44" i="35"/>
  <c r="S23" i="34"/>
  <c r="S46" i="34"/>
  <c r="S45" i="34"/>
  <c r="S47" i="34"/>
  <c r="S25" i="35"/>
  <c r="S34" i="35"/>
  <c r="S25" i="34"/>
  <c r="S23" i="35"/>
  <c r="S47" i="35"/>
  <c r="S26" i="34"/>
  <c r="S24" i="34"/>
  <c r="S44" i="34"/>
  <c r="S46" i="35"/>
  <c r="S45" i="35"/>
  <c r="S42" i="35"/>
  <c r="R38" i="35"/>
  <c r="R37" i="35"/>
  <c r="S15" i="35"/>
  <c r="R31" i="35"/>
  <c r="R35" i="35"/>
  <c r="R43" i="35"/>
  <c r="R32" i="35"/>
  <c r="R39" i="35"/>
  <c r="R34" i="35"/>
  <c r="R42" i="35"/>
  <c r="R10" i="35"/>
  <c r="R11" i="35"/>
  <c r="R12" i="35"/>
  <c r="R13" i="35"/>
  <c r="R14" i="35"/>
  <c r="R15" i="35"/>
  <c r="R16" i="35"/>
  <c r="R17" i="35"/>
  <c r="R18" i="35"/>
  <c r="R19" i="35"/>
  <c r="R20" i="35"/>
  <c r="R21" i="35"/>
  <c r="R22" i="35"/>
  <c r="R36" i="35"/>
  <c r="R33" i="35"/>
  <c r="R40" i="35"/>
  <c r="S16" i="34"/>
  <c r="S11" i="34"/>
  <c r="S12" i="34"/>
  <c r="S15" i="34"/>
  <c r="S19" i="34"/>
  <c r="S20" i="34"/>
  <c r="S35" i="35"/>
  <c r="S43" i="35"/>
  <c r="S41" i="34"/>
  <c r="S34" i="34"/>
  <c r="S42" i="34"/>
  <c r="S41" i="35"/>
  <c r="S37" i="34"/>
  <c r="S10" i="35"/>
  <c r="S11" i="35"/>
  <c r="S13" i="35"/>
  <c r="S14" i="35"/>
  <c r="S37" i="35"/>
  <c r="S38" i="35"/>
  <c r="S32" i="35"/>
  <c r="S39" i="35"/>
  <c r="S40" i="35"/>
  <c r="S32" i="34"/>
  <c r="S33" i="34"/>
  <c r="S38" i="34"/>
  <c r="S39" i="34"/>
  <c r="S40" i="34"/>
  <c r="S16" i="35"/>
  <c r="S19" i="35"/>
  <c r="S10" i="34"/>
  <c r="S13" i="34"/>
  <c r="S31" i="34"/>
  <c r="S35" i="34"/>
  <c r="S36" i="34"/>
  <c r="S43" i="34"/>
  <c r="S17" i="35"/>
  <c r="S18" i="35"/>
  <c r="S21" i="35"/>
  <c r="S22" i="35"/>
  <c r="S17" i="34"/>
  <c r="S18" i="34"/>
  <c r="S21" i="34"/>
  <c r="S22" i="34"/>
  <c r="S14" i="34"/>
  <c r="F5" i="35"/>
  <c r="S20" i="35"/>
  <c r="S31" i="35"/>
  <c r="S12" i="35"/>
  <c r="S33" i="35"/>
  <c r="S36" i="35"/>
  <c r="F6" i="34"/>
  <c r="F5" i="34" s="1"/>
  <c r="AD43" i="32"/>
  <c r="AC43" i="32"/>
  <c r="AB43" i="32"/>
  <c r="AA43" i="32"/>
  <c r="Q43" i="32"/>
  <c r="P43" i="32"/>
  <c r="O43" i="32"/>
  <c r="N43" i="32"/>
  <c r="G43" i="32"/>
  <c r="F43" i="32"/>
  <c r="E43" i="32"/>
  <c r="C43" i="32"/>
  <c r="B43" i="32"/>
  <c r="A43" i="32"/>
  <c r="T43" i="32" s="1"/>
  <c r="AD42" i="32"/>
  <c r="AC42" i="32"/>
  <c r="AB42" i="32"/>
  <c r="AA42" i="32"/>
  <c r="Q42" i="32"/>
  <c r="P42" i="32"/>
  <c r="O42" i="32"/>
  <c r="N42" i="32"/>
  <c r="S42" i="32" s="1"/>
  <c r="G42" i="32"/>
  <c r="F42" i="32"/>
  <c r="E42" i="32"/>
  <c r="C42" i="32"/>
  <c r="B42" i="32"/>
  <c r="A42" i="32"/>
  <c r="T42" i="32" s="1"/>
  <c r="AD41" i="32"/>
  <c r="AC41" i="32"/>
  <c r="AB41" i="32"/>
  <c r="AA41" i="32"/>
  <c r="Q41" i="32"/>
  <c r="P41" i="32"/>
  <c r="O41" i="32"/>
  <c r="N41" i="32"/>
  <c r="G41" i="32"/>
  <c r="F41" i="32"/>
  <c r="E41" i="32"/>
  <c r="C41" i="32"/>
  <c r="B41" i="32"/>
  <c r="A41" i="32"/>
  <c r="T41" i="32" s="1"/>
  <c r="AD40" i="32"/>
  <c r="AC40" i="32"/>
  <c r="AB40" i="32"/>
  <c r="AA40" i="32"/>
  <c r="Q40" i="32"/>
  <c r="P40" i="32"/>
  <c r="O40" i="32"/>
  <c r="N40" i="32"/>
  <c r="F40" i="32"/>
  <c r="E40" i="32"/>
  <c r="C40" i="32"/>
  <c r="B40" i="32"/>
  <c r="A40" i="32"/>
  <c r="T40" i="32" s="1"/>
  <c r="AD39" i="32"/>
  <c r="AC39" i="32"/>
  <c r="AB39" i="32"/>
  <c r="AA39" i="32"/>
  <c r="Q39" i="32"/>
  <c r="P39" i="32"/>
  <c r="O39" i="32"/>
  <c r="N39" i="32"/>
  <c r="F39" i="32"/>
  <c r="E39" i="32"/>
  <c r="C39" i="32"/>
  <c r="B39" i="32"/>
  <c r="A39" i="32"/>
  <c r="T39" i="32" s="1"/>
  <c r="AD38" i="32"/>
  <c r="AC38" i="32"/>
  <c r="AB38" i="32"/>
  <c r="AA38" i="32"/>
  <c r="Q38" i="32"/>
  <c r="P38" i="32"/>
  <c r="O38" i="32"/>
  <c r="N38" i="32"/>
  <c r="G38" i="32"/>
  <c r="F38" i="32"/>
  <c r="E38" i="32"/>
  <c r="C38" i="32"/>
  <c r="B38" i="32"/>
  <c r="A38" i="32"/>
  <c r="AD37" i="32"/>
  <c r="AC37" i="32"/>
  <c r="AB37" i="32"/>
  <c r="AA37" i="32"/>
  <c r="Q37" i="32"/>
  <c r="P37" i="32"/>
  <c r="O37" i="32"/>
  <c r="N37" i="32"/>
  <c r="F37" i="32"/>
  <c r="E37" i="32"/>
  <c r="C37" i="32"/>
  <c r="B37" i="32"/>
  <c r="A37" i="32"/>
  <c r="T37" i="32" s="1"/>
  <c r="AD36" i="32"/>
  <c r="AC36" i="32"/>
  <c r="AB36" i="32"/>
  <c r="AA36" i="32"/>
  <c r="Q36" i="32"/>
  <c r="P36" i="32"/>
  <c r="O36" i="32"/>
  <c r="N36" i="32"/>
  <c r="G36" i="32"/>
  <c r="F36" i="32"/>
  <c r="E36" i="32"/>
  <c r="C36" i="32"/>
  <c r="B36" i="32"/>
  <c r="A36" i="32"/>
  <c r="AD35" i="32"/>
  <c r="AC35" i="32"/>
  <c r="AB35" i="32"/>
  <c r="AA35" i="32"/>
  <c r="Q35" i="32"/>
  <c r="P35" i="32"/>
  <c r="O35" i="32"/>
  <c r="N35" i="32"/>
  <c r="G35" i="32"/>
  <c r="F35" i="32"/>
  <c r="E35" i="32"/>
  <c r="C35" i="32"/>
  <c r="B35" i="32"/>
  <c r="A35" i="32"/>
  <c r="T35" i="32" s="1"/>
  <c r="AD34" i="32"/>
  <c r="AC34" i="32"/>
  <c r="AB34" i="32"/>
  <c r="AA34" i="32"/>
  <c r="Q34" i="32"/>
  <c r="P34" i="32"/>
  <c r="O34" i="32"/>
  <c r="N34" i="32"/>
  <c r="F34" i="32"/>
  <c r="E34" i="32"/>
  <c r="C34" i="32"/>
  <c r="B34" i="32"/>
  <c r="A34" i="32"/>
  <c r="T34" i="32" s="1"/>
  <c r="AD33" i="32"/>
  <c r="AC33" i="32"/>
  <c r="AB33" i="32"/>
  <c r="AA33" i="32"/>
  <c r="Q33" i="32"/>
  <c r="P33" i="32"/>
  <c r="O33" i="32"/>
  <c r="N33" i="32"/>
  <c r="G33" i="32"/>
  <c r="F33" i="32"/>
  <c r="E33" i="32"/>
  <c r="C33" i="32"/>
  <c r="B33" i="32"/>
  <c r="A33" i="32"/>
  <c r="T33" i="32" s="1"/>
  <c r="AD32" i="32"/>
  <c r="AC32" i="32"/>
  <c r="AB32" i="32"/>
  <c r="AA32" i="32"/>
  <c r="Q32" i="32"/>
  <c r="P32" i="32"/>
  <c r="O32" i="32"/>
  <c r="N32" i="32"/>
  <c r="I32" i="32"/>
  <c r="G32" i="32"/>
  <c r="F32" i="32"/>
  <c r="E32" i="32"/>
  <c r="C32" i="32"/>
  <c r="B32" i="32"/>
  <c r="A32" i="32"/>
  <c r="T32" i="32" s="1"/>
  <c r="AD31" i="32"/>
  <c r="AC31" i="32"/>
  <c r="AB31" i="32"/>
  <c r="AA31" i="32"/>
  <c r="Q31" i="32"/>
  <c r="P31" i="32"/>
  <c r="O31" i="32"/>
  <c r="N31" i="32"/>
  <c r="C31" i="32"/>
  <c r="B31" i="32"/>
  <c r="A31" i="32"/>
  <c r="AD30" i="32"/>
  <c r="AC30" i="32"/>
  <c r="AB30" i="32"/>
  <c r="AA30" i="32"/>
  <c r="Q30" i="32"/>
  <c r="P30" i="32"/>
  <c r="O30" i="32"/>
  <c r="N30" i="32"/>
  <c r="G30" i="32"/>
  <c r="F30" i="32"/>
  <c r="E30" i="32"/>
  <c r="C30" i="32"/>
  <c r="B30" i="32"/>
  <c r="A30" i="32"/>
  <c r="T30" i="32" s="1"/>
  <c r="AD29" i="32"/>
  <c r="AC29" i="32"/>
  <c r="AB29" i="32"/>
  <c r="AA29" i="32"/>
  <c r="Q29" i="32"/>
  <c r="P29" i="32"/>
  <c r="O29" i="32"/>
  <c r="N29" i="32"/>
  <c r="G29" i="32"/>
  <c r="F29" i="32"/>
  <c r="E29" i="32"/>
  <c r="C29" i="32"/>
  <c r="B29" i="32"/>
  <c r="A29" i="32"/>
  <c r="T29" i="32" s="1"/>
  <c r="AD24" i="32"/>
  <c r="AC24" i="32"/>
  <c r="AB24" i="32"/>
  <c r="AA24" i="32"/>
  <c r="Q24" i="32"/>
  <c r="P24" i="32"/>
  <c r="O24" i="32"/>
  <c r="N24" i="32"/>
  <c r="I24" i="32"/>
  <c r="F24" i="32"/>
  <c r="E24" i="32"/>
  <c r="C24" i="32"/>
  <c r="B24" i="32"/>
  <c r="A24" i="32"/>
  <c r="AD23" i="32"/>
  <c r="AC23" i="32"/>
  <c r="AB23" i="32"/>
  <c r="AA23" i="32"/>
  <c r="Q23" i="32"/>
  <c r="P23" i="32"/>
  <c r="O23" i="32"/>
  <c r="N23" i="32"/>
  <c r="I23" i="32"/>
  <c r="F23" i="32"/>
  <c r="E23" i="32"/>
  <c r="C23" i="32"/>
  <c r="B23" i="32"/>
  <c r="A23" i="32"/>
  <c r="T23" i="32" s="1"/>
  <c r="AD22" i="32"/>
  <c r="AC22" i="32"/>
  <c r="AB22" i="32"/>
  <c r="AA22" i="32"/>
  <c r="Q22" i="32"/>
  <c r="P22" i="32"/>
  <c r="O22" i="32"/>
  <c r="N22" i="32"/>
  <c r="I22" i="32"/>
  <c r="F22" i="32"/>
  <c r="E22" i="32"/>
  <c r="C22" i="32"/>
  <c r="B22" i="32"/>
  <c r="A22" i="32"/>
  <c r="T22" i="32" s="1"/>
  <c r="AD21" i="32"/>
  <c r="AC21" i="32"/>
  <c r="AB21" i="32"/>
  <c r="AA21" i="32"/>
  <c r="Q21" i="32"/>
  <c r="P21" i="32"/>
  <c r="O21" i="32"/>
  <c r="N21" i="32"/>
  <c r="F21" i="32"/>
  <c r="E21" i="32"/>
  <c r="C21" i="32"/>
  <c r="B21" i="32"/>
  <c r="A21" i="32"/>
  <c r="AD20" i="32"/>
  <c r="AC20" i="32"/>
  <c r="AB20" i="32"/>
  <c r="AA20" i="32"/>
  <c r="Q20" i="32"/>
  <c r="P20" i="32"/>
  <c r="O20" i="32"/>
  <c r="N20" i="32"/>
  <c r="F20" i="32"/>
  <c r="E20" i="32"/>
  <c r="C20" i="32"/>
  <c r="B20" i="32"/>
  <c r="A20" i="32"/>
  <c r="AD19" i="32"/>
  <c r="AC19" i="32"/>
  <c r="AB19" i="32"/>
  <c r="AA19" i="32"/>
  <c r="Q19" i="32"/>
  <c r="P19" i="32"/>
  <c r="O19" i="32"/>
  <c r="N19" i="32"/>
  <c r="I19" i="32"/>
  <c r="F19" i="32"/>
  <c r="E19" i="32"/>
  <c r="C19" i="32"/>
  <c r="B19" i="32"/>
  <c r="A19" i="32"/>
  <c r="T19" i="32" s="1"/>
  <c r="AD18" i="32"/>
  <c r="AC18" i="32"/>
  <c r="AB18" i="32"/>
  <c r="AA18" i="32"/>
  <c r="Q18" i="32"/>
  <c r="P18" i="32"/>
  <c r="O18" i="32"/>
  <c r="N18" i="32"/>
  <c r="F18" i="32"/>
  <c r="E18" i="32"/>
  <c r="C18" i="32"/>
  <c r="B18" i="32"/>
  <c r="A18" i="32"/>
  <c r="T18" i="32" s="1"/>
  <c r="AD17" i="32"/>
  <c r="AC17" i="32"/>
  <c r="AB17" i="32"/>
  <c r="AA17" i="32"/>
  <c r="Q17" i="32"/>
  <c r="P17" i="32"/>
  <c r="O17" i="32"/>
  <c r="N17" i="32"/>
  <c r="I17" i="32"/>
  <c r="F17" i="32"/>
  <c r="E17" i="32"/>
  <c r="C17" i="32"/>
  <c r="B17" i="32"/>
  <c r="A17" i="32"/>
  <c r="T17" i="32" s="1"/>
  <c r="AD16" i="32"/>
  <c r="AC16" i="32"/>
  <c r="AB16" i="32"/>
  <c r="AA16" i="32"/>
  <c r="Q16" i="32"/>
  <c r="P16" i="32"/>
  <c r="O16" i="32"/>
  <c r="N16" i="32"/>
  <c r="I16" i="32"/>
  <c r="F16" i="32"/>
  <c r="E16" i="32"/>
  <c r="C16" i="32"/>
  <c r="B16" i="32"/>
  <c r="A16" i="32"/>
  <c r="AD15" i="32"/>
  <c r="AC15" i="32"/>
  <c r="AB15" i="32"/>
  <c r="AA15" i="32"/>
  <c r="Q15" i="32"/>
  <c r="P15" i="32"/>
  <c r="O15" i="32"/>
  <c r="N15" i="32"/>
  <c r="F15" i="32"/>
  <c r="E15" i="32"/>
  <c r="C15" i="32"/>
  <c r="B15" i="32"/>
  <c r="A15" i="32"/>
  <c r="AD14" i="32"/>
  <c r="AC14" i="32"/>
  <c r="AB14" i="32"/>
  <c r="AA14" i="32"/>
  <c r="Q14" i="32"/>
  <c r="P14" i="32"/>
  <c r="O14" i="32"/>
  <c r="N14" i="32"/>
  <c r="I14" i="32"/>
  <c r="F14" i="32"/>
  <c r="E14" i="32"/>
  <c r="C14" i="32"/>
  <c r="B14" i="32"/>
  <c r="A14" i="32"/>
  <c r="AD13" i="32"/>
  <c r="AC13" i="32"/>
  <c r="AB13" i="32"/>
  <c r="AA13" i="32"/>
  <c r="Q13" i="32"/>
  <c r="P13" i="32"/>
  <c r="O13" i="32"/>
  <c r="N13" i="32"/>
  <c r="I13" i="32"/>
  <c r="F13" i="32"/>
  <c r="E13" i="32"/>
  <c r="C13" i="32"/>
  <c r="B13" i="32"/>
  <c r="A13" i="32"/>
  <c r="T13" i="32" s="1"/>
  <c r="AD12" i="32"/>
  <c r="AC12" i="32"/>
  <c r="AB12" i="32"/>
  <c r="AA12" i="32"/>
  <c r="Q12" i="32"/>
  <c r="P12" i="32"/>
  <c r="O12" i="32"/>
  <c r="N12" i="32"/>
  <c r="C12" i="32"/>
  <c r="B12" i="32"/>
  <c r="A12" i="32"/>
  <c r="T12" i="32" s="1"/>
  <c r="AD11" i="32"/>
  <c r="AC11" i="32"/>
  <c r="AB11" i="32"/>
  <c r="AA11" i="32"/>
  <c r="Q11" i="32"/>
  <c r="P11" i="32"/>
  <c r="O11" i="32"/>
  <c r="N11" i="32"/>
  <c r="I11" i="32"/>
  <c r="F11" i="32"/>
  <c r="E11" i="32"/>
  <c r="C11" i="32"/>
  <c r="B11" i="32"/>
  <c r="A11" i="32"/>
  <c r="AD10" i="32"/>
  <c r="AC10" i="32"/>
  <c r="AB10" i="32"/>
  <c r="AA10" i="32"/>
  <c r="Q10" i="32"/>
  <c r="P10" i="32"/>
  <c r="O10" i="32"/>
  <c r="N10" i="32"/>
  <c r="I10" i="32"/>
  <c r="F10" i="32"/>
  <c r="E10" i="32"/>
  <c r="C10" i="32"/>
  <c r="B10" i="32"/>
  <c r="A10" i="32"/>
  <c r="T10" i="32" s="1"/>
  <c r="AD43" i="31"/>
  <c r="AC43" i="31"/>
  <c r="AB43" i="31"/>
  <c r="AA43" i="31"/>
  <c r="Q43" i="31"/>
  <c r="P43" i="31"/>
  <c r="O43" i="31"/>
  <c r="N43" i="31"/>
  <c r="G43" i="31"/>
  <c r="F43" i="31"/>
  <c r="E43" i="31"/>
  <c r="C43" i="31"/>
  <c r="B43" i="31"/>
  <c r="A43" i="31"/>
  <c r="T43" i="31" s="1"/>
  <c r="AD42" i="31"/>
  <c r="AC42" i="31"/>
  <c r="AB42" i="31"/>
  <c r="AA42" i="31"/>
  <c r="Q42" i="31"/>
  <c r="P42" i="31"/>
  <c r="O42" i="31"/>
  <c r="N42" i="31"/>
  <c r="G42" i="31"/>
  <c r="F42" i="31"/>
  <c r="E42" i="31"/>
  <c r="C42" i="31"/>
  <c r="B42" i="31"/>
  <c r="A42" i="31"/>
  <c r="T42" i="31" s="1"/>
  <c r="AD41" i="31"/>
  <c r="AC41" i="31"/>
  <c r="AB41" i="31"/>
  <c r="AA41" i="31"/>
  <c r="Q41" i="31"/>
  <c r="P41" i="31"/>
  <c r="O41" i="31"/>
  <c r="N41" i="31"/>
  <c r="G41" i="31"/>
  <c r="F41" i="31"/>
  <c r="E41" i="31"/>
  <c r="C41" i="31"/>
  <c r="B41" i="31"/>
  <c r="A41" i="31"/>
  <c r="T41" i="31" s="1"/>
  <c r="AD40" i="31"/>
  <c r="AC40" i="31"/>
  <c r="AB40" i="31"/>
  <c r="AA40" i="31"/>
  <c r="Q40" i="31"/>
  <c r="P40" i="31"/>
  <c r="O40" i="31"/>
  <c r="N40" i="31"/>
  <c r="F40" i="31"/>
  <c r="E40" i="31"/>
  <c r="C40" i="31"/>
  <c r="B40" i="31"/>
  <c r="A40" i="31"/>
  <c r="T40" i="31" s="1"/>
  <c r="AD39" i="31"/>
  <c r="AC39" i="31"/>
  <c r="AB39" i="31"/>
  <c r="AA39" i="31"/>
  <c r="Q39" i="31"/>
  <c r="P39" i="31"/>
  <c r="O39" i="31"/>
  <c r="N39" i="31"/>
  <c r="F39" i="31"/>
  <c r="E39" i="31"/>
  <c r="C39" i="31"/>
  <c r="B39" i="31"/>
  <c r="A39" i="31"/>
  <c r="T39" i="31" s="1"/>
  <c r="AD38" i="31"/>
  <c r="AC38" i="31"/>
  <c r="AB38" i="31"/>
  <c r="AA38" i="31"/>
  <c r="Q38" i="31"/>
  <c r="P38" i="31"/>
  <c r="O38" i="31"/>
  <c r="N38" i="31"/>
  <c r="G38" i="31"/>
  <c r="F38" i="31"/>
  <c r="E38" i="31"/>
  <c r="C38" i="31"/>
  <c r="B38" i="31"/>
  <c r="A38" i="31"/>
  <c r="T38" i="31" s="1"/>
  <c r="AD37" i="31"/>
  <c r="AC37" i="31"/>
  <c r="AB37" i="31"/>
  <c r="AA37" i="31"/>
  <c r="Q37" i="31"/>
  <c r="P37" i="31"/>
  <c r="O37" i="31"/>
  <c r="N37" i="31"/>
  <c r="F37" i="31"/>
  <c r="E37" i="31"/>
  <c r="C37" i="31"/>
  <c r="B37" i="31"/>
  <c r="A37" i="31"/>
  <c r="T37" i="31" s="1"/>
  <c r="AD36" i="31"/>
  <c r="AC36" i="31"/>
  <c r="AB36" i="31"/>
  <c r="AA36" i="31"/>
  <c r="Q36" i="31"/>
  <c r="P36" i="31"/>
  <c r="O36" i="31"/>
  <c r="N36" i="31"/>
  <c r="F36" i="31"/>
  <c r="E36" i="31"/>
  <c r="C36" i="31"/>
  <c r="B36" i="31"/>
  <c r="A36" i="31"/>
  <c r="T36" i="31" s="1"/>
  <c r="AD35" i="31"/>
  <c r="AC35" i="31"/>
  <c r="AB35" i="31"/>
  <c r="AA35" i="31"/>
  <c r="Q35" i="31"/>
  <c r="P35" i="31"/>
  <c r="O35" i="31"/>
  <c r="N35" i="31"/>
  <c r="G35" i="31"/>
  <c r="F35" i="31"/>
  <c r="E35" i="31"/>
  <c r="C35" i="31"/>
  <c r="B35" i="31"/>
  <c r="A35" i="31"/>
  <c r="T35" i="31" s="1"/>
  <c r="AD34" i="31"/>
  <c r="AC34" i="31"/>
  <c r="AB34" i="31"/>
  <c r="AA34" i="31"/>
  <c r="Q34" i="31"/>
  <c r="P34" i="31"/>
  <c r="O34" i="31"/>
  <c r="N34" i="31"/>
  <c r="F34" i="31"/>
  <c r="E34" i="31"/>
  <c r="C34" i="31"/>
  <c r="B34" i="31"/>
  <c r="A34" i="31"/>
  <c r="T34" i="31" s="1"/>
  <c r="AD33" i="31"/>
  <c r="AC33" i="31"/>
  <c r="AB33" i="31"/>
  <c r="AA33" i="31"/>
  <c r="Q33" i="31"/>
  <c r="P33" i="31"/>
  <c r="O33" i="31"/>
  <c r="N33" i="31"/>
  <c r="G33" i="31"/>
  <c r="F33" i="31"/>
  <c r="E33" i="31"/>
  <c r="C33" i="31"/>
  <c r="B33" i="31"/>
  <c r="A33" i="31"/>
  <c r="T33" i="31" s="1"/>
  <c r="AD32" i="31"/>
  <c r="AC32" i="31"/>
  <c r="AB32" i="31"/>
  <c r="AA32" i="31"/>
  <c r="Q32" i="31"/>
  <c r="P32" i="31"/>
  <c r="O32" i="31"/>
  <c r="N32" i="31"/>
  <c r="I32" i="31"/>
  <c r="G32" i="31"/>
  <c r="F32" i="31"/>
  <c r="E32" i="31"/>
  <c r="C32" i="31"/>
  <c r="B32" i="31"/>
  <c r="A32" i="31"/>
  <c r="T32" i="31" s="1"/>
  <c r="AD31" i="31"/>
  <c r="AC31" i="31"/>
  <c r="AB31" i="31"/>
  <c r="AA31" i="31"/>
  <c r="Q31" i="31"/>
  <c r="P31" i="31"/>
  <c r="O31" i="31"/>
  <c r="N31" i="31"/>
  <c r="C31" i="31"/>
  <c r="B31" i="31"/>
  <c r="A31" i="31"/>
  <c r="T31" i="31" s="1"/>
  <c r="AD30" i="31"/>
  <c r="AC30" i="31"/>
  <c r="AB30" i="31"/>
  <c r="AA30" i="31"/>
  <c r="Q30" i="31"/>
  <c r="P30" i="31"/>
  <c r="O30" i="31"/>
  <c r="N30" i="31"/>
  <c r="F30" i="31"/>
  <c r="E30" i="31"/>
  <c r="C30" i="31"/>
  <c r="B30" i="31"/>
  <c r="A30" i="31"/>
  <c r="T30" i="31" s="1"/>
  <c r="AD29" i="31"/>
  <c r="AC29" i="31"/>
  <c r="AB29" i="31"/>
  <c r="AA29" i="31"/>
  <c r="Q29" i="31"/>
  <c r="P29" i="31"/>
  <c r="O29" i="31"/>
  <c r="N29" i="31"/>
  <c r="G29" i="31"/>
  <c r="F29" i="31"/>
  <c r="E29" i="31"/>
  <c r="C29" i="31"/>
  <c r="B29" i="31"/>
  <c r="A29" i="31"/>
  <c r="T29" i="31" s="1"/>
  <c r="AD24" i="31"/>
  <c r="AC24" i="31"/>
  <c r="AB24" i="31"/>
  <c r="AA24" i="31"/>
  <c r="Q24" i="31"/>
  <c r="P24" i="31"/>
  <c r="O24" i="31"/>
  <c r="N24" i="31"/>
  <c r="I24" i="31"/>
  <c r="F24" i="31"/>
  <c r="E24" i="31"/>
  <c r="C24" i="31"/>
  <c r="B24" i="31"/>
  <c r="A24" i="31"/>
  <c r="T24" i="31" s="1"/>
  <c r="AD23" i="31"/>
  <c r="AC23" i="31"/>
  <c r="AB23" i="31"/>
  <c r="AA23" i="31"/>
  <c r="Q23" i="31"/>
  <c r="P23" i="31"/>
  <c r="O23" i="31"/>
  <c r="N23" i="31"/>
  <c r="I23" i="31"/>
  <c r="F23" i="31"/>
  <c r="E23" i="31"/>
  <c r="C23" i="31"/>
  <c r="A23" i="31"/>
  <c r="T23" i="31" s="1"/>
  <c r="AD22" i="31"/>
  <c r="AC22" i="31"/>
  <c r="AB22" i="31"/>
  <c r="AA22" i="31"/>
  <c r="Q22" i="31"/>
  <c r="P22" i="31"/>
  <c r="O22" i="31"/>
  <c r="N22" i="31"/>
  <c r="I22" i="31"/>
  <c r="F22" i="31"/>
  <c r="E22" i="31"/>
  <c r="C22" i="31"/>
  <c r="B22" i="31"/>
  <c r="A22" i="31"/>
  <c r="T22" i="31" s="1"/>
  <c r="AD21" i="31"/>
  <c r="AC21" i="31"/>
  <c r="AB21" i="31"/>
  <c r="AA21" i="31"/>
  <c r="Q21" i="31"/>
  <c r="P21" i="31"/>
  <c r="O21" i="31"/>
  <c r="N21" i="31"/>
  <c r="F21" i="31"/>
  <c r="E21" i="31"/>
  <c r="C21" i="31"/>
  <c r="B21" i="31"/>
  <c r="A21" i="31"/>
  <c r="T21" i="31" s="1"/>
  <c r="AD20" i="31"/>
  <c r="AC20" i="31"/>
  <c r="AB20" i="31"/>
  <c r="AA20" i="31"/>
  <c r="Q20" i="31"/>
  <c r="P20" i="31"/>
  <c r="O20" i="31"/>
  <c r="N20" i="31"/>
  <c r="F20" i="31"/>
  <c r="E20" i="31"/>
  <c r="C20" i="31"/>
  <c r="B20" i="31"/>
  <c r="A20" i="31"/>
  <c r="T20" i="31" s="1"/>
  <c r="AD19" i="31"/>
  <c r="AC19" i="31"/>
  <c r="AB19" i="31"/>
  <c r="AA19" i="31"/>
  <c r="Q19" i="31"/>
  <c r="P19" i="31"/>
  <c r="O19" i="31"/>
  <c r="N19" i="31"/>
  <c r="I19" i="31"/>
  <c r="F19" i="31"/>
  <c r="E19" i="31"/>
  <c r="C19" i="31"/>
  <c r="B19" i="31"/>
  <c r="A19" i="31"/>
  <c r="T19" i="31" s="1"/>
  <c r="AD18" i="31"/>
  <c r="AC18" i="31"/>
  <c r="AB18" i="31"/>
  <c r="AA18" i="31"/>
  <c r="Q18" i="31"/>
  <c r="P18" i="31"/>
  <c r="O18" i="31"/>
  <c r="N18" i="31"/>
  <c r="F18" i="31"/>
  <c r="E18" i="31"/>
  <c r="C18" i="31"/>
  <c r="B18" i="31"/>
  <c r="A18" i="31"/>
  <c r="T18" i="31" s="1"/>
  <c r="AD17" i="31"/>
  <c r="AC17" i="31"/>
  <c r="AB17" i="31"/>
  <c r="AA17" i="31"/>
  <c r="Q17" i="31"/>
  <c r="P17" i="31"/>
  <c r="O17" i="31"/>
  <c r="N17" i="31"/>
  <c r="F17" i="31"/>
  <c r="E17" i="31"/>
  <c r="C17" i="31"/>
  <c r="B17" i="31"/>
  <c r="A17" i="31"/>
  <c r="T17" i="31" s="1"/>
  <c r="AD16" i="31"/>
  <c r="AC16" i="31"/>
  <c r="AB16" i="31"/>
  <c r="AA16" i="31"/>
  <c r="Q16" i="31"/>
  <c r="P16" i="31"/>
  <c r="O16" i="31"/>
  <c r="N16" i="31"/>
  <c r="I16" i="31"/>
  <c r="F16" i="31"/>
  <c r="E16" i="31"/>
  <c r="C16" i="31"/>
  <c r="B16" i="31"/>
  <c r="A16" i="31"/>
  <c r="AD15" i="31"/>
  <c r="AC15" i="31"/>
  <c r="AB15" i="31"/>
  <c r="AA15" i="31"/>
  <c r="Q15" i="31"/>
  <c r="P15" i="31"/>
  <c r="O15" i="31"/>
  <c r="N15" i="31"/>
  <c r="F15" i="31"/>
  <c r="E15" i="31"/>
  <c r="C15" i="31"/>
  <c r="B15" i="31"/>
  <c r="A15" i="31"/>
  <c r="T15" i="31" s="1"/>
  <c r="AD14" i="31"/>
  <c r="AC14" i="31"/>
  <c r="AB14" i="31"/>
  <c r="AA14" i="31"/>
  <c r="Q14" i="31"/>
  <c r="P14" i="31"/>
  <c r="O14" i="31"/>
  <c r="N14" i="31"/>
  <c r="I14" i="31"/>
  <c r="F14" i="31"/>
  <c r="E14" i="31"/>
  <c r="C14" i="31"/>
  <c r="B14" i="31"/>
  <c r="A14" i="31"/>
  <c r="T14" i="31" s="1"/>
  <c r="AD13" i="31"/>
  <c r="AC13" i="31"/>
  <c r="AB13" i="31"/>
  <c r="AA13" i="31"/>
  <c r="Q13" i="31"/>
  <c r="P13" i="31"/>
  <c r="O13" i="31"/>
  <c r="N13" i="31"/>
  <c r="I13" i="31"/>
  <c r="F13" i="31"/>
  <c r="E13" i="31"/>
  <c r="C13" i="31"/>
  <c r="B13" i="31"/>
  <c r="A13" i="31"/>
  <c r="T13" i="31" s="1"/>
  <c r="AD12" i="31"/>
  <c r="AC12" i="31"/>
  <c r="AB12" i="31"/>
  <c r="AA12" i="31"/>
  <c r="Q12" i="31"/>
  <c r="P12" i="31"/>
  <c r="O12" i="31"/>
  <c r="N12" i="31"/>
  <c r="C12" i="31"/>
  <c r="B12" i="31"/>
  <c r="A12" i="31"/>
  <c r="T12" i="31" s="1"/>
  <c r="AD11" i="31"/>
  <c r="AC11" i="31"/>
  <c r="AB11" i="31"/>
  <c r="AA11" i="31"/>
  <c r="Q11" i="31"/>
  <c r="P11" i="31"/>
  <c r="O11" i="31"/>
  <c r="N11" i="31"/>
  <c r="F11" i="31"/>
  <c r="E11" i="31"/>
  <c r="C11" i="31"/>
  <c r="B11" i="31"/>
  <c r="A11" i="31"/>
  <c r="T11" i="31" s="1"/>
  <c r="AD10" i="31"/>
  <c r="AC10" i="31"/>
  <c r="AB10" i="31"/>
  <c r="AA10" i="31"/>
  <c r="Q10" i="31"/>
  <c r="P10" i="31"/>
  <c r="O10" i="31"/>
  <c r="N10" i="31"/>
  <c r="I10" i="31"/>
  <c r="F10" i="31"/>
  <c r="E10" i="31"/>
  <c r="C10" i="31"/>
  <c r="B10" i="31"/>
  <c r="A10" i="31"/>
  <c r="T10" i="31" s="1"/>
  <c r="S43" i="32"/>
  <c r="T38" i="32"/>
  <c r="T36" i="32"/>
  <c r="S35" i="32"/>
  <c r="T31" i="32"/>
  <c r="T24" i="32"/>
  <c r="T21" i="32"/>
  <c r="T20" i="32"/>
  <c r="T16" i="32"/>
  <c r="T15" i="32"/>
  <c r="T14" i="32"/>
  <c r="T11" i="32"/>
  <c r="F4" i="32"/>
  <c r="T16" i="31"/>
  <c r="F4" i="31"/>
  <c r="F6" i="31" s="1"/>
  <c r="AA63" i="28"/>
  <c r="A63" i="29"/>
  <c r="T63" i="29" s="1"/>
  <c r="B63" i="29"/>
  <c r="C63" i="29"/>
  <c r="E63" i="29"/>
  <c r="F63" i="29"/>
  <c r="G63" i="29"/>
  <c r="N63" i="29"/>
  <c r="O63" i="29"/>
  <c r="P63" i="29"/>
  <c r="Q63" i="29"/>
  <c r="AA63" i="29"/>
  <c r="AB63" i="29"/>
  <c r="AC63" i="29"/>
  <c r="AD63" i="29"/>
  <c r="A64" i="29"/>
  <c r="T64" i="29" s="1"/>
  <c r="B64" i="29"/>
  <c r="C64" i="29"/>
  <c r="E64" i="29"/>
  <c r="F64" i="29"/>
  <c r="G64" i="29"/>
  <c r="N64" i="29"/>
  <c r="O64" i="29"/>
  <c r="P64" i="29"/>
  <c r="Q64" i="29"/>
  <c r="AA64" i="29"/>
  <c r="AB64" i="29"/>
  <c r="AC64" i="29"/>
  <c r="AD64" i="29"/>
  <c r="A34" i="29"/>
  <c r="T34" i="29" s="1"/>
  <c r="B34" i="29"/>
  <c r="C34" i="29"/>
  <c r="E34" i="29"/>
  <c r="F34" i="29"/>
  <c r="I34" i="29"/>
  <c r="N34" i="29"/>
  <c r="O34" i="29"/>
  <c r="P34" i="29"/>
  <c r="Q34" i="29"/>
  <c r="AA34" i="29"/>
  <c r="AB34" i="29"/>
  <c r="AC34" i="29"/>
  <c r="AD34" i="29"/>
  <c r="A35" i="29"/>
  <c r="T35" i="29" s="1"/>
  <c r="B35" i="29"/>
  <c r="C35" i="29"/>
  <c r="E35" i="29"/>
  <c r="F35" i="29"/>
  <c r="I35" i="29"/>
  <c r="N35" i="29"/>
  <c r="O35" i="29"/>
  <c r="P35" i="29"/>
  <c r="Q35" i="29"/>
  <c r="AA35" i="29"/>
  <c r="AB35" i="29"/>
  <c r="AC35" i="29"/>
  <c r="AD35" i="29"/>
  <c r="C63" i="28"/>
  <c r="E63" i="28"/>
  <c r="F63" i="28"/>
  <c r="G63" i="28"/>
  <c r="N63" i="28"/>
  <c r="O63" i="28"/>
  <c r="P63" i="28"/>
  <c r="Q63" i="28"/>
  <c r="AB63" i="28"/>
  <c r="AC63" i="28"/>
  <c r="AD63" i="28"/>
  <c r="C64" i="28"/>
  <c r="E64" i="28"/>
  <c r="F64" i="28"/>
  <c r="G64" i="28"/>
  <c r="N64" i="28"/>
  <c r="O64" i="28"/>
  <c r="P64" i="28"/>
  <c r="Q64" i="28"/>
  <c r="AA64" i="28"/>
  <c r="AB64" i="28"/>
  <c r="AC64" i="28"/>
  <c r="AD64" i="28"/>
  <c r="A63" i="28"/>
  <c r="T63" i="28" s="1"/>
  <c r="B63" i="28"/>
  <c r="A64" i="28"/>
  <c r="T64" i="28" s="1"/>
  <c r="B64" i="28"/>
  <c r="C34" i="28"/>
  <c r="E34" i="28"/>
  <c r="F34" i="28"/>
  <c r="I34" i="28"/>
  <c r="N34" i="28"/>
  <c r="O34" i="28"/>
  <c r="P34" i="28"/>
  <c r="Q34" i="28"/>
  <c r="AA34" i="28"/>
  <c r="AB34" i="28"/>
  <c r="AC34" i="28"/>
  <c r="AD34" i="28"/>
  <c r="C35" i="28"/>
  <c r="E35" i="28"/>
  <c r="F35" i="28"/>
  <c r="I35" i="28"/>
  <c r="N35" i="28"/>
  <c r="O35" i="28"/>
  <c r="P35" i="28"/>
  <c r="Q35" i="28"/>
  <c r="AA35" i="28"/>
  <c r="AB35" i="28"/>
  <c r="AC35" i="28"/>
  <c r="AD35" i="28"/>
  <c r="A34" i="28"/>
  <c r="T34" i="28" s="1"/>
  <c r="B34" i="28"/>
  <c r="A35" i="28"/>
  <c r="T35" i="28" s="1"/>
  <c r="B35" i="28"/>
  <c r="AD62" i="29"/>
  <c r="AC62" i="29"/>
  <c r="AB62" i="29"/>
  <c r="AA62" i="29"/>
  <c r="Q62" i="29"/>
  <c r="P62" i="29"/>
  <c r="O62" i="29"/>
  <c r="N62" i="29"/>
  <c r="G62" i="29"/>
  <c r="F62" i="29"/>
  <c r="E62" i="29"/>
  <c r="C62" i="29"/>
  <c r="B62" i="29"/>
  <c r="A62" i="29"/>
  <c r="AD61" i="29"/>
  <c r="AC61" i="29"/>
  <c r="AB61" i="29"/>
  <c r="AA61" i="29"/>
  <c r="Q61" i="29"/>
  <c r="P61" i="29"/>
  <c r="O61" i="29"/>
  <c r="N61" i="29"/>
  <c r="G61" i="29"/>
  <c r="F61" i="29"/>
  <c r="E61" i="29"/>
  <c r="C61" i="29"/>
  <c r="B61" i="29"/>
  <c r="A61" i="29"/>
  <c r="AD60" i="29"/>
  <c r="AC60" i="29"/>
  <c r="AB60" i="29"/>
  <c r="AA60" i="29"/>
  <c r="Q60" i="29"/>
  <c r="P60" i="29"/>
  <c r="O60" i="29"/>
  <c r="N60" i="29"/>
  <c r="F60" i="29"/>
  <c r="E60" i="29"/>
  <c r="C60" i="29"/>
  <c r="B60" i="29"/>
  <c r="A60" i="29"/>
  <c r="AD59" i="29"/>
  <c r="AC59" i="29"/>
  <c r="AB59" i="29"/>
  <c r="AA59" i="29"/>
  <c r="Q59" i="29"/>
  <c r="P59" i="29"/>
  <c r="S59" i="29" s="1"/>
  <c r="O59" i="29"/>
  <c r="N59" i="29"/>
  <c r="G59" i="29"/>
  <c r="F59" i="29"/>
  <c r="E59" i="29"/>
  <c r="C59" i="29"/>
  <c r="B59" i="29"/>
  <c r="A59" i="29"/>
  <c r="T59" i="29" s="1"/>
  <c r="AD58" i="29"/>
  <c r="AC58" i="29"/>
  <c r="AB58" i="29"/>
  <c r="AA58" i="29"/>
  <c r="Q58" i="29"/>
  <c r="P58" i="29"/>
  <c r="O58" i="29"/>
  <c r="S58" i="29" s="1"/>
  <c r="N58" i="29"/>
  <c r="G58" i="29"/>
  <c r="F58" i="29"/>
  <c r="E58" i="29"/>
  <c r="C58" i="29"/>
  <c r="B58" i="29"/>
  <c r="A58" i="29"/>
  <c r="T58" i="29" s="1"/>
  <c r="AD57" i="29"/>
  <c r="AC57" i="29"/>
  <c r="AB57" i="29"/>
  <c r="AA57" i="29"/>
  <c r="Q57" i="29"/>
  <c r="P57" i="29"/>
  <c r="O57" i="29"/>
  <c r="N57" i="29"/>
  <c r="S57" i="29" s="1"/>
  <c r="G57" i="29"/>
  <c r="F57" i="29"/>
  <c r="E57" i="29"/>
  <c r="C57" i="29"/>
  <c r="B57" i="29"/>
  <c r="A57" i="29"/>
  <c r="AD56" i="29"/>
  <c r="AC56" i="29"/>
  <c r="AB56" i="29"/>
  <c r="AA56" i="29"/>
  <c r="Q56" i="29"/>
  <c r="P56" i="29"/>
  <c r="O56" i="29"/>
  <c r="N56" i="29"/>
  <c r="G56" i="29"/>
  <c r="F56" i="29"/>
  <c r="E56" i="29"/>
  <c r="C56" i="29"/>
  <c r="B56" i="29"/>
  <c r="A56" i="29"/>
  <c r="AD55" i="29"/>
  <c r="AC55" i="29"/>
  <c r="AB55" i="29"/>
  <c r="AA55" i="29"/>
  <c r="Q55" i="29"/>
  <c r="P55" i="29"/>
  <c r="S55" i="29" s="1"/>
  <c r="O55" i="29"/>
  <c r="N55" i="29"/>
  <c r="G55" i="29"/>
  <c r="F55" i="29"/>
  <c r="E55" i="29"/>
  <c r="C55" i="29"/>
  <c r="B55" i="29"/>
  <c r="A55" i="29"/>
  <c r="T55" i="29" s="1"/>
  <c r="AD54" i="29"/>
  <c r="AC54" i="29"/>
  <c r="AB54" i="29"/>
  <c r="AA54" i="29"/>
  <c r="Q54" i="29"/>
  <c r="P54" i="29"/>
  <c r="O54" i="29"/>
  <c r="N54" i="29"/>
  <c r="S54" i="29" s="1"/>
  <c r="G54" i="29"/>
  <c r="F54" i="29"/>
  <c r="E54" i="29"/>
  <c r="C54" i="29"/>
  <c r="B54" i="29"/>
  <c r="A54" i="29"/>
  <c r="T54" i="29" s="1"/>
  <c r="AD53" i="29"/>
  <c r="AC53" i="29"/>
  <c r="AB53" i="29"/>
  <c r="AA53" i="29"/>
  <c r="Q53" i="29"/>
  <c r="P53" i="29"/>
  <c r="O53" i="29"/>
  <c r="N53" i="29"/>
  <c r="S53" i="29" s="1"/>
  <c r="G53" i="29"/>
  <c r="F53" i="29"/>
  <c r="E53" i="29"/>
  <c r="C53" i="29"/>
  <c r="B53" i="29"/>
  <c r="A53" i="29"/>
  <c r="AD52" i="29"/>
  <c r="AC52" i="29"/>
  <c r="AB52" i="29"/>
  <c r="AA52" i="29"/>
  <c r="Q52" i="29"/>
  <c r="P52" i="29"/>
  <c r="O52" i="29"/>
  <c r="N52" i="29"/>
  <c r="G52" i="29"/>
  <c r="F52" i="29"/>
  <c r="E52" i="29"/>
  <c r="C52" i="29"/>
  <c r="B52" i="29"/>
  <c r="A52" i="29"/>
  <c r="AD51" i="29"/>
  <c r="AC51" i="29"/>
  <c r="AB51" i="29"/>
  <c r="AA51" i="29"/>
  <c r="Q51" i="29"/>
  <c r="S51" i="29" s="1"/>
  <c r="P51" i="29"/>
  <c r="O51" i="29"/>
  <c r="N51" i="29"/>
  <c r="F51" i="29"/>
  <c r="E51" i="29"/>
  <c r="C51" i="29"/>
  <c r="B51" i="29"/>
  <c r="A51" i="29"/>
  <c r="T51" i="29" s="1"/>
  <c r="AD50" i="29"/>
  <c r="AC50" i="29"/>
  <c r="AB50" i="29"/>
  <c r="AA50" i="29"/>
  <c r="Q50" i="29"/>
  <c r="P50" i="29"/>
  <c r="O50" i="29"/>
  <c r="N50" i="29"/>
  <c r="G50" i="29"/>
  <c r="F50" i="29"/>
  <c r="E50" i="29"/>
  <c r="C50" i="29"/>
  <c r="B50" i="29"/>
  <c r="A50" i="29"/>
  <c r="AD49" i="29"/>
  <c r="AC49" i="29"/>
  <c r="AB49" i="29"/>
  <c r="AA49" i="29"/>
  <c r="Q49" i="29"/>
  <c r="P49" i="29"/>
  <c r="O49" i="29"/>
  <c r="S49" i="29" s="1"/>
  <c r="N49" i="29"/>
  <c r="G49" i="29"/>
  <c r="F49" i="29"/>
  <c r="E49" i="29"/>
  <c r="C49" i="29"/>
  <c r="B49" i="29"/>
  <c r="A49" i="29"/>
  <c r="AD48" i="29"/>
  <c r="AC48" i="29"/>
  <c r="AB48" i="29"/>
  <c r="AA48" i="29"/>
  <c r="Q48" i="29"/>
  <c r="S48" i="29" s="1"/>
  <c r="P48" i="29"/>
  <c r="O48" i="29"/>
  <c r="N48" i="29"/>
  <c r="G48" i="29"/>
  <c r="F48" i="29"/>
  <c r="E48" i="29"/>
  <c r="C48" i="29"/>
  <c r="B48" i="29"/>
  <c r="A48" i="29"/>
  <c r="AD47" i="29"/>
  <c r="AC47" i="29"/>
  <c r="AB47" i="29"/>
  <c r="AA47" i="29"/>
  <c r="Q47" i="29"/>
  <c r="P47" i="29"/>
  <c r="O47" i="29"/>
  <c r="S47" i="29" s="1"/>
  <c r="N47" i="29"/>
  <c r="F47" i="29"/>
  <c r="E47" i="29"/>
  <c r="C47" i="29"/>
  <c r="B47" i="29"/>
  <c r="A47" i="29"/>
  <c r="T47" i="29" s="1"/>
  <c r="AD46" i="29"/>
  <c r="AC46" i="29"/>
  <c r="AB46" i="29"/>
  <c r="AA46" i="29"/>
  <c r="Q46" i="29"/>
  <c r="P46" i="29"/>
  <c r="O46" i="29"/>
  <c r="N46" i="29"/>
  <c r="G46" i="29"/>
  <c r="F46" i="29"/>
  <c r="E46" i="29"/>
  <c r="C46" i="29"/>
  <c r="B46" i="29"/>
  <c r="A46" i="29"/>
  <c r="AD45" i="29"/>
  <c r="AC45" i="29"/>
  <c r="AB45" i="29"/>
  <c r="AA45" i="29"/>
  <c r="Q45" i="29"/>
  <c r="P45" i="29"/>
  <c r="O45" i="29"/>
  <c r="N45" i="29"/>
  <c r="G45" i="29"/>
  <c r="F45" i="29"/>
  <c r="E45" i="29"/>
  <c r="C45" i="29"/>
  <c r="B45" i="29"/>
  <c r="A45" i="29"/>
  <c r="AD44" i="29"/>
  <c r="AC44" i="29"/>
  <c r="AB44" i="29"/>
  <c r="AA44" i="29"/>
  <c r="Q44" i="29"/>
  <c r="P44" i="29"/>
  <c r="S44" i="29" s="1"/>
  <c r="O44" i="29"/>
  <c r="N44" i="29"/>
  <c r="G44" i="29"/>
  <c r="F44" i="29"/>
  <c r="E44" i="29"/>
  <c r="C44" i="29"/>
  <c r="B44" i="29"/>
  <c r="A44" i="29"/>
  <c r="T44" i="29" s="1"/>
  <c r="AD43" i="29"/>
  <c r="AC43" i="29"/>
  <c r="AB43" i="29"/>
  <c r="AA43" i="29"/>
  <c r="Q43" i="29"/>
  <c r="P43" i="29"/>
  <c r="O43" i="29"/>
  <c r="N43" i="29"/>
  <c r="S43" i="29" s="1"/>
  <c r="I43" i="29"/>
  <c r="G43" i="29"/>
  <c r="F43" i="29"/>
  <c r="E43" i="29"/>
  <c r="C43" i="29"/>
  <c r="B43" i="29"/>
  <c r="A43" i="29"/>
  <c r="T43" i="29" s="1"/>
  <c r="AD42" i="29"/>
  <c r="AC42" i="29"/>
  <c r="AB42" i="29"/>
  <c r="AA42" i="29"/>
  <c r="Q42" i="29"/>
  <c r="P42" i="29"/>
  <c r="O42" i="29"/>
  <c r="N42" i="29"/>
  <c r="C42" i="29"/>
  <c r="B42" i="29"/>
  <c r="A42" i="29"/>
  <c r="AD41" i="29"/>
  <c r="AC41" i="29"/>
  <c r="AB41" i="29"/>
  <c r="AA41" i="29"/>
  <c r="Q41" i="29"/>
  <c r="P41" i="29"/>
  <c r="S41" i="29" s="1"/>
  <c r="O41" i="29"/>
  <c r="N41" i="29"/>
  <c r="F41" i="29"/>
  <c r="E41" i="29"/>
  <c r="C41" i="29"/>
  <c r="B41" i="29"/>
  <c r="A41" i="29"/>
  <c r="T41" i="29" s="1"/>
  <c r="AD40" i="29"/>
  <c r="AC40" i="29"/>
  <c r="AB40" i="29"/>
  <c r="AA40" i="29"/>
  <c r="Q40" i="29"/>
  <c r="P40" i="29"/>
  <c r="O40" i="29"/>
  <c r="N40" i="29"/>
  <c r="G40" i="29"/>
  <c r="F40" i="29"/>
  <c r="E40" i="29"/>
  <c r="C40" i="29"/>
  <c r="B40" i="29"/>
  <c r="A40" i="29"/>
  <c r="AD33" i="29"/>
  <c r="AC33" i="29"/>
  <c r="AB33" i="29"/>
  <c r="AA33" i="29"/>
  <c r="Q33" i="29"/>
  <c r="P33" i="29"/>
  <c r="O33" i="29"/>
  <c r="N33" i="29"/>
  <c r="I33" i="29"/>
  <c r="F33" i="29"/>
  <c r="E33" i="29"/>
  <c r="C33" i="29"/>
  <c r="B33" i="29"/>
  <c r="A33" i="29"/>
  <c r="AD32" i="29"/>
  <c r="AC32" i="29"/>
  <c r="AB32" i="29"/>
  <c r="AA32" i="29"/>
  <c r="Q32" i="29"/>
  <c r="S32" i="29" s="1"/>
  <c r="P32" i="29"/>
  <c r="O32" i="29"/>
  <c r="N32" i="29"/>
  <c r="I32" i="29"/>
  <c r="F32" i="29"/>
  <c r="E32" i="29"/>
  <c r="C32" i="29"/>
  <c r="B32" i="29"/>
  <c r="A32" i="29"/>
  <c r="AD31" i="29"/>
  <c r="AC31" i="29"/>
  <c r="AB31" i="29"/>
  <c r="AA31" i="29"/>
  <c r="Q31" i="29"/>
  <c r="P31" i="29"/>
  <c r="O31" i="29"/>
  <c r="S31" i="29" s="1"/>
  <c r="N31" i="29"/>
  <c r="F31" i="29"/>
  <c r="E31" i="29"/>
  <c r="C31" i="29"/>
  <c r="B31" i="29"/>
  <c r="A31" i="29"/>
  <c r="T31" i="29" s="1"/>
  <c r="AD30" i="29"/>
  <c r="AC30" i="29"/>
  <c r="AB30" i="29"/>
  <c r="AA30" i="29"/>
  <c r="Q30" i="29"/>
  <c r="P30" i="29"/>
  <c r="O30" i="29"/>
  <c r="N30" i="29"/>
  <c r="S30" i="29" s="1"/>
  <c r="I30" i="29"/>
  <c r="F30" i="29"/>
  <c r="E30" i="29"/>
  <c r="C30" i="29"/>
  <c r="B30" i="29"/>
  <c r="A30" i="29"/>
  <c r="T30" i="29" s="1"/>
  <c r="AD29" i="29"/>
  <c r="AC29" i="29"/>
  <c r="AB29" i="29"/>
  <c r="AA29" i="29"/>
  <c r="Q29" i="29"/>
  <c r="P29" i="29"/>
  <c r="O29" i="29"/>
  <c r="N29" i="29"/>
  <c r="I29" i="29"/>
  <c r="F29" i="29"/>
  <c r="E29" i="29"/>
  <c r="C29" i="29"/>
  <c r="B29" i="29"/>
  <c r="A29" i="29"/>
  <c r="AD28" i="29"/>
  <c r="AC28" i="29"/>
  <c r="AB28" i="29"/>
  <c r="AA28" i="29"/>
  <c r="Q28" i="29"/>
  <c r="P28" i="29"/>
  <c r="S28" i="29" s="1"/>
  <c r="O28" i="29"/>
  <c r="N28" i="29"/>
  <c r="I28" i="29"/>
  <c r="F28" i="29"/>
  <c r="E28" i="29"/>
  <c r="C28" i="29"/>
  <c r="B28" i="29"/>
  <c r="A28" i="29"/>
  <c r="T28" i="29" s="1"/>
  <c r="AD27" i="29"/>
  <c r="AC27" i="29"/>
  <c r="AB27" i="29"/>
  <c r="AA27" i="29"/>
  <c r="Q27" i="29"/>
  <c r="P27" i="29"/>
  <c r="O27" i="29"/>
  <c r="N27" i="29"/>
  <c r="S27" i="29" s="1"/>
  <c r="I27" i="29"/>
  <c r="F27" i="29"/>
  <c r="E27" i="29"/>
  <c r="C27" i="29"/>
  <c r="B27" i="29"/>
  <c r="A27" i="29"/>
  <c r="T27" i="29" s="1"/>
  <c r="AD26" i="29"/>
  <c r="AC26" i="29"/>
  <c r="AB26" i="29"/>
  <c r="AA26" i="29"/>
  <c r="Q26" i="29"/>
  <c r="P26" i="29"/>
  <c r="O26" i="29"/>
  <c r="N26" i="29"/>
  <c r="S26" i="29" s="1"/>
  <c r="I26" i="29"/>
  <c r="F26" i="29"/>
  <c r="E26" i="29"/>
  <c r="C26" i="29"/>
  <c r="B26" i="29"/>
  <c r="A26" i="29"/>
  <c r="T26" i="29" s="1"/>
  <c r="AD25" i="29"/>
  <c r="AC25" i="29"/>
  <c r="AB25" i="29"/>
  <c r="AA25" i="29"/>
  <c r="Q25" i="29"/>
  <c r="P25" i="29"/>
  <c r="O25" i="29"/>
  <c r="N25" i="29"/>
  <c r="I25" i="29"/>
  <c r="F25" i="29"/>
  <c r="E25" i="29"/>
  <c r="C25" i="29"/>
  <c r="B25" i="29"/>
  <c r="A25" i="29"/>
  <c r="AD24" i="29"/>
  <c r="AC24" i="29"/>
  <c r="AB24" i="29"/>
  <c r="AA24" i="29"/>
  <c r="Q24" i="29"/>
  <c r="P24" i="29"/>
  <c r="S24" i="29" s="1"/>
  <c r="O24" i="29"/>
  <c r="N24" i="29"/>
  <c r="I24" i="29"/>
  <c r="F24" i="29"/>
  <c r="E24" i="29"/>
  <c r="C24" i="29"/>
  <c r="B24" i="29"/>
  <c r="A24" i="29"/>
  <c r="T24" i="29" s="1"/>
  <c r="AD23" i="29"/>
  <c r="AC23" i="29"/>
  <c r="AB23" i="29"/>
  <c r="AA23" i="29"/>
  <c r="Q23" i="29"/>
  <c r="P23" i="29"/>
  <c r="O23" i="29"/>
  <c r="N23" i="29"/>
  <c r="S23" i="29" s="1"/>
  <c r="I23" i="29"/>
  <c r="F23" i="29"/>
  <c r="E23" i="29"/>
  <c r="C23" i="29"/>
  <c r="B23" i="29"/>
  <c r="A23" i="29"/>
  <c r="T23" i="29" s="1"/>
  <c r="AD22" i="29"/>
  <c r="AC22" i="29"/>
  <c r="AB22" i="29"/>
  <c r="AA22" i="29"/>
  <c r="Q22" i="29"/>
  <c r="P22" i="29"/>
  <c r="O22" i="29"/>
  <c r="N22" i="29"/>
  <c r="S22" i="29" s="1"/>
  <c r="I22" i="29"/>
  <c r="F22" i="29"/>
  <c r="E22" i="29"/>
  <c r="C22" i="29"/>
  <c r="B22" i="29"/>
  <c r="A22" i="29"/>
  <c r="T22" i="29" s="1"/>
  <c r="AD21" i="29"/>
  <c r="AC21" i="29"/>
  <c r="AB21" i="29"/>
  <c r="AA21" i="29"/>
  <c r="Q21" i="29"/>
  <c r="P21" i="29"/>
  <c r="O21" i="29"/>
  <c r="N21" i="29"/>
  <c r="F21" i="29"/>
  <c r="E21" i="29"/>
  <c r="C21" i="29"/>
  <c r="B21" i="29"/>
  <c r="A21" i="29"/>
  <c r="AD20" i="29"/>
  <c r="AC20" i="29"/>
  <c r="AB20" i="29"/>
  <c r="AA20" i="29"/>
  <c r="Q20" i="29"/>
  <c r="P20" i="29"/>
  <c r="O20" i="29"/>
  <c r="S20" i="29" s="1"/>
  <c r="N20" i="29"/>
  <c r="I20" i="29"/>
  <c r="F20" i="29"/>
  <c r="E20" i="29"/>
  <c r="C20" i="29"/>
  <c r="B20" i="29"/>
  <c r="A20" i="29"/>
  <c r="T20" i="29" s="1"/>
  <c r="AD19" i="29"/>
  <c r="AC19" i="29"/>
  <c r="AB19" i="29"/>
  <c r="AA19" i="29"/>
  <c r="Q19" i="29"/>
  <c r="P19" i="29"/>
  <c r="O19" i="29"/>
  <c r="N19" i="29"/>
  <c r="S19" i="29" s="1"/>
  <c r="I19" i="29"/>
  <c r="F19" i="29"/>
  <c r="E19" i="29"/>
  <c r="C19" i="29"/>
  <c r="B19" i="29"/>
  <c r="A19" i="29"/>
  <c r="T19" i="29" s="1"/>
  <c r="AD18" i="29"/>
  <c r="AC18" i="29"/>
  <c r="AB18" i="29"/>
  <c r="AA18" i="29"/>
  <c r="Q18" i="29"/>
  <c r="P18" i="29"/>
  <c r="O18" i="29"/>
  <c r="S18" i="29" s="1"/>
  <c r="N18" i="29"/>
  <c r="I18" i="29"/>
  <c r="F18" i="29"/>
  <c r="E18" i="29"/>
  <c r="C18" i="29"/>
  <c r="B18" i="29"/>
  <c r="A18" i="29"/>
  <c r="AD17" i="29"/>
  <c r="AC17" i="29"/>
  <c r="AB17" i="29"/>
  <c r="AA17" i="29"/>
  <c r="Q17" i="29"/>
  <c r="S17" i="29" s="1"/>
  <c r="P17" i="29"/>
  <c r="O17" i="29"/>
  <c r="N17" i="29"/>
  <c r="F17" i="29"/>
  <c r="E17" i="29"/>
  <c r="C17" i="29"/>
  <c r="B17" i="29"/>
  <c r="A17" i="29"/>
  <c r="T17" i="29" s="1"/>
  <c r="AD16" i="29"/>
  <c r="AC16" i="29"/>
  <c r="AB16" i="29"/>
  <c r="AA16" i="29"/>
  <c r="Q16" i="29"/>
  <c r="P16" i="29"/>
  <c r="O16" i="29"/>
  <c r="N16" i="29"/>
  <c r="S16" i="29" s="1"/>
  <c r="I16" i="29"/>
  <c r="F16" i="29"/>
  <c r="E16" i="29"/>
  <c r="C16" i="29"/>
  <c r="B16" i="29"/>
  <c r="A16" i="29"/>
  <c r="T16" i="29" s="1"/>
  <c r="AD15" i="29"/>
  <c r="AC15" i="29"/>
  <c r="AB15" i="29"/>
  <c r="AA15" i="29"/>
  <c r="Q15" i="29"/>
  <c r="P15" i="29"/>
  <c r="O15" i="29"/>
  <c r="N15" i="29"/>
  <c r="S15" i="29" s="1"/>
  <c r="I15" i="29"/>
  <c r="F15" i="29"/>
  <c r="E15" i="29"/>
  <c r="C15" i="29"/>
  <c r="B15" i="29"/>
  <c r="A15" i="29"/>
  <c r="AD14" i="29"/>
  <c r="AC14" i="29"/>
  <c r="AB14" i="29"/>
  <c r="AA14" i="29"/>
  <c r="Q14" i="29"/>
  <c r="P14" i="29"/>
  <c r="O14" i="29"/>
  <c r="N14" i="29"/>
  <c r="S14" i="29" s="1"/>
  <c r="I14" i="29"/>
  <c r="F14" i="29"/>
  <c r="E14" i="29"/>
  <c r="C14" i="29"/>
  <c r="B14" i="29"/>
  <c r="A14" i="29"/>
  <c r="AD13" i="29"/>
  <c r="AC13" i="29"/>
  <c r="AB13" i="29"/>
  <c r="AA13" i="29"/>
  <c r="Q13" i="29"/>
  <c r="P13" i="29"/>
  <c r="S13" i="29" s="1"/>
  <c r="O13" i="29"/>
  <c r="N13" i="29"/>
  <c r="I13" i="29"/>
  <c r="F13" i="29"/>
  <c r="E13" i="29"/>
  <c r="C13" i="29"/>
  <c r="B13" i="29"/>
  <c r="A13" i="29"/>
  <c r="T13" i="29" s="1"/>
  <c r="AD12" i="29"/>
  <c r="AC12" i="29"/>
  <c r="AB12" i="29"/>
  <c r="AA12" i="29"/>
  <c r="Q12" i="29"/>
  <c r="P12" i="29"/>
  <c r="O12" i="29"/>
  <c r="N12" i="29"/>
  <c r="S12" i="29" s="1"/>
  <c r="C12" i="29"/>
  <c r="B12" i="29"/>
  <c r="A12" i="29"/>
  <c r="AD11" i="29"/>
  <c r="AC11" i="29"/>
  <c r="AB11" i="29"/>
  <c r="AA11" i="29"/>
  <c r="Q11" i="29"/>
  <c r="P11" i="29"/>
  <c r="O11" i="29"/>
  <c r="N11" i="29"/>
  <c r="F11" i="29"/>
  <c r="E11" i="29"/>
  <c r="C11" i="29"/>
  <c r="B11" i="29"/>
  <c r="A11" i="29"/>
  <c r="T11" i="29" s="1"/>
  <c r="AD10" i="29"/>
  <c r="AC10" i="29"/>
  <c r="AB10" i="29"/>
  <c r="AA10" i="29"/>
  <c r="Q10" i="29"/>
  <c r="P10" i="29"/>
  <c r="O10" i="29"/>
  <c r="N10" i="29"/>
  <c r="I10" i="29"/>
  <c r="F10" i="29"/>
  <c r="E10" i="29"/>
  <c r="C10" i="29"/>
  <c r="B10" i="29"/>
  <c r="A10" i="29"/>
  <c r="T10" i="29" s="1"/>
  <c r="T62" i="29"/>
  <c r="S62" i="29"/>
  <c r="T61" i="29"/>
  <c r="S60" i="29"/>
  <c r="T60" i="29"/>
  <c r="T57" i="29"/>
  <c r="S56" i="29"/>
  <c r="T56" i="29"/>
  <c r="T53" i="29"/>
  <c r="S52" i="29"/>
  <c r="T52" i="29"/>
  <c r="T50" i="29"/>
  <c r="T49" i="29"/>
  <c r="T48" i="29"/>
  <c r="T46" i="29"/>
  <c r="S45" i="29"/>
  <c r="T45" i="29"/>
  <c r="T42" i="29"/>
  <c r="T40" i="29"/>
  <c r="S33" i="29"/>
  <c r="T33" i="29"/>
  <c r="T32" i="29"/>
  <c r="S29" i="29"/>
  <c r="T29" i="29"/>
  <c r="S25" i="29"/>
  <c r="T25" i="29"/>
  <c r="S21" i="29"/>
  <c r="T21" i="29"/>
  <c r="T18" i="29"/>
  <c r="T15" i="29"/>
  <c r="T14" i="29"/>
  <c r="T12" i="29"/>
  <c r="F4" i="29"/>
  <c r="F6" i="29" s="1"/>
  <c r="AD62" i="28"/>
  <c r="AC62" i="28"/>
  <c r="AB62" i="28"/>
  <c r="AA62" i="28"/>
  <c r="Q62" i="28"/>
  <c r="P62" i="28"/>
  <c r="O62" i="28"/>
  <c r="N62" i="28"/>
  <c r="G62" i="28"/>
  <c r="F62" i="28"/>
  <c r="E62" i="28"/>
  <c r="C62" i="28"/>
  <c r="B62" i="28"/>
  <c r="A62" i="28"/>
  <c r="AD61" i="28"/>
  <c r="AC61" i="28"/>
  <c r="AB61" i="28"/>
  <c r="AA61" i="28"/>
  <c r="Q61" i="28"/>
  <c r="P61" i="28"/>
  <c r="O61" i="28"/>
  <c r="N61" i="28"/>
  <c r="G61" i="28"/>
  <c r="F61" i="28"/>
  <c r="E61" i="28"/>
  <c r="C61" i="28"/>
  <c r="B61" i="28"/>
  <c r="A61" i="28"/>
  <c r="T61" i="28" s="1"/>
  <c r="AD60" i="28"/>
  <c r="AC60" i="28"/>
  <c r="AB60" i="28"/>
  <c r="AA60" i="28"/>
  <c r="Q60" i="28"/>
  <c r="P60" i="28"/>
  <c r="O60" i="28"/>
  <c r="N60" i="28"/>
  <c r="F60" i="28"/>
  <c r="E60" i="28"/>
  <c r="C60" i="28"/>
  <c r="B60" i="28"/>
  <c r="A60" i="28"/>
  <c r="T60" i="28" s="1"/>
  <c r="AD59" i="28"/>
  <c r="AC59" i="28"/>
  <c r="AB59" i="28"/>
  <c r="AA59" i="28"/>
  <c r="Q59" i="28"/>
  <c r="P59" i="28"/>
  <c r="O59" i="28"/>
  <c r="N59" i="28"/>
  <c r="G59" i="28"/>
  <c r="F59" i="28"/>
  <c r="E59" i="28"/>
  <c r="C59" i="28"/>
  <c r="B59" i="28"/>
  <c r="A59" i="28"/>
  <c r="T59" i="28" s="1"/>
  <c r="AD58" i="28"/>
  <c r="AC58" i="28"/>
  <c r="AB58" i="28"/>
  <c r="AA58" i="28"/>
  <c r="Q58" i="28"/>
  <c r="P58" i="28"/>
  <c r="O58" i="28"/>
  <c r="N58" i="28"/>
  <c r="G58" i="28"/>
  <c r="F58" i="28"/>
  <c r="E58" i="28"/>
  <c r="C58" i="28"/>
  <c r="B58" i="28"/>
  <c r="A58" i="28"/>
  <c r="T58" i="28" s="1"/>
  <c r="AD57" i="28"/>
  <c r="AC57" i="28"/>
  <c r="AB57" i="28"/>
  <c r="AA57" i="28"/>
  <c r="Q57" i="28"/>
  <c r="P57" i="28"/>
  <c r="O57" i="28"/>
  <c r="N57" i="28"/>
  <c r="G57" i="28"/>
  <c r="F57" i="28"/>
  <c r="E57" i="28"/>
  <c r="C57" i="28"/>
  <c r="B57" i="28"/>
  <c r="A57" i="28"/>
  <c r="T57" i="28" s="1"/>
  <c r="AD56" i="28"/>
  <c r="AC56" i="28"/>
  <c r="AB56" i="28"/>
  <c r="AA56" i="28"/>
  <c r="Q56" i="28"/>
  <c r="P56" i="28"/>
  <c r="O56" i="28"/>
  <c r="N56" i="28"/>
  <c r="G56" i="28"/>
  <c r="F56" i="28"/>
  <c r="E56" i="28"/>
  <c r="C56" i="28"/>
  <c r="B56" i="28"/>
  <c r="A56" i="28"/>
  <c r="T56" i="28" s="1"/>
  <c r="AD55" i="28"/>
  <c r="AC55" i="28"/>
  <c r="AB55" i="28"/>
  <c r="AA55" i="28"/>
  <c r="Q55" i="28"/>
  <c r="P55" i="28"/>
  <c r="O55" i="28"/>
  <c r="N55" i="28"/>
  <c r="G55" i="28"/>
  <c r="F55" i="28"/>
  <c r="E55" i="28"/>
  <c r="C55" i="28"/>
  <c r="B55" i="28"/>
  <c r="A55" i="28"/>
  <c r="T55" i="28" s="1"/>
  <c r="AD54" i="28"/>
  <c r="AC54" i="28"/>
  <c r="AB54" i="28"/>
  <c r="AA54" i="28"/>
  <c r="Q54" i="28"/>
  <c r="P54" i="28"/>
  <c r="O54" i="28"/>
  <c r="N54" i="28"/>
  <c r="G54" i="28"/>
  <c r="F54" i="28"/>
  <c r="E54" i="28"/>
  <c r="C54" i="28"/>
  <c r="B54" i="28"/>
  <c r="A54" i="28"/>
  <c r="T54" i="28" s="1"/>
  <c r="AD53" i="28"/>
  <c r="AC53" i="28"/>
  <c r="AB53" i="28"/>
  <c r="AA53" i="28"/>
  <c r="Q53" i="28"/>
  <c r="P53" i="28"/>
  <c r="O53" i="28"/>
  <c r="N53" i="28"/>
  <c r="G53" i="28"/>
  <c r="F53" i="28"/>
  <c r="E53" i="28"/>
  <c r="C53" i="28"/>
  <c r="B53" i="28"/>
  <c r="A53" i="28"/>
  <c r="T53" i="28" s="1"/>
  <c r="AD52" i="28"/>
  <c r="AC52" i="28"/>
  <c r="AB52" i="28"/>
  <c r="AA52" i="28"/>
  <c r="Q52" i="28"/>
  <c r="P52" i="28"/>
  <c r="O52" i="28"/>
  <c r="N52" i="28"/>
  <c r="G52" i="28"/>
  <c r="F52" i="28"/>
  <c r="E52" i="28"/>
  <c r="C52" i="28"/>
  <c r="B52" i="28"/>
  <c r="A52" i="28"/>
  <c r="T52" i="28" s="1"/>
  <c r="AD51" i="28"/>
  <c r="AC51" i="28"/>
  <c r="AB51" i="28"/>
  <c r="AA51" i="28"/>
  <c r="Q51" i="28"/>
  <c r="P51" i="28"/>
  <c r="O51" i="28"/>
  <c r="N51" i="28"/>
  <c r="F51" i="28"/>
  <c r="E51" i="28"/>
  <c r="C51" i="28"/>
  <c r="B51" i="28"/>
  <c r="A51" i="28"/>
  <c r="AD50" i="28"/>
  <c r="AC50" i="28"/>
  <c r="AB50" i="28"/>
  <c r="AA50" i="28"/>
  <c r="Q50" i="28"/>
  <c r="P50" i="28"/>
  <c r="O50" i="28"/>
  <c r="N50" i="28"/>
  <c r="G50" i="28"/>
  <c r="F50" i="28"/>
  <c r="E50" i="28"/>
  <c r="C50" i="28"/>
  <c r="B50" i="28"/>
  <c r="A50" i="28"/>
  <c r="T50" i="28" s="1"/>
  <c r="AD49" i="28"/>
  <c r="AC49" i="28"/>
  <c r="AB49" i="28"/>
  <c r="AA49" i="28"/>
  <c r="Q49" i="28"/>
  <c r="P49" i="28"/>
  <c r="O49" i="28"/>
  <c r="N49" i="28"/>
  <c r="G49" i="28"/>
  <c r="F49" i="28"/>
  <c r="E49" i="28"/>
  <c r="C49" i="28"/>
  <c r="B49" i="28"/>
  <c r="A49" i="28"/>
  <c r="AD48" i="28"/>
  <c r="AC48" i="28"/>
  <c r="AB48" i="28"/>
  <c r="AA48" i="28"/>
  <c r="Q48" i="28"/>
  <c r="P48" i="28"/>
  <c r="O48" i="28"/>
  <c r="N48" i="28"/>
  <c r="G48" i="28"/>
  <c r="F48" i="28"/>
  <c r="E48" i="28"/>
  <c r="C48" i="28"/>
  <c r="B48" i="28"/>
  <c r="A48" i="28"/>
  <c r="T48" i="28" s="1"/>
  <c r="AD47" i="28"/>
  <c r="AC47" i="28"/>
  <c r="AB47" i="28"/>
  <c r="AA47" i="28"/>
  <c r="Q47" i="28"/>
  <c r="P47" i="28"/>
  <c r="O47" i="28"/>
  <c r="N47" i="28"/>
  <c r="F47" i="28"/>
  <c r="E47" i="28"/>
  <c r="C47" i="28"/>
  <c r="B47" i="28"/>
  <c r="A47" i="28"/>
  <c r="T47" i="28" s="1"/>
  <c r="AD46" i="28"/>
  <c r="AC46" i="28"/>
  <c r="AB46" i="28"/>
  <c r="AA46" i="28"/>
  <c r="Q46" i="28"/>
  <c r="P46" i="28"/>
  <c r="O46" i="28"/>
  <c r="N46" i="28"/>
  <c r="G46" i="28"/>
  <c r="F46" i="28"/>
  <c r="E46" i="28"/>
  <c r="C46" i="28"/>
  <c r="B46" i="28"/>
  <c r="A46" i="28"/>
  <c r="T46" i="28" s="1"/>
  <c r="AD45" i="28"/>
  <c r="AC45" i="28"/>
  <c r="AB45" i="28"/>
  <c r="AA45" i="28"/>
  <c r="Q45" i="28"/>
  <c r="P45" i="28"/>
  <c r="O45" i="28"/>
  <c r="N45" i="28"/>
  <c r="G45" i="28"/>
  <c r="F45" i="28"/>
  <c r="E45" i="28"/>
  <c r="C45" i="28"/>
  <c r="B45" i="28"/>
  <c r="A45" i="28"/>
  <c r="T45" i="28" s="1"/>
  <c r="AD44" i="28"/>
  <c r="AC44" i="28"/>
  <c r="AB44" i="28"/>
  <c r="AA44" i="28"/>
  <c r="Q44" i="28"/>
  <c r="P44" i="28"/>
  <c r="O44" i="28"/>
  <c r="N44" i="28"/>
  <c r="G44" i="28"/>
  <c r="F44" i="28"/>
  <c r="E44" i="28"/>
  <c r="C44" i="28"/>
  <c r="B44" i="28"/>
  <c r="A44" i="28"/>
  <c r="T44" i="28" s="1"/>
  <c r="AD43" i="28"/>
  <c r="AC43" i="28"/>
  <c r="AB43" i="28"/>
  <c r="AA43" i="28"/>
  <c r="Q43" i="28"/>
  <c r="P43" i="28"/>
  <c r="O43" i="28"/>
  <c r="N43" i="28"/>
  <c r="I43" i="28"/>
  <c r="G43" i="28"/>
  <c r="F43" i="28"/>
  <c r="E43" i="28"/>
  <c r="C43" i="28"/>
  <c r="B43" i="28"/>
  <c r="A43" i="28"/>
  <c r="AD42" i="28"/>
  <c r="AC42" i="28"/>
  <c r="AB42" i="28"/>
  <c r="AA42" i="28"/>
  <c r="Q42" i="28"/>
  <c r="P42" i="28"/>
  <c r="O42" i="28"/>
  <c r="N42" i="28"/>
  <c r="C42" i="28"/>
  <c r="B42" i="28"/>
  <c r="A42" i="28"/>
  <c r="AD41" i="28"/>
  <c r="AC41" i="28"/>
  <c r="AB41" i="28"/>
  <c r="AA41" i="28"/>
  <c r="Q41" i="28"/>
  <c r="P41" i="28"/>
  <c r="O41" i="28"/>
  <c r="N41" i="28"/>
  <c r="F41" i="28"/>
  <c r="E41" i="28"/>
  <c r="C41" i="28"/>
  <c r="B41" i="28"/>
  <c r="A41" i="28"/>
  <c r="AD40" i="28"/>
  <c r="AC40" i="28"/>
  <c r="AB40" i="28"/>
  <c r="AA40" i="28"/>
  <c r="Q40" i="28"/>
  <c r="P40" i="28"/>
  <c r="O40" i="28"/>
  <c r="N40" i="28"/>
  <c r="G40" i="28"/>
  <c r="F40" i="28"/>
  <c r="E40" i="28"/>
  <c r="C40" i="28"/>
  <c r="B40" i="28"/>
  <c r="A40" i="28"/>
  <c r="T40" i="28" s="1"/>
  <c r="AD33" i="28"/>
  <c r="AC33" i="28"/>
  <c r="AB33" i="28"/>
  <c r="AA33" i="28"/>
  <c r="Q33" i="28"/>
  <c r="P33" i="28"/>
  <c r="O33" i="28"/>
  <c r="N33" i="28"/>
  <c r="I33" i="28"/>
  <c r="F33" i="28"/>
  <c r="E33" i="28"/>
  <c r="C33" i="28"/>
  <c r="B33" i="28"/>
  <c r="A33" i="28"/>
  <c r="AD32" i="28"/>
  <c r="AC32" i="28"/>
  <c r="AB32" i="28"/>
  <c r="AA32" i="28"/>
  <c r="Q32" i="28"/>
  <c r="P32" i="28"/>
  <c r="O32" i="28"/>
  <c r="N32" i="28"/>
  <c r="I32" i="28"/>
  <c r="F32" i="28"/>
  <c r="E32" i="28"/>
  <c r="C32" i="28"/>
  <c r="B32" i="28"/>
  <c r="A32" i="28"/>
  <c r="T32" i="28" s="1"/>
  <c r="AD31" i="28"/>
  <c r="AC31" i="28"/>
  <c r="AB31" i="28"/>
  <c r="AA31" i="28"/>
  <c r="Q31" i="28"/>
  <c r="P31" i="28"/>
  <c r="O31" i="28"/>
  <c r="N31" i="28"/>
  <c r="F31" i="28"/>
  <c r="E31" i="28"/>
  <c r="C31" i="28"/>
  <c r="B31" i="28"/>
  <c r="A31" i="28"/>
  <c r="T31" i="28" s="1"/>
  <c r="AD30" i="28"/>
  <c r="AC30" i="28"/>
  <c r="AB30" i="28"/>
  <c r="AA30" i="28"/>
  <c r="Q30" i="28"/>
  <c r="P30" i="28"/>
  <c r="O30" i="28"/>
  <c r="N30" i="28"/>
  <c r="I30" i="28"/>
  <c r="F30" i="28"/>
  <c r="E30" i="28"/>
  <c r="C30" i="28"/>
  <c r="B30" i="28"/>
  <c r="A30" i="28"/>
  <c r="T30" i="28" s="1"/>
  <c r="AD29" i="28"/>
  <c r="AC29" i="28"/>
  <c r="AB29" i="28"/>
  <c r="AA29" i="28"/>
  <c r="Q29" i="28"/>
  <c r="P29" i="28"/>
  <c r="O29" i="28"/>
  <c r="N29" i="28"/>
  <c r="I29" i="28"/>
  <c r="F29" i="28"/>
  <c r="E29" i="28"/>
  <c r="C29" i="28"/>
  <c r="B29" i="28"/>
  <c r="A29" i="28"/>
  <c r="T29" i="28" s="1"/>
  <c r="AD28" i="28"/>
  <c r="AC28" i="28"/>
  <c r="AB28" i="28"/>
  <c r="AA28" i="28"/>
  <c r="Q28" i="28"/>
  <c r="P28" i="28"/>
  <c r="O28" i="28"/>
  <c r="N28" i="28"/>
  <c r="I28" i="28"/>
  <c r="F28" i="28"/>
  <c r="E28" i="28"/>
  <c r="C28" i="28"/>
  <c r="B28" i="28"/>
  <c r="A28" i="28"/>
  <c r="AD27" i="28"/>
  <c r="AC27" i="28"/>
  <c r="AB27" i="28"/>
  <c r="AA27" i="28"/>
  <c r="Q27" i="28"/>
  <c r="P27" i="28"/>
  <c r="O27" i="28"/>
  <c r="N27" i="28"/>
  <c r="I27" i="28"/>
  <c r="F27" i="28"/>
  <c r="E27" i="28"/>
  <c r="C27" i="28"/>
  <c r="B27" i="28"/>
  <c r="A27" i="28"/>
  <c r="T27" i="28" s="1"/>
  <c r="AD26" i="28"/>
  <c r="AC26" i="28"/>
  <c r="AB26" i="28"/>
  <c r="AA26" i="28"/>
  <c r="Q26" i="28"/>
  <c r="P26" i="28"/>
  <c r="O26" i="28"/>
  <c r="N26" i="28"/>
  <c r="I26" i="28"/>
  <c r="F26" i="28"/>
  <c r="E26" i="28"/>
  <c r="C26" i="28"/>
  <c r="B26" i="28"/>
  <c r="A26" i="28"/>
  <c r="T26" i="28" s="1"/>
  <c r="AD25" i="28"/>
  <c r="AC25" i="28"/>
  <c r="AB25" i="28"/>
  <c r="AA25" i="28"/>
  <c r="Q25" i="28"/>
  <c r="P25" i="28"/>
  <c r="O25" i="28"/>
  <c r="N25" i="28"/>
  <c r="S25" i="28" s="1"/>
  <c r="I25" i="28"/>
  <c r="F25" i="28"/>
  <c r="E25" i="28"/>
  <c r="C25" i="28"/>
  <c r="B25" i="28"/>
  <c r="A25" i="28"/>
  <c r="T25" i="28" s="1"/>
  <c r="AD24" i="28"/>
  <c r="AC24" i="28"/>
  <c r="AB24" i="28"/>
  <c r="AA24" i="28"/>
  <c r="Q24" i="28"/>
  <c r="P24" i="28"/>
  <c r="O24" i="28"/>
  <c r="N24" i="28"/>
  <c r="I24" i="28"/>
  <c r="F24" i="28"/>
  <c r="E24" i="28"/>
  <c r="C24" i="28"/>
  <c r="B24" i="28"/>
  <c r="A24" i="28"/>
  <c r="AD23" i="28"/>
  <c r="AC23" i="28"/>
  <c r="AB23" i="28"/>
  <c r="AA23" i="28"/>
  <c r="Q23" i="28"/>
  <c r="P23" i="28"/>
  <c r="O23" i="28"/>
  <c r="N23" i="28"/>
  <c r="I23" i="28"/>
  <c r="F23" i="28"/>
  <c r="E23" i="28"/>
  <c r="C23" i="28"/>
  <c r="B23" i="28"/>
  <c r="A23" i="28"/>
  <c r="T23" i="28" s="1"/>
  <c r="AD22" i="28"/>
  <c r="AC22" i="28"/>
  <c r="AB22" i="28"/>
  <c r="AA22" i="28"/>
  <c r="Q22" i="28"/>
  <c r="P22" i="28"/>
  <c r="O22" i="28"/>
  <c r="N22" i="28"/>
  <c r="I22" i="28"/>
  <c r="F22" i="28"/>
  <c r="E22" i="28"/>
  <c r="C22" i="28"/>
  <c r="B22" i="28"/>
  <c r="A22" i="28"/>
  <c r="T22" i="28" s="1"/>
  <c r="AD21" i="28"/>
  <c r="AC21" i="28"/>
  <c r="AB21" i="28"/>
  <c r="AA21" i="28"/>
  <c r="Q21" i="28"/>
  <c r="P21" i="28"/>
  <c r="O21" i="28"/>
  <c r="N21" i="28"/>
  <c r="F21" i="28"/>
  <c r="E21" i="28"/>
  <c r="C21" i="28"/>
  <c r="B21" i="28"/>
  <c r="A21" i="28"/>
  <c r="AD20" i="28"/>
  <c r="AC20" i="28"/>
  <c r="AB20" i="28"/>
  <c r="AA20" i="28"/>
  <c r="Q20" i="28"/>
  <c r="P20" i="28"/>
  <c r="O20" i="28"/>
  <c r="N20" i="28"/>
  <c r="I20" i="28"/>
  <c r="F20" i="28"/>
  <c r="E20" i="28"/>
  <c r="C20" i="28"/>
  <c r="B20" i="28"/>
  <c r="A20" i="28"/>
  <c r="AD19" i="28"/>
  <c r="AC19" i="28"/>
  <c r="AB19" i="28"/>
  <c r="AA19" i="28"/>
  <c r="Q19" i="28"/>
  <c r="P19" i="28"/>
  <c r="O19" i="28"/>
  <c r="N19" i="28"/>
  <c r="I19" i="28"/>
  <c r="F19" i="28"/>
  <c r="E19" i="28"/>
  <c r="C19" i="28"/>
  <c r="B19" i="28"/>
  <c r="A19" i="28"/>
  <c r="T19" i="28" s="1"/>
  <c r="AD18" i="28"/>
  <c r="AC18" i="28"/>
  <c r="AB18" i="28"/>
  <c r="AA18" i="28"/>
  <c r="Q18" i="28"/>
  <c r="P18" i="28"/>
  <c r="O18" i="28"/>
  <c r="N18" i="28"/>
  <c r="I18" i="28"/>
  <c r="F18" i="28"/>
  <c r="E18" i="28"/>
  <c r="C18" i="28"/>
  <c r="B18" i="28"/>
  <c r="A18" i="28"/>
  <c r="AD17" i="28"/>
  <c r="AC17" i="28"/>
  <c r="AB17" i="28"/>
  <c r="AA17" i="28"/>
  <c r="Q17" i="28"/>
  <c r="P17" i="28"/>
  <c r="O17" i="28"/>
  <c r="N17" i="28"/>
  <c r="F17" i="28"/>
  <c r="E17" i="28"/>
  <c r="C17" i="28"/>
  <c r="B17" i="28"/>
  <c r="A17" i="28"/>
  <c r="AD16" i="28"/>
  <c r="AC16" i="28"/>
  <c r="AB16" i="28"/>
  <c r="AA16" i="28"/>
  <c r="Q16" i="28"/>
  <c r="P16" i="28"/>
  <c r="O16" i="28"/>
  <c r="N16" i="28"/>
  <c r="I16" i="28"/>
  <c r="F16" i="28"/>
  <c r="E16" i="28"/>
  <c r="C16" i="28"/>
  <c r="B16" i="28"/>
  <c r="A16" i="28"/>
  <c r="T16" i="28" s="1"/>
  <c r="AD15" i="28"/>
  <c r="AC15" i="28"/>
  <c r="AB15" i="28"/>
  <c r="AA15" i="28"/>
  <c r="Q15" i="28"/>
  <c r="P15" i="28"/>
  <c r="O15" i="28"/>
  <c r="N15" i="28"/>
  <c r="I15" i="28"/>
  <c r="F15" i="28"/>
  <c r="E15" i="28"/>
  <c r="C15" i="28"/>
  <c r="B15" i="28"/>
  <c r="A15" i="28"/>
  <c r="T15" i="28" s="1"/>
  <c r="AD14" i="28"/>
  <c r="AC14" i="28"/>
  <c r="AB14" i="28"/>
  <c r="AA14" i="28"/>
  <c r="Q14" i="28"/>
  <c r="P14" i="28"/>
  <c r="O14" i="28"/>
  <c r="N14" i="28"/>
  <c r="I14" i="28"/>
  <c r="F14" i="28"/>
  <c r="E14" i="28"/>
  <c r="C14" i="28"/>
  <c r="B14" i="28"/>
  <c r="A14" i="28"/>
  <c r="T14" i="28" s="1"/>
  <c r="AD13" i="28"/>
  <c r="AC13" i="28"/>
  <c r="AB13" i="28"/>
  <c r="AA13" i="28"/>
  <c r="Q13" i="28"/>
  <c r="P13" i="28"/>
  <c r="O13" i="28"/>
  <c r="N13" i="28"/>
  <c r="I13" i="28"/>
  <c r="F13" i="28"/>
  <c r="E13" i="28"/>
  <c r="C13" i="28"/>
  <c r="B13" i="28"/>
  <c r="A13" i="28"/>
  <c r="T13" i="28" s="1"/>
  <c r="AD12" i="28"/>
  <c r="AC12" i="28"/>
  <c r="AB12" i="28"/>
  <c r="AA12" i="28"/>
  <c r="Q12" i="28"/>
  <c r="P12" i="28"/>
  <c r="O12" i="28"/>
  <c r="N12" i="28"/>
  <c r="C12" i="28"/>
  <c r="B12" i="28"/>
  <c r="A12" i="28"/>
  <c r="AD11" i="28"/>
  <c r="AC11" i="28"/>
  <c r="AB11" i="28"/>
  <c r="AA11" i="28"/>
  <c r="Q11" i="28"/>
  <c r="P11" i="28"/>
  <c r="O11" i="28"/>
  <c r="N11" i="28"/>
  <c r="F11" i="28"/>
  <c r="E11" i="28"/>
  <c r="C11" i="28"/>
  <c r="B11" i="28"/>
  <c r="A11" i="28"/>
  <c r="AD10" i="28"/>
  <c r="AC10" i="28"/>
  <c r="AB10" i="28"/>
  <c r="AA10" i="28"/>
  <c r="Q10" i="28"/>
  <c r="P10" i="28"/>
  <c r="O10" i="28"/>
  <c r="N10" i="28"/>
  <c r="I10" i="28"/>
  <c r="F10" i="28"/>
  <c r="E10" i="28"/>
  <c r="C10" i="28"/>
  <c r="B10" i="28"/>
  <c r="A10" i="28"/>
  <c r="T10" i="28" s="1"/>
  <c r="T62" i="28"/>
  <c r="T51" i="28"/>
  <c r="T49" i="28"/>
  <c r="T43" i="28"/>
  <c r="T42" i="28"/>
  <c r="T41" i="28"/>
  <c r="T33" i="28"/>
  <c r="T28" i="28"/>
  <c r="T24" i="28"/>
  <c r="T21" i="28"/>
  <c r="T20" i="28"/>
  <c r="T18" i="28"/>
  <c r="T17" i="28"/>
  <c r="T12" i="28"/>
  <c r="T11" i="28"/>
  <c r="F4" i="28"/>
  <c r="F6" i="28" s="1"/>
  <c r="R54" i="28" s="1"/>
  <c r="A55" i="26"/>
  <c r="B55" i="26"/>
  <c r="C55" i="26"/>
  <c r="E55" i="26"/>
  <c r="F55" i="26"/>
  <c r="G55" i="26"/>
  <c r="N55" i="26"/>
  <c r="O55" i="26"/>
  <c r="P55" i="26"/>
  <c r="Q55" i="26"/>
  <c r="S55" i="26"/>
  <c r="T55" i="26"/>
  <c r="AA55" i="26"/>
  <c r="AB55" i="26"/>
  <c r="AC55" i="26"/>
  <c r="AD55" i="26"/>
  <c r="A56" i="26"/>
  <c r="B56" i="26"/>
  <c r="C56" i="26"/>
  <c r="E56" i="26"/>
  <c r="F56" i="26"/>
  <c r="G56" i="26"/>
  <c r="N56" i="26"/>
  <c r="O56" i="26"/>
  <c r="P56" i="26"/>
  <c r="Q56" i="26"/>
  <c r="T56" i="26"/>
  <c r="AA56" i="26"/>
  <c r="AB56" i="26"/>
  <c r="AC56" i="26"/>
  <c r="AD56" i="26"/>
  <c r="A57" i="26"/>
  <c r="T57" i="26" s="1"/>
  <c r="B57" i="26"/>
  <c r="C57" i="26"/>
  <c r="E57" i="26"/>
  <c r="F57" i="26"/>
  <c r="G57" i="26"/>
  <c r="N57" i="26"/>
  <c r="O57" i="26"/>
  <c r="P57" i="26"/>
  <c r="Q57" i="26"/>
  <c r="S57" i="26"/>
  <c r="AA57" i="26"/>
  <c r="AB57" i="26"/>
  <c r="AC57" i="26"/>
  <c r="AD57" i="26"/>
  <c r="A58" i="26"/>
  <c r="T58" i="26" s="1"/>
  <c r="B58" i="26"/>
  <c r="C58" i="26"/>
  <c r="E58" i="26"/>
  <c r="F58" i="26"/>
  <c r="G58" i="26"/>
  <c r="N58" i="26"/>
  <c r="S58" i="26" s="1"/>
  <c r="O58" i="26"/>
  <c r="P58" i="26"/>
  <c r="Q58" i="26"/>
  <c r="AA58" i="26"/>
  <c r="AB58" i="26"/>
  <c r="AC58" i="26"/>
  <c r="AD58" i="26"/>
  <c r="A59" i="26"/>
  <c r="B59" i="26"/>
  <c r="C59" i="26"/>
  <c r="E59" i="26"/>
  <c r="F59" i="26"/>
  <c r="N59" i="26"/>
  <c r="O59" i="26"/>
  <c r="P59" i="26"/>
  <c r="Q59" i="26"/>
  <c r="T59" i="26"/>
  <c r="AA59" i="26"/>
  <c r="AB59" i="26"/>
  <c r="AC59" i="26"/>
  <c r="AD59" i="26"/>
  <c r="A60" i="26"/>
  <c r="T60" i="26" s="1"/>
  <c r="B60" i="26"/>
  <c r="C60" i="26"/>
  <c r="E60" i="26"/>
  <c r="F60" i="26"/>
  <c r="G60" i="26"/>
  <c r="N60" i="26"/>
  <c r="O60" i="26"/>
  <c r="P60" i="26"/>
  <c r="S60" i="26" s="1"/>
  <c r="Q60" i="26"/>
  <c r="AA60" i="26"/>
  <c r="AB60" i="26"/>
  <c r="AC60" i="26"/>
  <c r="AD60" i="26"/>
  <c r="A61" i="26"/>
  <c r="B61" i="26"/>
  <c r="C61" i="26"/>
  <c r="E61" i="26"/>
  <c r="F61" i="26"/>
  <c r="G61" i="26"/>
  <c r="N61" i="26"/>
  <c r="O61" i="26"/>
  <c r="P61" i="26"/>
  <c r="Q61" i="26"/>
  <c r="S61" i="26"/>
  <c r="T61" i="26"/>
  <c r="AA61" i="26"/>
  <c r="AB61" i="26"/>
  <c r="AC61" i="26"/>
  <c r="AD61" i="26"/>
  <c r="A62" i="26"/>
  <c r="T62" i="26" s="1"/>
  <c r="B62" i="26"/>
  <c r="C62" i="26"/>
  <c r="E62" i="26"/>
  <c r="F62" i="26"/>
  <c r="G62" i="26"/>
  <c r="N62" i="26"/>
  <c r="O62" i="26"/>
  <c r="P62" i="26"/>
  <c r="Q62" i="26"/>
  <c r="AA62" i="26"/>
  <c r="AB62" i="26"/>
  <c r="AC62" i="26"/>
  <c r="AD62" i="26"/>
  <c r="A28" i="26"/>
  <c r="B28" i="26"/>
  <c r="C28" i="26"/>
  <c r="E28" i="26"/>
  <c r="F28" i="26"/>
  <c r="I28" i="26"/>
  <c r="N28" i="26"/>
  <c r="S28" i="26" s="1"/>
  <c r="O28" i="26"/>
  <c r="P28" i="26"/>
  <c r="Q28" i="26"/>
  <c r="T28" i="26"/>
  <c r="AA28" i="26"/>
  <c r="AB28" i="26"/>
  <c r="AC28" i="26"/>
  <c r="AD28" i="26"/>
  <c r="A29" i="26"/>
  <c r="B29" i="26"/>
  <c r="C29" i="26"/>
  <c r="E29" i="26"/>
  <c r="F29" i="26"/>
  <c r="I29" i="26"/>
  <c r="N29" i="26"/>
  <c r="O29" i="26"/>
  <c r="P29" i="26"/>
  <c r="Q29" i="26"/>
  <c r="T29" i="26"/>
  <c r="AA29" i="26"/>
  <c r="AB29" i="26"/>
  <c r="AC29" i="26"/>
  <c r="AD29" i="26"/>
  <c r="A30" i="26"/>
  <c r="B30" i="26"/>
  <c r="C30" i="26"/>
  <c r="E30" i="26"/>
  <c r="F30" i="26"/>
  <c r="I30" i="26"/>
  <c r="N30" i="26"/>
  <c r="S30" i="26" s="1"/>
  <c r="O30" i="26"/>
  <c r="P30" i="26"/>
  <c r="Q30" i="26"/>
  <c r="T30" i="26"/>
  <c r="AA30" i="26"/>
  <c r="AB30" i="26"/>
  <c r="AC30" i="26"/>
  <c r="AD30" i="26"/>
  <c r="A31" i="26"/>
  <c r="B31" i="26"/>
  <c r="C31" i="26"/>
  <c r="E31" i="26"/>
  <c r="F31" i="26"/>
  <c r="N31" i="26"/>
  <c r="S31" i="26" s="1"/>
  <c r="O31" i="26"/>
  <c r="P31" i="26"/>
  <c r="Q31" i="26"/>
  <c r="T31" i="26"/>
  <c r="AA31" i="26"/>
  <c r="AB31" i="26"/>
  <c r="AC31" i="26"/>
  <c r="AD31" i="26"/>
  <c r="A32" i="26"/>
  <c r="B32" i="26"/>
  <c r="C32" i="26"/>
  <c r="E32" i="26"/>
  <c r="F32" i="26"/>
  <c r="I32" i="26"/>
  <c r="N32" i="26"/>
  <c r="S32" i="26" s="1"/>
  <c r="O32" i="26"/>
  <c r="P32" i="26"/>
  <c r="Q32" i="26"/>
  <c r="T32" i="26"/>
  <c r="AA32" i="26"/>
  <c r="AB32" i="26"/>
  <c r="AC32" i="26"/>
  <c r="AD32" i="26"/>
  <c r="A33" i="26"/>
  <c r="B33" i="26"/>
  <c r="C33" i="26"/>
  <c r="E33" i="26"/>
  <c r="F33" i="26"/>
  <c r="I33" i="26"/>
  <c r="N33" i="26"/>
  <c r="O33" i="26"/>
  <c r="P33" i="26"/>
  <c r="Q33" i="26"/>
  <c r="T33" i="26"/>
  <c r="AA33" i="26"/>
  <c r="AB33" i="26"/>
  <c r="AC33" i="26"/>
  <c r="AD33" i="26"/>
  <c r="A34" i="26"/>
  <c r="B34" i="26"/>
  <c r="C34" i="26"/>
  <c r="E34" i="26"/>
  <c r="F34" i="26"/>
  <c r="I34" i="26"/>
  <c r="N34" i="26"/>
  <c r="S34" i="26" s="1"/>
  <c r="O34" i="26"/>
  <c r="P34" i="26"/>
  <c r="Q34" i="26"/>
  <c r="T34" i="26"/>
  <c r="AA34" i="26"/>
  <c r="AB34" i="26"/>
  <c r="AC34" i="26"/>
  <c r="AD34" i="26"/>
  <c r="A55" i="25"/>
  <c r="B55" i="25"/>
  <c r="C55" i="25"/>
  <c r="E55" i="25"/>
  <c r="F55" i="25"/>
  <c r="G55" i="25"/>
  <c r="N55" i="25"/>
  <c r="O55" i="25"/>
  <c r="P55" i="25"/>
  <c r="Q55" i="25"/>
  <c r="T55" i="25"/>
  <c r="AA55" i="25"/>
  <c r="AB55" i="25"/>
  <c r="AC55" i="25"/>
  <c r="AD55" i="25"/>
  <c r="A56" i="25"/>
  <c r="T56" i="25" s="1"/>
  <c r="B56" i="25"/>
  <c r="C56" i="25"/>
  <c r="E56" i="25"/>
  <c r="F56" i="25"/>
  <c r="G56" i="25"/>
  <c r="N56" i="25"/>
  <c r="O56" i="25"/>
  <c r="P56" i="25"/>
  <c r="Q56" i="25"/>
  <c r="S56" i="25"/>
  <c r="AA56" i="25"/>
  <c r="AB56" i="25"/>
  <c r="AC56" i="25"/>
  <c r="AD56" i="25"/>
  <c r="A57" i="25"/>
  <c r="T57" i="25" s="1"/>
  <c r="B57" i="25"/>
  <c r="C57" i="25"/>
  <c r="E57" i="25"/>
  <c r="F57" i="25"/>
  <c r="G57" i="25"/>
  <c r="N57" i="25"/>
  <c r="O57" i="25"/>
  <c r="P57" i="25"/>
  <c r="Q57" i="25"/>
  <c r="AA57" i="25"/>
  <c r="AB57" i="25"/>
  <c r="AC57" i="25"/>
  <c r="AD57" i="25"/>
  <c r="A58" i="25"/>
  <c r="T58" i="25" s="1"/>
  <c r="B58" i="25"/>
  <c r="C58" i="25"/>
  <c r="E58" i="25"/>
  <c r="F58" i="25"/>
  <c r="G58" i="25"/>
  <c r="N58" i="25"/>
  <c r="O58" i="25"/>
  <c r="P58" i="25"/>
  <c r="Q58" i="25"/>
  <c r="AA58" i="25"/>
  <c r="AB58" i="25"/>
  <c r="AC58" i="25"/>
  <c r="AD58" i="25"/>
  <c r="A59" i="25"/>
  <c r="B59" i="25"/>
  <c r="C59" i="25"/>
  <c r="E59" i="25"/>
  <c r="F59" i="25"/>
  <c r="N59" i="25"/>
  <c r="O59" i="25"/>
  <c r="P59" i="25"/>
  <c r="Q59" i="25"/>
  <c r="S59" i="25" s="1"/>
  <c r="T59" i="25"/>
  <c r="AA59" i="25"/>
  <c r="AB59" i="25"/>
  <c r="AC59" i="25"/>
  <c r="AD59" i="25"/>
  <c r="A60" i="25"/>
  <c r="B60" i="25"/>
  <c r="C60" i="25"/>
  <c r="E60" i="25"/>
  <c r="F60" i="25"/>
  <c r="G60" i="25"/>
  <c r="N60" i="25"/>
  <c r="O60" i="25"/>
  <c r="P60" i="25"/>
  <c r="Q60" i="25"/>
  <c r="T60" i="25"/>
  <c r="AA60" i="25"/>
  <c r="AB60" i="25"/>
  <c r="AC60" i="25"/>
  <c r="AD60" i="25"/>
  <c r="A61" i="25"/>
  <c r="T61" i="25" s="1"/>
  <c r="B61" i="25"/>
  <c r="C61" i="25"/>
  <c r="E61" i="25"/>
  <c r="F61" i="25"/>
  <c r="G61" i="25"/>
  <c r="N61" i="25"/>
  <c r="O61" i="25"/>
  <c r="P61" i="25"/>
  <c r="Q61" i="25"/>
  <c r="S61" i="25"/>
  <c r="AA61" i="25"/>
  <c r="AB61" i="25"/>
  <c r="AC61" i="25"/>
  <c r="AD61" i="25"/>
  <c r="A62" i="25"/>
  <c r="T62" i="25" s="1"/>
  <c r="B62" i="25"/>
  <c r="C62" i="25"/>
  <c r="E62" i="25"/>
  <c r="F62" i="25"/>
  <c r="G62" i="25"/>
  <c r="N62" i="25"/>
  <c r="S62" i="25" s="1"/>
  <c r="O62" i="25"/>
  <c r="P62" i="25"/>
  <c r="Q62" i="25"/>
  <c r="AA62" i="25"/>
  <c r="AB62" i="25"/>
  <c r="AC62" i="25"/>
  <c r="AD62" i="25"/>
  <c r="A28" i="25"/>
  <c r="B28" i="25"/>
  <c r="C28" i="25"/>
  <c r="E28" i="25"/>
  <c r="F28" i="25"/>
  <c r="I28" i="25"/>
  <c r="N28" i="25"/>
  <c r="O28" i="25"/>
  <c r="P28" i="25"/>
  <c r="Q28" i="25"/>
  <c r="T28" i="25"/>
  <c r="AA28" i="25"/>
  <c r="AB28" i="25"/>
  <c r="AC28" i="25"/>
  <c r="AD28" i="25"/>
  <c r="A29" i="25"/>
  <c r="B29" i="25"/>
  <c r="C29" i="25"/>
  <c r="E29" i="25"/>
  <c r="F29" i="25"/>
  <c r="I29" i="25"/>
  <c r="N29" i="25"/>
  <c r="S29" i="25" s="1"/>
  <c r="O29" i="25"/>
  <c r="P29" i="25"/>
  <c r="Q29" i="25"/>
  <c r="T29" i="25"/>
  <c r="AA29" i="25"/>
  <c r="AB29" i="25"/>
  <c r="AC29" i="25"/>
  <c r="AD29" i="25"/>
  <c r="A30" i="25"/>
  <c r="B30" i="25"/>
  <c r="C30" i="25"/>
  <c r="E30" i="25"/>
  <c r="F30" i="25"/>
  <c r="I30" i="25"/>
  <c r="N30" i="25"/>
  <c r="O30" i="25"/>
  <c r="P30" i="25"/>
  <c r="Q30" i="25"/>
  <c r="T30" i="25"/>
  <c r="AA30" i="25"/>
  <c r="AB30" i="25"/>
  <c r="AC30" i="25"/>
  <c r="AD30" i="25"/>
  <c r="A31" i="25"/>
  <c r="B31" i="25"/>
  <c r="C31" i="25"/>
  <c r="E31" i="25"/>
  <c r="F31" i="25"/>
  <c r="N31" i="25"/>
  <c r="S31" i="25" s="1"/>
  <c r="O31" i="25"/>
  <c r="P31" i="25"/>
  <c r="Q31" i="25"/>
  <c r="T31" i="25"/>
  <c r="AA31" i="25"/>
  <c r="AB31" i="25"/>
  <c r="AC31" i="25"/>
  <c r="AD31" i="25"/>
  <c r="A32" i="25"/>
  <c r="B32" i="25"/>
  <c r="C32" i="25"/>
  <c r="E32" i="25"/>
  <c r="F32" i="25"/>
  <c r="I32" i="25"/>
  <c r="N32" i="25"/>
  <c r="O32" i="25"/>
  <c r="P32" i="25"/>
  <c r="Q32" i="25"/>
  <c r="T32" i="25"/>
  <c r="AA32" i="25"/>
  <c r="AB32" i="25"/>
  <c r="AC32" i="25"/>
  <c r="AD32" i="25"/>
  <c r="A33" i="25"/>
  <c r="B33" i="25"/>
  <c r="C33" i="25"/>
  <c r="E33" i="25"/>
  <c r="F33" i="25"/>
  <c r="I33" i="25"/>
  <c r="N33" i="25"/>
  <c r="S33" i="25" s="1"/>
  <c r="O33" i="25"/>
  <c r="P33" i="25"/>
  <c r="Q33" i="25"/>
  <c r="T33" i="25"/>
  <c r="AA33" i="25"/>
  <c r="AB33" i="25"/>
  <c r="AC33" i="25"/>
  <c r="AD33" i="25"/>
  <c r="A34" i="25"/>
  <c r="B34" i="25"/>
  <c r="C34" i="25"/>
  <c r="E34" i="25"/>
  <c r="F34" i="25"/>
  <c r="I34" i="25"/>
  <c r="N34" i="25"/>
  <c r="S34" i="25" s="1"/>
  <c r="O34" i="25"/>
  <c r="P34" i="25"/>
  <c r="Q34" i="25"/>
  <c r="T34" i="25"/>
  <c r="AA34" i="25"/>
  <c r="AB34" i="25"/>
  <c r="AC34" i="25"/>
  <c r="AD34" i="25"/>
  <c r="AD54" i="26"/>
  <c r="AC54" i="26"/>
  <c r="AB54" i="26"/>
  <c r="AA54" i="26"/>
  <c r="Q54" i="26"/>
  <c r="P54" i="26"/>
  <c r="O54" i="26"/>
  <c r="N54" i="26"/>
  <c r="G54" i="26"/>
  <c r="F54" i="26"/>
  <c r="E54" i="26"/>
  <c r="C54" i="26"/>
  <c r="B54" i="26"/>
  <c r="A54" i="26"/>
  <c r="AD53" i="26"/>
  <c r="AC53" i="26"/>
  <c r="AB53" i="26"/>
  <c r="AA53" i="26"/>
  <c r="Q53" i="26"/>
  <c r="P53" i="26"/>
  <c r="O53" i="26"/>
  <c r="N53" i="26"/>
  <c r="S53" i="26" s="1"/>
  <c r="F53" i="26"/>
  <c r="E53" i="26"/>
  <c r="C53" i="26"/>
  <c r="B53" i="26"/>
  <c r="A53" i="26"/>
  <c r="AD52" i="26"/>
  <c r="AC52" i="26"/>
  <c r="AB52" i="26"/>
  <c r="AA52" i="26"/>
  <c r="Q52" i="26"/>
  <c r="P52" i="26"/>
  <c r="O52" i="26"/>
  <c r="N52" i="26"/>
  <c r="S52" i="26" s="1"/>
  <c r="G52" i="26"/>
  <c r="F52" i="26"/>
  <c r="E52" i="26"/>
  <c r="C52" i="26"/>
  <c r="B52" i="26"/>
  <c r="A52" i="26"/>
  <c r="T52" i="26" s="1"/>
  <c r="AD51" i="26"/>
  <c r="AC51" i="26"/>
  <c r="AB51" i="26"/>
  <c r="AA51" i="26"/>
  <c r="Q51" i="26"/>
  <c r="P51" i="26"/>
  <c r="O51" i="26"/>
  <c r="N51" i="26"/>
  <c r="G51" i="26"/>
  <c r="F51" i="26"/>
  <c r="E51" i="26"/>
  <c r="C51" i="26"/>
  <c r="B51" i="26"/>
  <c r="A51" i="26"/>
  <c r="AD50" i="26"/>
  <c r="AC50" i="26"/>
  <c r="AB50" i="26"/>
  <c r="AA50" i="26"/>
  <c r="Q50" i="26"/>
  <c r="P50" i="26"/>
  <c r="O50" i="26"/>
  <c r="N50" i="26"/>
  <c r="G50" i="26"/>
  <c r="F50" i="26"/>
  <c r="E50" i="26"/>
  <c r="C50" i="26"/>
  <c r="B50" i="26"/>
  <c r="A50" i="26"/>
  <c r="AD49" i="26"/>
  <c r="AC49" i="26"/>
  <c r="AB49" i="26"/>
  <c r="AA49" i="26"/>
  <c r="Q49" i="26"/>
  <c r="P49" i="26"/>
  <c r="O49" i="26"/>
  <c r="N49" i="26"/>
  <c r="G49" i="26"/>
  <c r="F49" i="26"/>
  <c r="E49" i="26"/>
  <c r="C49" i="26"/>
  <c r="B49" i="26"/>
  <c r="A49" i="26"/>
  <c r="AD48" i="26"/>
  <c r="AC48" i="26"/>
  <c r="AB48" i="26"/>
  <c r="AA48" i="26"/>
  <c r="Q48" i="26"/>
  <c r="P48" i="26"/>
  <c r="O48" i="26"/>
  <c r="N48" i="26"/>
  <c r="F48" i="26"/>
  <c r="E48" i="26"/>
  <c r="C48" i="26"/>
  <c r="B48" i="26"/>
  <c r="A48" i="26"/>
  <c r="AD47" i="26"/>
  <c r="AC47" i="26"/>
  <c r="AB47" i="26"/>
  <c r="AA47" i="26"/>
  <c r="Q47" i="26"/>
  <c r="P47" i="26"/>
  <c r="O47" i="26"/>
  <c r="N47" i="26"/>
  <c r="G47" i="26"/>
  <c r="F47" i="26"/>
  <c r="E47" i="26"/>
  <c r="C47" i="26"/>
  <c r="B47" i="26"/>
  <c r="A47" i="26"/>
  <c r="AD46" i="26"/>
  <c r="AC46" i="26"/>
  <c r="AB46" i="26"/>
  <c r="AA46" i="26"/>
  <c r="Q46" i="26"/>
  <c r="P46" i="26"/>
  <c r="O46" i="26"/>
  <c r="N46" i="26"/>
  <c r="F46" i="26"/>
  <c r="E46" i="26"/>
  <c r="C46" i="26"/>
  <c r="B46" i="26"/>
  <c r="A46" i="26"/>
  <c r="AD45" i="26"/>
  <c r="AC45" i="26"/>
  <c r="AB45" i="26"/>
  <c r="AA45" i="26"/>
  <c r="Q45" i="26"/>
  <c r="P45" i="26"/>
  <c r="S45" i="26" s="1"/>
  <c r="O45" i="26"/>
  <c r="N45" i="26"/>
  <c r="G45" i="26"/>
  <c r="F45" i="26"/>
  <c r="E45" i="26"/>
  <c r="C45" i="26"/>
  <c r="B45" i="26"/>
  <c r="A45" i="26"/>
  <c r="AD44" i="26"/>
  <c r="AC44" i="26"/>
  <c r="AB44" i="26"/>
  <c r="AA44" i="26"/>
  <c r="Q44" i="26"/>
  <c r="P44" i="26"/>
  <c r="O44" i="26"/>
  <c r="N44" i="26"/>
  <c r="F44" i="26"/>
  <c r="E44" i="26"/>
  <c r="C44" i="26"/>
  <c r="B44" i="26"/>
  <c r="A44" i="26"/>
  <c r="T44" i="26" s="1"/>
  <c r="AD43" i="26"/>
  <c r="AC43" i="26"/>
  <c r="AB43" i="26"/>
  <c r="AA43" i="26"/>
  <c r="Q43" i="26"/>
  <c r="P43" i="26"/>
  <c r="O43" i="26"/>
  <c r="N43" i="26"/>
  <c r="C43" i="26"/>
  <c r="B43" i="26"/>
  <c r="A43" i="26"/>
  <c r="AD42" i="26"/>
  <c r="AC42" i="26"/>
  <c r="AB42" i="26"/>
  <c r="AA42" i="26"/>
  <c r="Q42" i="26"/>
  <c r="P42" i="26"/>
  <c r="O42" i="26"/>
  <c r="N42" i="26"/>
  <c r="I42" i="26"/>
  <c r="F42" i="26"/>
  <c r="E42" i="26"/>
  <c r="C42" i="26"/>
  <c r="B42" i="26"/>
  <c r="A42" i="26"/>
  <c r="AD41" i="26"/>
  <c r="AC41" i="26"/>
  <c r="AB41" i="26"/>
  <c r="AA41" i="26"/>
  <c r="Q41" i="26"/>
  <c r="P41" i="26"/>
  <c r="O41" i="26"/>
  <c r="N41" i="26"/>
  <c r="G41" i="26"/>
  <c r="F41" i="26"/>
  <c r="E41" i="26"/>
  <c r="C41" i="26"/>
  <c r="B41" i="26"/>
  <c r="A41" i="26"/>
  <c r="AD40" i="26"/>
  <c r="AC40" i="26"/>
  <c r="AB40" i="26"/>
  <c r="AA40" i="26"/>
  <c r="Q40" i="26"/>
  <c r="P40" i="26"/>
  <c r="O40" i="26"/>
  <c r="N40" i="26"/>
  <c r="S40" i="26" s="1"/>
  <c r="F40" i="26"/>
  <c r="E40" i="26"/>
  <c r="C40" i="26"/>
  <c r="B40" i="26"/>
  <c r="A40" i="26"/>
  <c r="AD39" i="26"/>
  <c r="AC39" i="26"/>
  <c r="AB39" i="26"/>
  <c r="AA39" i="26"/>
  <c r="Q39" i="26"/>
  <c r="P39" i="26"/>
  <c r="S39" i="26" s="1"/>
  <c r="O39" i="26"/>
  <c r="N39" i="26"/>
  <c r="G39" i="26"/>
  <c r="F39" i="26"/>
  <c r="E39" i="26"/>
  <c r="C39" i="26"/>
  <c r="B39" i="26"/>
  <c r="A39" i="26"/>
  <c r="AD27" i="26"/>
  <c r="AC27" i="26"/>
  <c r="AB27" i="26"/>
  <c r="AA27" i="26"/>
  <c r="Q27" i="26"/>
  <c r="P27" i="26"/>
  <c r="O27" i="26"/>
  <c r="N27" i="26"/>
  <c r="I27" i="26"/>
  <c r="F27" i="26"/>
  <c r="E27" i="26"/>
  <c r="C27" i="26"/>
  <c r="B27" i="26"/>
  <c r="A27" i="26"/>
  <c r="T27" i="26" s="1"/>
  <c r="AD26" i="26"/>
  <c r="AC26" i="26"/>
  <c r="AB26" i="26"/>
  <c r="AA26" i="26"/>
  <c r="Q26" i="26"/>
  <c r="P26" i="26"/>
  <c r="O26" i="26"/>
  <c r="N26" i="26"/>
  <c r="S26" i="26" s="1"/>
  <c r="I26" i="26"/>
  <c r="F26" i="26"/>
  <c r="E26" i="26"/>
  <c r="C26" i="26"/>
  <c r="B26" i="26"/>
  <c r="A26" i="26"/>
  <c r="AD25" i="26"/>
  <c r="AC25" i="26"/>
  <c r="AB25" i="26"/>
  <c r="AA25" i="26"/>
  <c r="Q25" i="26"/>
  <c r="P25" i="26"/>
  <c r="O25" i="26"/>
  <c r="S25" i="26" s="1"/>
  <c r="N25" i="26"/>
  <c r="I25" i="26"/>
  <c r="F25" i="26"/>
  <c r="E25" i="26"/>
  <c r="C25" i="26"/>
  <c r="B25" i="26"/>
  <c r="A25" i="26"/>
  <c r="AD24" i="26"/>
  <c r="AC24" i="26"/>
  <c r="AB24" i="26"/>
  <c r="AA24" i="26"/>
  <c r="Q24" i="26"/>
  <c r="P24" i="26"/>
  <c r="O24" i="26"/>
  <c r="N24" i="26"/>
  <c r="F24" i="26"/>
  <c r="E24" i="26"/>
  <c r="C24" i="26"/>
  <c r="B24" i="26"/>
  <c r="A24" i="26"/>
  <c r="T24" i="26" s="1"/>
  <c r="AD23" i="26"/>
  <c r="AC23" i="26"/>
  <c r="AB23" i="26"/>
  <c r="AA23" i="26"/>
  <c r="Q23" i="26"/>
  <c r="P23" i="26"/>
  <c r="O23" i="26"/>
  <c r="N23" i="26"/>
  <c r="I23" i="26"/>
  <c r="F23" i="26"/>
  <c r="E23" i="26"/>
  <c r="C23" i="26"/>
  <c r="B23" i="26"/>
  <c r="A23" i="26"/>
  <c r="T23" i="26" s="1"/>
  <c r="AD22" i="26"/>
  <c r="AC22" i="26"/>
  <c r="AB22" i="26"/>
  <c r="AA22" i="26"/>
  <c r="Q22" i="26"/>
  <c r="P22" i="26"/>
  <c r="O22" i="26"/>
  <c r="N22" i="26"/>
  <c r="S22" i="26" s="1"/>
  <c r="I22" i="26"/>
  <c r="F22" i="26"/>
  <c r="E22" i="26"/>
  <c r="C22" i="26"/>
  <c r="B22" i="26"/>
  <c r="A22" i="26"/>
  <c r="AD21" i="26"/>
  <c r="AC21" i="26"/>
  <c r="AB21" i="26"/>
  <c r="AA21" i="26"/>
  <c r="Q21" i="26"/>
  <c r="P21" i="26"/>
  <c r="O21" i="26"/>
  <c r="S21" i="26" s="1"/>
  <c r="N21" i="26"/>
  <c r="I21" i="26"/>
  <c r="F21" i="26"/>
  <c r="E21" i="26"/>
  <c r="C21" i="26"/>
  <c r="B21" i="26"/>
  <c r="A21" i="26"/>
  <c r="AD20" i="26"/>
  <c r="AC20" i="26"/>
  <c r="AB20" i="26"/>
  <c r="AA20" i="26"/>
  <c r="Q20" i="26"/>
  <c r="P20" i="26"/>
  <c r="O20" i="26"/>
  <c r="N20" i="26"/>
  <c r="I20" i="26"/>
  <c r="F20" i="26"/>
  <c r="E20" i="26"/>
  <c r="C20" i="26"/>
  <c r="B20" i="26"/>
  <c r="A20" i="26"/>
  <c r="T20" i="26" s="1"/>
  <c r="AD19" i="26"/>
  <c r="AC19" i="26"/>
  <c r="AB19" i="26"/>
  <c r="AA19" i="26"/>
  <c r="Q19" i="26"/>
  <c r="P19" i="26"/>
  <c r="O19" i="26"/>
  <c r="N19" i="26"/>
  <c r="F19" i="26"/>
  <c r="E19" i="26"/>
  <c r="C19" i="26"/>
  <c r="B19" i="26"/>
  <c r="A19" i="26"/>
  <c r="T19" i="26" s="1"/>
  <c r="AD18" i="26"/>
  <c r="AC18" i="26"/>
  <c r="AB18" i="26"/>
  <c r="AA18" i="26"/>
  <c r="Q18" i="26"/>
  <c r="P18" i="26"/>
  <c r="O18" i="26"/>
  <c r="N18" i="26"/>
  <c r="I18" i="26"/>
  <c r="F18" i="26"/>
  <c r="E18" i="26"/>
  <c r="C18" i="26"/>
  <c r="B18" i="26"/>
  <c r="A18" i="26"/>
  <c r="AD17" i="26"/>
  <c r="AC17" i="26"/>
  <c r="AB17" i="26"/>
  <c r="AA17" i="26"/>
  <c r="Q17" i="26"/>
  <c r="P17" i="26"/>
  <c r="O17" i="26"/>
  <c r="N17" i="26"/>
  <c r="F17" i="26"/>
  <c r="E17" i="26"/>
  <c r="C17" i="26"/>
  <c r="B17" i="26"/>
  <c r="A17" i="26"/>
  <c r="T17" i="26" s="1"/>
  <c r="AD16" i="26"/>
  <c r="AC16" i="26"/>
  <c r="AB16" i="26"/>
  <c r="AA16" i="26"/>
  <c r="Q16" i="26"/>
  <c r="P16" i="26"/>
  <c r="O16" i="26"/>
  <c r="N16" i="26"/>
  <c r="I16" i="26"/>
  <c r="F16" i="26"/>
  <c r="E16" i="26"/>
  <c r="C16" i="26"/>
  <c r="B16" i="26"/>
  <c r="A16" i="26"/>
  <c r="T16" i="26" s="1"/>
  <c r="AD15" i="26"/>
  <c r="AC15" i="26"/>
  <c r="AB15" i="26"/>
  <c r="AA15" i="26"/>
  <c r="Q15" i="26"/>
  <c r="P15" i="26"/>
  <c r="O15" i="26"/>
  <c r="N15" i="26"/>
  <c r="F15" i="26"/>
  <c r="E15" i="26"/>
  <c r="C15" i="26"/>
  <c r="B15" i="26"/>
  <c r="A15" i="26"/>
  <c r="AD14" i="26"/>
  <c r="AC14" i="26"/>
  <c r="AB14" i="26"/>
  <c r="AA14" i="26"/>
  <c r="Q14" i="26"/>
  <c r="P14" i="26"/>
  <c r="O14" i="26"/>
  <c r="N14" i="26"/>
  <c r="C14" i="26"/>
  <c r="B14" i="26"/>
  <c r="A14" i="26"/>
  <c r="AD13" i="26"/>
  <c r="AC13" i="26"/>
  <c r="AB13" i="26"/>
  <c r="AA13" i="26"/>
  <c r="Q13" i="26"/>
  <c r="P13" i="26"/>
  <c r="O13" i="26"/>
  <c r="N13" i="26"/>
  <c r="F13" i="26"/>
  <c r="E13" i="26"/>
  <c r="C13" i="26"/>
  <c r="B13" i="26"/>
  <c r="A13" i="26"/>
  <c r="T13" i="26" s="1"/>
  <c r="AD12" i="26"/>
  <c r="AC12" i="26"/>
  <c r="AB12" i="26"/>
  <c r="AA12" i="26"/>
  <c r="Q12" i="26"/>
  <c r="P12" i="26"/>
  <c r="O12" i="26"/>
  <c r="N12" i="26"/>
  <c r="I12" i="26"/>
  <c r="F12" i="26"/>
  <c r="E12" i="26"/>
  <c r="C12" i="26"/>
  <c r="B12" i="26"/>
  <c r="A12" i="26"/>
  <c r="AD11" i="26"/>
  <c r="AC11" i="26"/>
  <c r="AB11" i="26"/>
  <c r="AA11" i="26"/>
  <c r="Q11" i="26"/>
  <c r="P11" i="26"/>
  <c r="O11" i="26"/>
  <c r="N11" i="26"/>
  <c r="S11" i="26" s="1"/>
  <c r="F11" i="26"/>
  <c r="E11" i="26"/>
  <c r="C11" i="26"/>
  <c r="B11" i="26"/>
  <c r="A11" i="26"/>
  <c r="AD10" i="26"/>
  <c r="AC10" i="26"/>
  <c r="AB10" i="26"/>
  <c r="AA10" i="26"/>
  <c r="Q10" i="26"/>
  <c r="P10" i="26"/>
  <c r="O10" i="26"/>
  <c r="N10" i="26"/>
  <c r="I10" i="26"/>
  <c r="F10" i="26"/>
  <c r="E10" i="26"/>
  <c r="C10" i="26"/>
  <c r="B10" i="26"/>
  <c r="A10" i="26"/>
  <c r="AD54" i="25"/>
  <c r="AC54" i="25"/>
  <c r="AB54" i="25"/>
  <c r="AA54" i="25"/>
  <c r="Q54" i="25"/>
  <c r="P54" i="25"/>
  <c r="O54" i="25"/>
  <c r="N54" i="25"/>
  <c r="G54" i="25"/>
  <c r="F54" i="25"/>
  <c r="E54" i="25"/>
  <c r="C54" i="25"/>
  <c r="B54" i="25"/>
  <c r="A54" i="25"/>
  <c r="AD53" i="25"/>
  <c r="AC53" i="25"/>
  <c r="AB53" i="25"/>
  <c r="AA53" i="25"/>
  <c r="Q53" i="25"/>
  <c r="P53" i="25"/>
  <c r="O53" i="25"/>
  <c r="N53" i="25"/>
  <c r="F53" i="25"/>
  <c r="E53" i="25"/>
  <c r="C53" i="25"/>
  <c r="B53" i="25"/>
  <c r="A53" i="25"/>
  <c r="T53" i="25" s="1"/>
  <c r="AD52" i="25"/>
  <c r="AC52" i="25"/>
  <c r="AB52" i="25"/>
  <c r="AA52" i="25"/>
  <c r="Q52" i="25"/>
  <c r="P52" i="25"/>
  <c r="O52" i="25"/>
  <c r="S52" i="25" s="1"/>
  <c r="N52" i="25"/>
  <c r="G52" i="25"/>
  <c r="F52" i="25"/>
  <c r="E52" i="25"/>
  <c r="C52" i="25"/>
  <c r="B52" i="25"/>
  <c r="A52" i="25"/>
  <c r="AD51" i="25"/>
  <c r="AC51" i="25"/>
  <c r="AB51" i="25"/>
  <c r="AA51" i="25"/>
  <c r="Q51" i="25"/>
  <c r="P51" i="25"/>
  <c r="O51" i="25"/>
  <c r="N51" i="25"/>
  <c r="G51" i="25"/>
  <c r="F51" i="25"/>
  <c r="E51" i="25"/>
  <c r="C51" i="25"/>
  <c r="B51" i="25"/>
  <c r="A51" i="25"/>
  <c r="AD50" i="25"/>
  <c r="AC50" i="25"/>
  <c r="AB50" i="25"/>
  <c r="AA50" i="25"/>
  <c r="Q50" i="25"/>
  <c r="S50" i="25" s="1"/>
  <c r="P50" i="25"/>
  <c r="O50" i="25"/>
  <c r="N50" i="25"/>
  <c r="G50" i="25"/>
  <c r="F50" i="25"/>
  <c r="E50" i="25"/>
  <c r="C50" i="25"/>
  <c r="B50" i="25"/>
  <c r="A50" i="25"/>
  <c r="AD49" i="25"/>
  <c r="AC49" i="25"/>
  <c r="AB49" i="25"/>
  <c r="AA49" i="25"/>
  <c r="Q49" i="25"/>
  <c r="S49" i="25" s="1"/>
  <c r="P49" i="25"/>
  <c r="O49" i="25"/>
  <c r="N49" i="25"/>
  <c r="G49" i="25"/>
  <c r="F49" i="25"/>
  <c r="E49" i="25"/>
  <c r="C49" i="25"/>
  <c r="B49" i="25"/>
  <c r="A49" i="25"/>
  <c r="AD48" i="25"/>
  <c r="AC48" i="25"/>
  <c r="AB48" i="25"/>
  <c r="AA48" i="25"/>
  <c r="Q48" i="25"/>
  <c r="P48" i="25"/>
  <c r="O48" i="25"/>
  <c r="N48" i="25"/>
  <c r="F48" i="25"/>
  <c r="E48" i="25"/>
  <c r="C48" i="25"/>
  <c r="B48" i="25"/>
  <c r="A48" i="25"/>
  <c r="AD47" i="25"/>
  <c r="AC47" i="25"/>
  <c r="AB47" i="25"/>
  <c r="AA47" i="25"/>
  <c r="Q47" i="25"/>
  <c r="P47" i="25"/>
  <c r="O47" i="25"/>
  <c r="N47" i="25"/>
  <c r="G47" i="25"/>
  <c r="F47" i="25"/>
  <c r="E47" i="25"/>
  <c r="C47" i="25"/>
  <c r="B47" i="25"/>
  <c r="A47" i="25"/>
  <c r="AD46" i="25"/>
  <c r="AC46" i="25"/>
  <c r="AB46" i="25"/>
  <c r="AA46" i="25"/>
  <c r="Q46" i="25"/>
  <c r="P46" i="25"/>
  <c r="O46" i="25"/>
  <c r="N46" i="25"/>
  <c r="S46" i="25" s="1"/>
  <c r="F46" i="25"/>
  <c r="E46" i="25"/>
  <c r="C46" i="25"/>
  <c r="B46" i="25"/>
  <c r="A46" i="25"/>
  <c r="T46" i="25" s="1"/>
  <c r="AD45" i="25"/>
  <c r="AC45" i="25"/>
  <c r="AB45" i="25"/>
  <c r="AA45" i="25"/>
  <c r="Q45" i="25"/>
  <c r="P45" i="25"/>
  <c r="O45" i="25"/>
  <c r="N45" i="25"/>
  <c r="G45" i="25"/>
  <c r="F45" i="25"/>
  <c r="E45" i="25"/>
  <c r="C45" i="25"/>
  <c r="B45" i="25"/>
  <c r="A45" i="25"/>
  <c r="T45" i="25" s="1"/>
  <c r="AD44" i="25"/>
  <c r="AC44" i="25"/>
  <c r="AB44" i="25"/>
  <c r="AA44" i="25"/>
  <c r="Q44" i="25"/>
  <c r="P44" i="25"/>
  <c r="O44" i="25"/>
  <c r="N44" i="25"/>
  <c r="F44" i="25"/>
  <c r="E44" i="25"/>
  <c r="C44" i="25"/>
  <c r="B44" i="25"/>
  <c r="A44" i="25"/>
  <c r="T44" i="25" s="1"/>
  <c r="AD43" i="25"/>
  <c r="AC43" i="25"/>
  <c r="AB43" i="25"/>
  <c r="AA43" i="25"/>
  <c r="Q43" i="25"/>
  <c r="P43" i="25"/>
  <c r="O43" i="25"/>
  <c r="N43" i="25"/>
  <c r="S43" i="25" s="1"/>
  <c r="C43" i="25"/>
  <c r="B43" i="25"/>
  <c r="A43" i="25"/>
  <c r="T43" i="25" s="1"/>
  <c r="AD42" i="25"/>
  <c r="AC42" i="25"/>
  <c r="AB42" i="25"/>
  <c r="AA42" i="25"/>
  <c r="Q42" i="25"/>
  <c r="P42" i="25"/>
  <c r="O42" i="25"/>
  <c r="S42" i="25" s="1"/>
  <c r="N42" i="25"/>
  <c r="I42" i="25"/>
  <c r="F42" i="25"/>
  <c r="E42" i="25"/>
  <c r="C42" i="25"/>
  <c r="B42" i="25"/>
  <c r="A42" i="25"/>
  <c r="AD41" i="25"/>
  <c r="AC41" i="25"/>
  <c r="AB41" i="25"/>
  <c r="AA41" i="25"/>
  <c r="Q41" i="25"/>
  <c r="P41" i="25"/>
  <c r="O41" i="25"/>
  <c r="N41" i="25"/>
  <c r="G41" i="25"/>
  <c r="F41" i="25"/>
  <c r="E41" i="25"/>
  <c r="C41" i="25"/>
  <c r="B41" i="25"/>
  <c r="A41" i="25"/>
  <c r="AD40" i="25"/>
  <c r="AC40" i="25"/>
  <c r="AB40" i="25"/>
  <c r="AA40" i="25"/>
  <c r="Q40" i="25"/>
  <c r="P40" i="25"/>
  <c r="O40" i="25"/>
  <c r="N40" i="25"/>
  <c r="F40" i="25"/>
  <c r="E40" i="25"/>
  <c r="C40" i="25"/>
  <c r="B40" i="25"/>
  <c r="A40" i="25"/>
  <c r="AD39" i="25"/>
  <c r="AC39" i="25"/>
  <c r="AB39" i="25"/>
  <c r="AA39" i="25"/>
  <c r="Q39" i="25"/>
  <c r="P39" i="25"/>
  <c r="O39" i="25"/>
  <c r="N39" i="25"/>
  <c r="G39" i="25"/>
  <c r="F39" i="25"/>
  <c r="E39" i="25"/>
  <c r="C39" i="25"/>
  <c r="B39" i="25"/>
  <c r="A39" i="25"/>
  <c r="AD27" i="25"/>
  <c r="AC27" i="25"/>
  <c r="AB27" i="25"/>
  <c r="AA27" i="25"/>
  <c r="Q27" i="25"/>
  <c r="P27" i="25"/>
  <c r="S27" i="25" s="1"/>
  <c r="O27" i="25"/>
  <c r="N27" i="25"/>
  <c r="I27" i="25"/>
  <c r="F27" i="25"/>
  <c r="E27" i="25"/>
  <c r="C27" i="25"/>
  <c r="B27" i="25"/>
  <c r="A27" i="25"/>
  <c r="T27" i="25" s="1"/>
  <c r="AD26" i="25"/>
  <c r="AC26" i="25"/>
  <c r="AB26" i="25"/>
  <c r="AA26" i="25"/>
  <c r="Q26" i="25"/>
  <c r="P26" i="25"/>
  <c r="O26" i="25"/>
  <c r="N26" i="25"/>
  <c r="S26" i="25" s="1"/>
  <c r="I26" i="25"/>
  <c r="F26" i="25"/>
  <c r="E26" i="25"/>
  <c r="C26" i="25"/>
  <c r="B26" i="25"/>
  <c r="A26" i="25"/>
  <c r="T26" i="25" s="1"/>
  <c r="AD25" i="25"/>
  <c r="AC25" i="25"/>
  <c r="AB25" i="25"/>
  <c r="AA25" i="25"/>
  <c r="Q25" i="25"/>
  <c r="P25" i="25"/>
  <c r="O25" i="25"/>
  <c r="N25" i="25"/>
  <c r="I25" i="25"/>
  <c r="F25" i="25"/>
  <c r="E25" i="25"/>
  <c r="C25" i="25"/>
  <c r="B25" i="25"/>
  <c r="A25" i="25"/>
  <c r="AD24" i="25"/>
  <c r="AC24" i="25"/>
  <c r="AB24" i="25"/>
  <c r="AA24" i="25"/>
  <c r="Q24" i="25"/>
  <c r="P24" i="25"/>
  <c r="O24" i="25"/>
  <c r="N24" i="25"/>
  <c r="F24" i="25"/>
  <c r="E24" i="25"/>
  <c r="C24" i="25"/>
  <c r="B24" i="25"/>
  <c r="A24" i="25"/>
  <c r="AD23" i="25"/>
  <c r="AC23" i="25"/>
  <c r="AB23" i="25"/>
  <c r="AA23" i="25"/>
  <c r="Q23" i="25"/>
  <c r="P23" i="25"/>
  <c r="O23" i="25"/>
  <c r="S23" i="25" s="1"/>
  <c r="N23" i="25"/>
  <c r="I23" i="25"/>
  <c r="F23" i="25"/>
  <c r="E23" i="25"/>
  <c r="C23" i="25"/>
  <c r="B23" i="25"/>
  <c r="A23" i="25"/>
  <c r="T23" i="25" s="1"/>
  <c r="AD22" i="25"/>
  <c r="AC22" i="25"/>
  <c r="AB22" i="25"/>
  <c r="AA22" i="25"/>
  <c r="Q22" i="25"/>
  <c r="P22" i="25"/>
  <c r="O22" i="25"/>
  <c r="N22" i="25"/>
  <c r="S22" i="25" s="1"/>
  <c r="I22" i="25"/>
  <c r="F22" i="25"/>
  <c r="E22" i="25"/>
  <c r="C22" i="25"/>
  <c r="B22" i="25"/>
  <c r="A22" i="25"/>
  <c r="AD21" i="25"/>
  <c r="AC21" i="25"/>
  <c r="AB21" i="25"/>
  <c r="AA21" i="25"/>
  <c r="Q21" i="25"/>
  <c r="P21" i="25"/>
  <c r="O21" i="25"/>
  <c r="N21" i="25"/>
  <c r="I21" i="25"/>
  <c r="F21" i="25"/>
  <c r="E21" i="25"/>
  <c r="C21" i="25"/>
  <c r="B21" i="25"/>
  <c r="A21" i="25"/>
  <c r="AD20" i="25"/>
  <c r="AC20" i="25"/>
  <c r="AB20" i="25"/>
  <c r="AA20" i="25"/>
  <c r="Q20" i="25"/>
  <c r="S20" i="25" s="1"/>
  <c r="P20" i="25"/>
  <c r="O20" i="25"/>
  <c r="N20" i="25"/>
  <c r="I20" i="25"/>
  <c r="F20" i="25"/>
  <c r="E20" i="25"/>
  <c r="C20" i="25"/>
  <c r="B20" i="25"/>
  <c r="A20" i="25"/>
  <c r="AD19" i="25"/>
  <c r="AC19" i="25"/>
  <c r="AB19" i="25"/>
  <c r="AA19" i="25"/>
  <c r="Q19" i="25"/>
  <c r="P19" i="25"/>
  <c r="O19" i="25"/>
  <c r="S19" i="25" s="1"/>
  <c r="N19" i="25"/>
  <c r="F19" i="25"/>
  <c r="E19" i="25"/>
  <c r="C19" i="25"/>
  <c r="B19" i="25"/>
  <c r="A19" i="25"/>
  <c r="AD18" i="25"/>
  <c r="AC18" i="25"/>
  <c r="AB18" i="25"/>
  <c r="AA18" i="25"/>
  <c r="Q18" i="25"/>
  <c r="P18" i="25"/>
  <c r="S18" i="25" s="1"/>
  <c r="O18" i="25"/>
  <c r="N18" i="25"/>
  <c r="I18" i="25"/>
  <c r="F18" i="25"/>
  <c r="E18" i="25"/>
  <c r="C18" i="25"/>
  <c r="B18" i="25"/>
  <c r="A18" i="25"/>
  <c r="AD17" i="25"/>
  <c r="AC17" i="25"/>
  <c r="AB17" i="25"/>
  <c r="AA17" i="25"/>
  <c r="Q17" i="25"/>
  <c r="P17" i="25"/>
  <c r="O17" i="25"/>
  <c r="N17" i="25"/>
  <c r="S17" i="25" s="1"/>
  <c r="F17" i="25"/>
  <c r="E17" i="25"/>
  <c r="C17" i="25"/>
  <c r="B17" i="25"/>
  <c r="A17" i="25"/>
  <c r="AD16" i="25"/>
  <c r="AC16" i="25"/>
  <c r="AB16" i="25"/>
  <c r="AA16" i="25"/>
  <c r="Q16" i="25"/>
  <c r="P16" i="25"/>
  <c r="S16" i="25" s="1"/>
  <c r="O16" i="25"/>
  <c r="N16" i="25"/>
  <c r="I16" i="25"/>
  <c r="F16" i="25"/>
  <c r="E16" i="25"/>
  <c r="C16" i="25"/>
  <c r="B16" i="25"/>
  <c r="A16" i="25"/>
  <c r="AD15" i="25"/>
  <c r="AC15" i="25"/>
  <c r="AB15" i="25"/>
  <c r="AA15" i="25"/>
  <c r="Q15" i="25"/>
  <c r="P15" i="25"/>
  <c r="O15" i="25"/>
  <c r="N15" i="25"/>
  <c r="F15" i="25"/>
  <c r="E15" i="25"/>
  <c r="C15" i="25"/>
  <c r="B15" i="25"/>
  <c r="A15" i="25"/>
  <c r="AD14" i="25"/>
  <c r="AC14" i="25"/>
  <c r="AB14" i="25"/>
  <c r="AA14" i="25"/>
  <c r="Q14" i="25"/>
  <c r="P14" i="25"/>
  <c r="S14" i="25" s="1"/>
  <c r="O14" i="25"/>
  <c r="N14" i="25"/>
  <c r="C14" i="25"/>
  <c r="B14" i="25"/>
  <c r="A14" i="25"/>
  <c r="T14" i="25" s="1"/>
  <c r="AD13" i="25"/>
  <c r="AC13" i="25"/>
  <c r="AB13" i="25"/>
  <c r="AA13" i="25"/>
  <c r="Q13" i="25"/>
  <c r="P13" i="25"/>
  <c r="O13" i="25"/>
  <c r="N13" i="25"/>
  <c r="S13" i="25" s="1"/>
  <c r="F13" i="25"/>
  <c r="E13" i="25"/>
  <c r="C13" i="25"/>
  <c r="B13" i="25"/>
  <c r="A13" i="25"/>
  <c r="AD12" i="25"/>
  <c r="AC12" i="25"/>
  <c r="AB12" i="25"/>
  <c r="AA12" i="25"/>
  <c r="Q12" i="25"/>
  <c r="S12" i="25" s="1"/>
  <c r="P12" i="25"/>
  <c r="O12" i="25"/>
  <c r="N12" i="25"/>
  <c r="I12" i="25"/>
  <c r="F12" i="25"/>
  <c r="E12" i="25"/>
  <c r="C12" i="25"/>
  <c r="B12" i="25"/>
  <c r="A12" i="25"/>
  <c r="AD11" i="25"/>
  <c r="AC11" i="25"/>
  <c r="AB11" i="25"/>
  <c r="AA11" i="25"/>
  <c r="Q11" i="25"/>
  <c r="P11" i="25"/>
  <c r="O11" i="25"/>
  <c r="N11" i="25"/>
  <c r="F11" i="25"/>
  <c r="E11" i="25"/>
  <c r="C11" i="25"/>
  <c r="B11" i="25"/>
  <c r="A11" i="25"/>
  <c r="T11" i="25" s="1"/>
  <c r="AD10" i="25"/>
  <c r="AC10" i="25"/>
  <c r="AB10" i="25"/>
  <c r="AA10" i="25"/>
  <c r="Q10" i="25"/>
  <c r="P10" i="25"/>
  <c r="O10" i="25"/>
  <c r="N10" i="25"/>
  <c r="S10" i="25" s="1"/>
  <c r="I10" i="25"/>
  <c r="F10" i="25"/>
  <c r="E10" i="25"/>
  <c r="C10" i="25"/>
  <c r="B10" i="25"/>
  <c r="A10" i="25"/>
  <c r="T10" i="25" s="1"/>
  <c r="S54" i="26"/>
  <c r="T54" i="26"/>
  <c r="F4" i="26"/>
  <c r="T53" i="26"/>
  <c r="S51" i="26"/>
  <c r="T51" i="26"/>
  <c r="S50" i="26"/>
  <c r="T50" i="26"/>
  <c r="S49" i="26"/>
  <c r="T49" i="26"/>
  <c r="S48" i="26"/>
  <c r="T48" i="26"/>
  <c r="S47" i="26"/>
  <c r="T47" i="26"/>
  <c r="S46" i="26"/>
  <c r="T46" i="26"/>
  <c r="T45" i="26"/>
  <c r="S43" i="26"/>
  <c r="T43" i="26"/>
  <c r="S42" i="26"/>
  <c r="T42" i="26"/>
  <c r="S41" i="26"/>
  <c r="T41" i="26"/>
  <c r="T40" i="26"/>
  <c r="T39" i="26"/>
  <c r="T26" i="26"/>
  <c r="T25" i="26"/>
  <c r="S24" i="26"/>
  <c r="T22" i="26"/>
  <c r="T21" i="26"/>
  <c r="S20" i="26"/>
  <c r="S18" i="26"/>
  <c r="T18" i="26"/>
  <c r="T15" i="26"/>
  <c r="S14" i="26"/>
  <c r="T14" i="26"/>
  <c r="T12" i="26"/>
  <c r="T11" i="26"/>
  <c r="S10" i="26"/>
  <c r="T10" i="26"/>
  <c r="T54" i="25"/>
  <c r="F4" i="25"/>
  <c r="S53" i="25"/>
  <c r="T52" i="25"/>
  <c r="S51" i="25"/>
  <c r="T51" i="25"/>
  <c r="T50" i="25"/>
  <c r="T49" i="25"/>
  <c r="S48" i="25"/>
  <c r="T48" i="25"/>
  <c r="S47" i="25"/>
  <c r="T47" i="25"/>
  <c r="S45" i="25"/>
  <c r="S44" i="25"/>
  <c r="T42" i="25"/>
  <c r="S41" i="25"/>
  <c r="T41" i="25"/>
  <c r="T40" i="25"/>
  <c r="S39" i="25"/>
  <c r="T39" i="25"/>
  <c r="S25" i="25"/>
  <c r="T25" i="25"/>
  <c r="S24" i="25"/>
  <c r="T24" i="25"/>
  <c r="T22" i="25"/>
  <c r="S21" i="25"/>
  <c r="T21" i="25"/>
  <c r="T20" i="25"/>
  <c r="T19" i="25"/>
  <c r="T18" i="25"/>
  <c r="T17" i="25"/>
  <c r="T16" i="25"/>
  <c r="S15" i="25"/>
  <c r="T15" i="25"/>
  <c r="T13" i="25"/>
  <c r="T12" i="25"/>
  <c r="C47" i="23"/>
  <c r="C46" i="23"/>
  <c r="C45" i="23"/>
  <c r="C44" i="23"/>
  <c r="C43" i="23"/>
  <c r="C42" i="23"/>
  <c r="C41" i="23"/>
  <c r="C40" i="23"/>
  <c r="C39" i="23"/>
  <c r="C38" i="23"/>
  <c r="C37" i="23"/>
  <c r="C36" i="23"/>
  <c r="C35" i="23"/>
  <c r="C34" i="23"/>
  <c r="C33" i="23"/>
  <c r="C32" i="23"/>
  <c r="C27" i="23"/>
  <c r="C26" i="23"/>
  <c r="C25" i="23"/>
  <c r="C24" i="23"/>
  <c r="C23" i="23"/>
  <c r="C22" i="23"/>
  <c r="C21" i="23"/>
  <c r="C20" i="23"/>
  <c r="C19" i="23"/>
  <c r="C18" i="23"/>
  <c r="C17" i="23"/>
  <c r="C16" i="23"/>
  <c r="C15" i="23"/>
  <c r="C14" i="23"/>
  <c r="C13" i="23"/>
  <c r="C12" i="23"/>
  <c r="C11" i="23"/>
  <c r="C10" i="23"/>
  <c r="C44" i="22"/>
  <c r="C26" i="22"/>
  <c r="C22" i="22"/>
  <c r="Y46" i="23"/>
  <c r="Z46" i="23"/>
  <c r="AA46" i="23"/>
  <c r="AB46" i="23"/>
  <c r="Y47" i="23"/>
  <c r="Z47" i="23"/>
  <c r="AA47" i="23"/>
  <c r="AB47" i="23"/>
  <c r="N46" i="23"/>
  <c r="O46" i="23"/>
  <c r="P46" i="23"/>
  <c r="Q46" i="23"/>
  <c r="N47" i="23"/>
  <c r="O47" i="23"/>
  <c r="P47" i="23"/>
  <c r="Q47" i="23"/>
  <c r="I35" i="23"/>
  <c r="Y46" i="22"/>
  <c r="Z46" i="22"/>
  <c r="AA46" i="22"/>
  <c r="AB46" i="22"/>
  <c r="Y47" i="22"/>
  <c r="Z47" i="22"/>
  <c r="AA47" i="22"/>
  <c r="AB47" i="22"/>
  <c r="N46" i="22"/>
  <c r="O46" i="22"/>
  <c r="P46" i="22"/>
  <c r="Q46" i="22"/>
  <c r="N47" i="22"/>
  <c r="O47" i="22"/>
  <c r="P47" i="22"/>
  <c r="Q47" i="22"/>
  <c r="I35" i="22"/>
  <c r="C46" i="22"/>
  <c r="C47" i="22"/>
  <c r="Y24" i="23"/>
  <c r="Z24" i="23"/>
  <c r="AA24" i="23"/>
  <c r="AB24" i="23"/>
  <c r="Y25" i="23"/>
  <c r="Z25" i="23"/>
  <c r="AA25" i="23"/>
  <c r="AB25" i="23"/>
  <c r="Y26" i="23"/>
  <c r="Z26" i="23"/>
  <c r="AA26" i="23"/>
  <c r="AB26" i="23"/>
  <c r="Y27" i="23"/>
  <c r="Z27" i="23"/>
  <c r="AA27" i="23"/>
  <c r="AB27" i="23"/>
  <c r="N24" i="23"/>
  <c r="O24" i="23"/>
  <c r="P24" i="23"/>
  <c r="Q24" i="23"/>
  <c r="N25" i="23"/>
  <c r="O25" i="23"/>
  <c r="P25" i="23"/>
  <c r="Q25" i="23"/>
  <c r="N26" i="23"/>
  <c r="O26" i="23"/>
  <c r="P26" i="23"/>
  <c r="Q26" i="23"/>
  <c r="N27" i="23"/>
  <c r="O27" i="23"/>
  <c r="P27" i="23"/>
  <c r="Q27" i="23"/>
  <c r="Y24" i="22"/>
  <c r="Z24" i="22"/>
  <c r="AA24" i="22"/>
  <c r="AB24" i="22"/>
  <c r="Y25" i="22"/>
  <c r="Z25" i="22"/>
  <c r="AA25" i="22"/>
  <c r="AB25" i="22"/>
  <c r="Y26" i="22"/>
  <c r="Z26" i="22"/>
  <c r="AA26" i="22"/>
  <c r="AB26" i="22"/>
  <c r="Y27" i="22"/>
  <c r="Z27" i="22"/>
  <c r="AA27" i="22"/>
  <c r="AB27" i="22"/>
  <c r="N24" i="22"/>
  <c r="O24" i="22"/>
  <c r="P24" i="22"/>
  <c r="Q24" i="22"/>
  <c r="N25" i="22"/>
  <c r="O25" i="22"/>
  <c r="P25" i="22"/>
  <c r="Q25" i="22"/>
  <c r="N26" i="22"/>
  <c r="O26" i="22"/>
  <c r="P26" i="22"/>
  <c r="Q26" i="22"/>
  <c r="N27" i="22"/>
  <c r="O27" i="22"/>
  <c r="P27" i="22"/>
  <c r="Q27" i="22"/>
  <c r="C24" i="22"/>
  <c r="C25" i="22"/>
  <c r="C27" i="22"/>
  <c r="A46" i="23"/>
  <c r="B46" i="23"/>
  <c r="A47" i="23"/>
  <c r="B47" i="23"/>
  <c r="A24" i="23"/>
  <c r="B24" i="23"/>
  <c r="A25" i="23"/>
  <c r="B25" i="23"/>
  <c r="A26" i="23"/>
  <c r="B26" i="23"/>
  <c r="A27" i="23"/>
  <c r="B27" i="23"/>
  <c r="A46" i="22"/>
  <c r="B46" i="22"/>
  <c r="A47" i="22"/>
  <c r="B47" i="22"/>
  <c r="A24" i="22"/>
  <c r="B24" i="22"/>
  <c r="A25" i="22"/>
  <c r="B25" i="22"/>
  <c r="A26" i="22"/>
  <c r="B26" i="22"/>
  <c r="A27" i="22"/>
  <c r="B27" i="22"/>
  <c r="AB45" i="23"/>
  <c r="AA45" i="23"/>
  <c r="Z45" i="23"/>
  <c r="Y45" i="23"/>
  <c r="Q45" i="23"/>
  <c r="P45" i="23"/>
  <c r="O45" i="23"/>
  <c r="N45" i="23"/>
  <c r="B45" i="23"/>
  <c r="A45" i="23"/>
  <c r="AB44" i="23"/>
  <c r="AA44" i="23"/>
  <c r="Z44" i="23"/>
  <c r="Y44" i="23"/>
  <c r="Q44" i="23"/>
  <c r="P44" i="23"/>
  <c r="O44" i="23"/>
  <c r="N44" i="23"/>
  <c r="B44" i="23"/>
  <c r="A44" i="23"/>
  <c r="AB43" i="23"/>
  <c r="AA43" i="23"/>
  <c r="Z43" i="23"/>
  <c r="Y43" i="23"/>
  <c r="Q43" i="23"/>
  <c r="P43" i="23"/>
  <c r="O43" i="23"/>
  <c r="N43" i="23"/>
  <c r="B43" i="23"/>
  <c r="A43" i="23"/>
  <c r="AB42" i="23"/>
  <c r="AA42" i="23"/>
  <c r="Z42" i="23"/>
  <c r="Y42" i="23"/>
  <c r="Q42" i="23"/>
  <c r="P42" i="23"/>
  <c r="O42" i="23"/>
  <c r="N42" i="23"/>
  <c r="B42" i="23"/>
  <c r="A42" i="23"/>
  <c r="AB41" i="23"/>
  <c r="AA41" i="23"/>
  <c r="Z41" i="23"/>
  <c r="Y41" i="23"/>
  <c r="Q41" i="23"/>
  <c r="P41" i="23"/>
  <c r="O41" i="23"/>
  <c r="N41" i="23"/>
  <c r="B41" i="23"/>
  <c r="A41" i="23"/>
  <c r="AB40" i="23"/>
  <c r="AA40" i="23"/>
  <c r="Z40" i="23"/>
  <c r="Y40" i="23"/>
  <c r="Q40" i="23"/>
  <c r="P40" i="23"/>
  <c r="O40" i="23"/>
  <c r="N40" i="23"/>
  <c r="B40" i="23"/>
  <c r="A40" i="23"/>
  <c r="AB39" i="23"/>
  <c r="AA39" i="23"/>
  <c r="Z39" i="23"/>
  <c r="Y39" i="23"/>
  <c r="Q39" i="23"/>
  <c r="P39" i="23"/>
  <c r="O39" i="23"/>
  <c r="N39" i="23"/>
  <c r="B39" i="23"/>
  <c r="A39" i="23"/>
  <c r="AB38" i="23"/>
  <c r="AA38" i="23"/>
  <c r="Z38" i="23"/>
  <c r="Y38" i="23"/>
  <c r="Q38" i="23"/>
  <c r="P38" i="23"/>
  <c r="O38" i="23"/>
  <c r="N38" i="23"/>
  <c r="B38" i="23"/>
  <c r="A38" i="23"/>
  <c r="AB37" i="23"/>
  <c r="AA37" i="23"/>
  <c r="Z37" i="23"/>
  <c r="Y37" i="23"/>
  <c r="Q37" i="23"/>
  <c r="P37" i="23"/>
  <c r="O37" i="23"/>
  <c r="N37" i="23"/>
  <c r="B37" i="23"/>
  <c r="A37" i="23"/>
  <c r="AB36" i="23"/>
  <c r="AA36" i="23"/>
  <c r="Z36" i="23"/>
  <c r="Y36" i="23"/>
  <c r="Q36" i="23"/>
  <c r="P36" i="23"/>
  <c r="O36" i="23"/>
  <c r="N36" i="23"/>
  <c r="B36" i="23"/>
  <c r="A36" i="23"/>
  <c r="AB35" i="23"/>
  <c r="AA35" i="23"/>
  <c r="Z35" i="23"/>
  <c r="Y35" i="23"/>
  <c r="Q35" i="23"/>
  <c r="P35" i="23"/>
  <c r="O35" i="23"/>
  <c r="N35" i="23"/>
  <c r="B35" i="23"/>
  <c r="A35" i="23"/>
  <c r="AB34" i="23"/>
  <c r="AA34" i="23"/>
  <c r="Z34" i="23"/>
  <c r="Y34" i="23"/>
  <c r="Q34" i="23"/>
  <c r="P34" i="23"/>
  <c r="O34" i="23"/>
  <c r="N34" i="23"/>
  <c r="B34" i="23"/>
  <c r="A34" i="23"/>
  <c r="AB33" i="23"/>
  <c r="AA33" i="23"/>
  <c r="Z33" i="23"/>
  <c r="Y33" i="23"/>
  <c r="Q33" i="23"/>
  <c r="P33" i="23"/>
  <c r="O33" i="23"/>
  <c r="N33" i="23"/>
  <c r="B33" i="23"/>
  <c r="A33" i="23"/>
  <c r="AB32" i="23"/>
  <c r="AA32" i="23"/>
  <c r="Z32" i="23"/>
  <c r="Y32" i="23"/>
  <c r="Q32" i="23"/>
  <c r="P32" i="23"/>
  <c r="O32" i="23"/>
  <c r="N32" i="23"/>
  <c r="B32" i="23"/>
  <c r="A32" i="23"/>
  <c r="AB23" i="23"/>
  <c r="AA23" i="23"/>
  <c r="Z23" i="23"/>
  <c r="Y23" i="23"/>
  <c r="Q23" i="23"/>
  <c r="P23" i="23"/>
  <c r="O23" i="23"/>
  <c r="N23" i="23"/>
  <c r="B23" i="23"/>
  <c r="A23" i="23"/>
  <c r="AB22" i="23"/>
  <c r="AA22" i="23"/>
  <c r="Z22" i="23"/>
  <c r="Y22" i="23"/>
  <c r="Q22" i="23"/>
  <c r="P22" i="23"/>
  <c r="O22" i="23"/>
  <c r="N22" i="23"/>
  <c r="B22" i="23"/>
  <c r="A22" i="23"/>
  <c r="AB21" i="23"/>
  <c r="AA21" i="23"/>
  <c r="Z21" i="23"/>
  <c r="Y21" i="23"/>
  <c r="Q21" i="23"/>
  <c r="P21" i="23"/>
  <c r="O21" i="23"/>
  <c r="N21" i="23"/>
  <c r="B21" i="23"/>
  <c r="A21" i="23"/>
  <c r="AB20" i="23"/>
  <c r="AA20" i="23"/>
  <c r="Z20" i="23"/>
  <c r="Y20" i="23"/>
  <c r="Q20" i="23"/>
  <c r="P20" i="23"/>
  <c r="O20" i="23"/>
  <c r="N20" i="23"/>
  <c r="B20" i="23"/>
  <c r="A20" i="23"/>
  <c r="AB19" i="23"/>
  <c r="AA19" i="23"/>
  <c r="Z19" i="23"/>
  <c r="Y19" i="23"/>
  <c r="Q19" i="23"/>
  <c r="P19" i="23"/>
  <c r="O19" i="23"/>
  <c r="N19" i="23"/>
  <c r="B19" i="23"/>
  <c r="A19" i="23"/>
  <c r="AB18" i="23"/>
  <c r="AA18" i="23"/>
  <c r="Z18" i="23"/>
  <c r="Y18" i="23"/>
  <c r="Q18" i="23"/>
  <c r="P18" i="23"/>
  <c r="O18" i="23"/>
  <c r="N18" i="23"/>
  <c r="B18" i="23"/>
  <c r="A18" i="23"/>
  <c r="AB17" i="23"/>
  <c r="AA17" i="23"/>
  <c r="Z17" i="23"/>
  <c r="Y17" i="23"/>
  <c r="Q17" i="23"/>
  <c r="P17" i="23"/>
  <c r="O17" i="23"/>
  <c r="N17" i="23"/>
  <c r="B17" i="23"/>
  <c r="A17" i="23"/>
  <c r="AB16" i="23"/>
  <c r="AA16" i="23"/>
  <c r="Z16" i="23"/>
  <c r="Y16" i="23"/>
  <c r="Q16" i="23"/>
  <c r="P16" i="23"/>
  <c r="O16" i="23"/>
  <c r="N16" i="23"/>
  <c r="B16" i="23"/>
  <c r="A16" i="23"/>
  <c r="AB15" i="23"/>
  <c r="AA15" i="23"/>
  <c r="Z15" i="23"/>
  <c r="Y15" i="23"/>
  <c r="Q15" i="23"/>
  <c r="P15" i="23"/>
  <c r="O15" i="23"/>
  <c r="N15" i="23"/>
  <c r="B15" i="23"/>
  <c r="A15" i="23"/>
  <c r="AB14" i="23"/>
  <c r="AA14" i="23"/>
  <c r="Z14" i="23"/>
  <c r="Y14" i="23"/>
  <c r="Q14" i="23"/>
  <c r="P14" i="23"/>
  <c r="O14" i="23"/>
  <c r="N14" i="23"/>
  <c r="B14" i="23"/>
  <c r="A14" i="23"/>
  <c r="AB13" i="23"/>
  <c r="AA13" i="23"/>
  <c r="Z13" i="23"/>
  <c r="Y13" i="23"/>
  <c r="Q13" i="23"/>
  <c r="P13" i="23"/>
  <c r="O13" i="23"/>
  <c r="N13" i="23"/>
  <c r="B13" i="23"/>
  <c r="A13" i="23"/>
  <c r="AB12" i="23"/>
  <c r="AA12" i="23"/>
  <c r="Z12" i="23"/>
  <c r="Y12" i="23"/>
  <c r="Q12" i="23"/>
  <c r="P12" i="23"/>
  <c r="O12" i="23"/>
  <c r="N12" i="23"/>
  <c r="B12" i="23"/>
  <c r="A12" i="23"/>
  <c r="AB11" i="23"/>
  <c r="AA11" i="23"/>
  <c r="Z11" i="23"/>
  <c r="Y11" i="23"/>
  <c r="Q11" i="23"/>
  <c r="P11" i="23"/>
  <c r="O11" i="23"/>
  <c r="N11" i="23"/>
  <c r="B11" i="23"/>
  <c r="A11" i="23"/>
  <c r="AB10" i="23"/>
  <c r="AA10" i="23"/>
  <c r="Z10" i="23"/>
  <c r="Y10" i="23"/>
  <c r="Q10" i="23"/>
  <c r="P10" i="23"/>
  <c r="O10" i="23"/>
  <c r="N10" i="23"/>
  <c r="B10" i="23"/>
  <c r="A10" i="23"/>
  <c r="AB45" i="22"/>
  <c r="AA45" i="22"/>
  <c r="Z45" i="22"/>
  <c r="Y45" i="22"/>
  <c r="Q45" i="22"/>
  <c r="P45" i="22"/>
  <c r="O45" i="22"/>
  <c r="N45" i="22"/>
  <c r="C45" i="22"/>
  <c r="B45" i="22"/>
  <c r="A45" i="22"/>
  <c r="AB44" i="22"/>
  <c r="AA44" i="22"/>
  <c r="Z44" i="22"/>
  <c r="Y44" i="22"/>
  <c r="Q44" i="22"/>
  <c r="P44" i="22"/>
  <c r="O44" i="22"/>
  <c r="N44" i="22"/>
  <c r="B44" i="22"/>
  <c r="A44" i="22"/>
  <c r="AB43" i="22"/>
  <c r="AA43" i="22"/>
  <c r="Z43" i="22"/>
  <c r="Y43" i="22"/>
  <c r="Q43" i="22"/>
  <c r="P43" i="22"/>
  <c r="O43" i="22"/>
  <c r="N43" i="22"/>
  <c r="C43" i="22"/>
  <c r="B43" i="22"/>
  <c r="A43" i="22"/>
  <c r="AB42" i="22"/>
  <c r="AA42" i="22"/>
  <c r="Z42" i="22"/>
  <c r="Y42" i="22"/>
  <c r="Q42" i="22"/>
  <c r="P42" i="22"/>
  <c r="O42" i="22"/>
  <c r="N42" i="22"/>
  <c r="C42" i="22"/>
  <c r="B42" i="22"/>
  <c r="A42" i="22"/>
  <c r="AB41" i="22"/>
  <c r="AA41" i="22"/>
  <c r="Z41" i="22"/>
  <c r="Y41" i="22"/>
  <c r="Q41" i="22"/>
  <c r="P41" i="22"/>
  <c r="O41" i="22"/>
  <c r="N41" i="22"/>
  <c r="C41" i="22"/>
  <c r="B41" i="22"/>
  <c r="A41" i="22"/>
  <c r="AB40" i="22"/>
  <c r="AA40" i="22"/>
  <c r="Z40" i="22"/>
  <c r="Y40" i="22"/>
  <c r="Q40" i="22"/>
  <c r="P40" i="22"/>
  <c r="O40" i="22"/>
  <c r="N40" i="22"/>
  <c r="C40" i="22"/>
  <c r="B40" i="22"/>
  <c r="A40" i="22"/>
  <c r="AB39" i="22"/>
  <c r="AA39" i="22"/>
  <c r="Z39" i="22"/>
  <c r="Y39" i="22"/>
  <c r="Q39" i="22"/>
  <c r="P39" i="22"/>
  <c r="O39" i="22"/>
  <c r="N39" i="22"/>
  <c r="C39" i="22"/>
  <c r="B39" i="22"/>
  <c r="A39" i="22"/>
  <c r="AB38" i="22"/>
  <c r="AA38" i="22"/>
  <c r="Z38" i="22"/>
  <c r="Y38" i="22"/>
  <c r="Q38" i="22"/>
  <c r="P38" i="22"/>
  <c r="O38" i="22"/>
  <c r="N38" i="22"/>
  <c r="C38" i="22"/>
  <c r="B38" i="22"/>
  <c r="A38" i="22"/>
  <c r="AB37" i="22"/>
  <c r="AA37" i="22"/>
  <c r="Z37" i="22"/>
  <c r="Y37" i="22"/>
  <c r="Q37" i="22"/>
  <c r="P37" i="22"/>
  <c r="O37" i="22"/>
  <c r="N37" i="22"/>
  <c r="C37" i="22"/>
  <c r="B37" i="22"/>
  <c r="A37" i="22"/>
  <c r="AB36" i="22"/>
  <c r="AA36" i="22"/>
  <c r="Z36" i="22"/>
  <c r="Y36" i="22"/>
  <c r="Q36" i="22"/>
  <c r="P36" i="22"/>
  <c r="O36" i="22"/>
  <c r="N36" i="22"/>
  <c r="C36" i="22"/>
  <c r="B36" i="22"/>
  <c r="A36" i="22"/>
  <c r="AB35" i="22"/>
  <c r="AA35" i="22"/>
  <c r="Z35" i="22"/>
  <c r="Y35" i="22"/>
  <c r="Q35" i="22"/>
  <c r="P35" i="22"/>
  <c r="O35" i="22"/>
  <c r="N35" i="22"/>
  <c r="C35" i="22"/>
  <c r="B35" i="22"/>
  <c r="A35" i="22"/>
  <c r="AB34" i="22"/>
  <c r="AA34" i="22"/>
  <c r="Z34" i="22"/>
  <c r="Y34" i="22"/>
  <c r="Q34" i="22"/>
  <c r="P34" i="22"/>
  <c r="O34" i="22"/>
  <c r="N34" i="22"/>
  <c r="C34" i="22"/>
  <c r="B34" i="22"/>
  <c r="A34" i="22"/>
  <c r="AB33" i="22"/>
  <c r="AA33" i="22"/>
  <c r="Z33" i="22"/>
  <c r="Y33" i="22"/>
  <c r="Q33" i="22"/>
  <c r="P33" i="22"/>
  <c r="O33" i="22"/>
  <c r="N33" i="22"/>
  <c r="C33" i="22"/>
  <c r="B33" i="22"/>
  <c r="A33" i="22"/>
  <c r="AB32" i="22"/>
  <c r="AA32" i="22"/>
  <c r="Z32" i="22"/>
  <c r="Y32" i="22"/>
  <c r="Q32" i="22"/>
  <c r="P32" i="22"/>
  <c r="O32" i="22"/>
  <c r="N32" i="22"/>
  <c r="C32" i="22"/>
  <c r="B32" i="22"/>
  <c r="A32" i="22"/>
  <c r="AB23" i="22"/>
  <c r="AA23" i="22"/>
  <c r="Z23" i="22"/>
  <c r="Y23" i="22"/>
  <c r="Q23" i="22"/>
  <c r="P23" i="22"/>
  <c r="O23" i="22"/>
  <c r="N23" i="22"/>
  <c r="C23" i="22"/>
  <c r="B23" i="22"/>
  <c r="A23" i="22"/>
  <c r="AB22" i="22"/>
  <c r="AA22" i="22"/>
  <c r="Z22" i="22"/>
  <c r="Y22" i="22"/>
  <c r="Q22" i="22"/>
  <c r="P22" i="22"/>
  <c r="O22" i="22"/>
  <c r="N22" i="22"/>
  <c r="B22" i="22"/>
  <c r="A22" i="22"/>
  <c r="AB21" i="22"/>
  <c r="AA21" i="22"/>
  <c r="Z21" i="22"/>
  <c r="Y21" i="22"/>
  <c r="Q21" i="22"/>
  <c r="P21" i="22"/>
  <c r="O21" i="22"/>
  <c r="N21" i="22"/>
  <c r="C21" i="22"/>
  <c r="B21" i="22"/>
  <c r="A21" i="22"/>
  <c r="AB20" i="22"/>
  <c r="AA20" i="22"/>
  <c r="Z20" i="22"/>
  <c r="Y20" i="22"/>
  <c r="Q20" i="22"/>
  <c r="P20" i="22"/>
  <c r="O20" i="22"/>
  <c r="N20" i="22"/>
  <c r="C20" i="22"/>
  <c r="B20" i="22"/>
  <c r="A20" i="22"/>
  <c r="AB19" i="22"/>
  <c r="AA19" i="22"/>
  <c r="Z19" i="22"/>
  <c r="Y19" i="22"/>
  <c r="Q19" i="22"/>
  <c r="P19" i="22"/>
  <c r="O19" i="22"/>
  <c r="N19" i="22"/>
  <c r="C19" i="22"/>
  <c r="B19" i="22"/>
  <c r="A19" i="22"/>
  <c r="AB18" i="22"/>
  <c r="AA18" i="22"/>
  <c r="Z18" i="22"/>
  <c r="Y18" i="22"/>
  <c r="Q18" i="22"/>
  <c r="P18" i="22"/>
  <c r="O18" i="22"/>
  <c r="N18" i="22"/>
  <c r="C18" i="22"/>
  <c r="B18" i="22"/>
  <c r="A18" i="22"/>
  <c r="AB17" i="22"/>
  <c r="AA17" i="22"/>
  <c r="Z17" i="22"/>
  <c r="Y17" i="22"/>
  <c r="Q17" i="22"/>
  <c r="P17" i="22"/>
  <c r="O17" i="22"/>
  <c r="N17" i="22"/>
  <c r="C17" i="22"/>
  <c r="B17" i="22"/>
  <c r="A17" i="22"/>
  <c r="AB16" i="22"/>
  <c r="AA16" i="22"/>
  <c r="Z16" i="22"/>
  <c r="Y16" i="22"/>
  <c r="Q16" i="22"/>
  <c r="P16" i="22"/>
  <c r="O16" i="22"/>
  <c r="N16" i="22"/>
  <c r="C16" i="22"/>
  <c r="B16" i="22"/>
  <c r="A16" i="22"/>
  <c r="AB15" i="22"/>
  <c r="AA15" i="22"/>
  <c r="Z15" i="22"/>
  <c r="Y15" i="22"/>
  <c r="Q15" i="22"/>
  <c r="P15" i="22"/>
  <c r="O15" i="22"/>
  <c r="N15" i="22"/>
  <c r="C15" i="22"/>
  <c r="B15" i="22"/>
  <c r="A15" i="22"/>
  <c r="AB14" i="22"/>
  <c r="AA14" i="22"/>
  <c r="Z14" i="22"/>
  <c r="Y14" i="22"/>
  <c r="Q14" i="22"/>
  <c r="P14" i="22"/>
  <c r="O14" i="22"/>
  <c r="N14" i="22"/>
  <c r="C14" i="22"/>
  <c r="B14" i="22"/>
  <c r="A14" i="22"/>
  <c r="AB13" i="22"/>
  <c r="AA13" i="22"/>
  <c r="Z13" i="22"/>
  <c r="Y13" i="22"/>
  <c r="Q13" i="22"/>
  <c r="P13" i="22"/>
  <c r="O13" i="22"/>
  <c r="N13" i="22"/>
  <c r="C13" i="22"/>
  <c r="B13" i="22"/>
  <c r="A13" i="22"/>
  <c r="AB12" i="22"/>
  <c r="AA12" i="22"/>
  <c r="Z12" i="22"/>
  <c r="Y12" i="22"/>
  <c r="Q12" i="22"/>
  <c r="P12" i="22"/>
  <c r="O12" i="22"/>
  <c r="N12" i="22"/>
  <c r="C12" i="22"/>
  <c r="B12" i="22"/>
  <c r="A12" i="22"/>
  <c r="AB11" i="22"/>
  <c r="AA11" i="22"/>
  <c r="Z11" i="22"/>
  <c r="Y11" i="22"/>
  <c r="Q11" i="22"/>
  <c r="P11" i="22"/>
  <c r="O11" i="22"/>
  <c r="N11" i="22"/>
  <c r="C11" i="22"/>
  <c r="B11" i="22"/>
  <c r="A11" i="22"/>
  <c r="AB10" i="22"/>
  <c r="AA10" i="22"/>
  <c r="Z10" i="22"/>
  <c r="Y10" i="22"/>
  <c r="Q10" i="22"/>
  <c r="P10" i="22"/>
  <c r="O10" i="22"/>
  <c r="N10" i="22"/>
  <c r="C10" i="22"/>
  <c r="B10" i="22"/>
  <c r="A10" i="22"/>
  <c r="F4" i="23"/>
  <c r="F4" i="22"/>
  <c r="C13" i="20"/>
  <c r="Y39" i="20"/>
  <c r="Z41" i="19"/>
  <c r="AA41" i="19"/>
  <c r="AB41" i="19"/>
  <c r="Y41" i="19"/>
  <c r="N41" i="19"/>
  <c r="O41" i="19"/>
  <c r="P41" i="19"/>
  <c r="Q41" i="19"/>
  <c r="A41" i="19"/>
  <c r="B41" i="19"/>
  <c r="C41" i="19"/>
  <c r="Y23" i="19"/>
  <c r="Z23" i="19"/>
  <c r="AA23" i="19"/>
  <c r="AB23" i="19"/>
  <c r="N23" i="19"/>
  <c r="O23" i="19"/>
  <c r="P23" i="19"/>
  <c r="Q23" i="19"/>
  <c r="A23" i="19"/>
  <c r="B23" i="19"/>
  <c r="C23" i="19"/>
  <c r="A41" i="20"/>
  <c r="B41" i="20"/>
  <c r="C41" i="20"/>
  <c r="N41" i="20"/>
  <c r="O41" i="20"/>
  <c r="P41" i="20"/>
  <c r="Q41" i="20"/>
  <c r="Y41" i="20"/>
  <c r="Z41" i="20"/>
  <c r="AA41" i="20"/>
  <c r="AB41" i="20"/>
  <c r="A23" i="20"/>
  <c r="B23" i="20"/>
  <c r="C23" i="20"/>
  <c r="N23" i="20"/>
  <c r="O23" i="20"/>
  <c r="P23" i="20"/>
  <c r="Q23" i="20"/>
  <c r="Y23" i="20"/>
  <c r="Z23" i="20"/>
  <c r="AA23" i="20"/>
  <c r="AB23" i="20"/>
  <c r="AB40" i="20"/>
  <c r="AA40" i="20"/>
  <c r="Z40" i="20"/>
  <c r="Y40" i="20"/>
  <c r="Q40" i="20"/>
  <c r="P40" i="20"/>
  <c r="O40" i="20"/>
  <c r="N40" i="20"/>
  <c r="C40" i="20"/>
  <c r="B40" i="20"/>
  <c r="A40" i="20"/>
  <c r="AB39" i="20"/>
  <c r="AA39" i="20"/>
  <c r="Z39" i="20"/>
  <c r="Q39" i="20"/>
  <c r="P39" i="20"/>
  <c r="O39" i="20"/>
  <c r="N39" i="20"/>
  <c r="C39" i="20"/>
  <c r="B39" i="20"/>
  <c r="A39" i="20"/>
  <c r="AB38" i="20"/>
  <c r="AA38" i="20"/>
  <c r="Z38" i="20"/>
  <c r="Y38" i="20"/>
  <c r="Q38" i="20"/>
  <c r="P38" i="20"/>
  <c r="O38" i="20"/>
  <c r="N38" i="20"/>
  <c r="C38" i="20"/>
  <c r="B38" i="20"/>
  <c r="A38" i="20"/>
  <c r="AB37" i="20"/>
  <c r="AA37" i="20"/>
  <c r="Z37" i="20"/>
  <c r="Y37" i="20"/>
  <c r="Q37" i="20"/>
  <c r="P37" i="20"/>
  <c r="O37" i="20"/>
  <c r="N37" i="20"/>
  <c r="C37" i="20"/>
  <c r="B37" i="20"/>
  <c r="A37" i="20"/>
  <c r="AB36" i="20"/>
  <c r="AA36" i="20"/>
  <c r="Z36" i="20"/>
  <c r="Y36" i="20"/>
  <c r="Q36" i="20"/>
  <c r="P36" i="20"/>
  <c r="O36" i="20"/>
  <c r="N36" i="20"/>
  <c r="C36" i="20"/>
  <c r="B36" i="20"/>
  <c r="A36" i="20"/>
  <c r="AB35" i="20"/>
  <c r="AA35" i="20"/>
  <c r="Z35" i="20"/>
  <c r="Y35" i="20"/>
  <c r="Q35" i="20"/>
  <c r="P35" i="20"/>
  <c r="O35" i="20"/>
  <c r="N35" i="20"/>
  <c r="C35" i="20"/>
  <c r="B35" i="20"/>
  <c r="A35" i="20"/>
  <c r="AB34" i="20"/>
  <c r="AA34" i="20"/>
  <c r="Z34" i="20"/>
  <c r="Y34" i="20"/>
  <c r="Q34" i="20"/>
  <c r="P34" i="20"/>
  <c r="O34" i="20"/>
  <c r="N34" i="20"/>
  <c r="C34" i="20"/>
  <c r="B34" i="20"/>
  <c r="A34" i="20"/>
  <c r="AB33" i="20"/>
  <c r="AA33" i="20"/>
  <c r="Z33" i="20"/>
  <c r="Y33" i="20"/>
  <c r="Q33" i="20"/>
  <c r="P33" i="20"/>
  <c r="O33" i="20"/>
  <c r="N33" i="20"/>
  <c r="C33" i="20"/>
  <c r="B33" i="20"/>
  <c r="A33" i="20"/>
  <c r="AB32" i="20"/>
  <c r="AA32" i="20"/>
  <c r="Z32" i="20"/>
  <c r="Y32" i="20"/>
  <c r="Q32" i="20"/>
  <c r="P32" i="20"/>
  <c r="O32" i="20"/>
  <c r="N32" i="20"/>
  <c r="C32" i="20"/>
  <c r="B32" i="20"/>
  <c r="A32" i="20"/>
  <c r="AB31" i="20"/>
  <c r="AA31" i="20"/>
  <c r="Z31" i="20"/>
  <c r="Y31" i="20"/>
  <c r="Q31" i="20"/>
  <c r="P31" i="20"/>
  <c r="O31" i="20"/>
  <c r="N31" i="20"/>
  <c r="C31" i="20"/>
  <c r="B31" i="20"/>
  <c r="A31" i="20"/>
  <c r="AB30" i="20"/>
  <c r="AA30" i="20"/>
  <c r="Z30" i="20"/>
  <c r="Y30" i="20"/>
  <c r="Q30" i="20"/>
  <c r="P30" i="20"/>
  <c r="O30" i="20"/>
  <c r="N30" i="20"/>
  <c r="C30" i="20"/>
  <c r="B30" i="20"/>
  <c r="A30" i="20"/>
  <c r="AB29" i="20"/>
  <c r="AA29" i="20"/>
  <c r="Z29" i="20"/>
  <c r="Y29" i="20"/>
  <c r="Q29" i="20"/>
  <c r="P29" i="20"/>
  <c r="O29" i="20"/>
  <c r="N29" i="20"/>
  <c r="C29" i="20"/>
  <c r="B29" i="20"/>
  <c r="A29" i="20"/>
  <c r="AB28" i="20"/>
  <c r="AA28" i="20"/>
  <c r="Z28" i="20"/>
  <c r="Y28" i="20"/>
  <c r="Q28" i="20"/>
  <c r="P28" i="20"/>
  <c r="O28" i="20"/>
  <c r="N28" i="20"/>
  <c r="C28" i="20"/>
  <c r="B28" i="20"/>
  <c r="A28" i="20"/>
  <c r="AB22" i="20"/>
  <c r="AA22" i="20"/>
  <c r="Z22" i="20"/>
  <c r="Y22" i="20"/>
  <c r="Q22" i="20"/>
  <c r="P22" i="20"/>
  <c r="O22" i="20"/>
  <c r="N22" i="20"/>
  <c r="C22" i="20"/>
  <c r="B22" i="20"/>
  <c r="A22" i="20"/>
  <c r="AB21" i="20"/>
  <c r="AA21" i="20"/>
  <c r="Z21" i="20"/>
  <c r="Y21" i="20"/>
  <c r="Q21" i="20"/>
  <c r="P21" i="20"/>
  <c r="O21" i="20"/>
  <c r="N21" i="20"/>
  <c r="C21" i="20"/>
  <c r="B21" i="20"/>
  <c r="A21" i="20"/>
  <c r="AB20" i="20"/>
  <c r="AA20" i="20"/>
  <c r="Z20" i="20"/>
  <c r="Y20" i="20"/>
  <c r="Q20" i="20"/>
  <c r="P20" i="20"/>
  <c r="O20" i="20"/>
  <c r="N20" i="20"/>
  <c r="C20" i="20"/>
  <c r="B20" i="20"/>
  <c r="A20" i="20"/>
  <c r="AB19" i="20"/>
  <c r="AA19" i="20"/>
  <c r="Z19" i="20"/>
  <c r="Y19" i="20"/>
  <c r="Q19" i="20"/>
  <c r="P19" i="20"/>
  <c r="O19" i="20"/>
  <c r="N19" i="20"/>
  <c r="C19" i="20"/>
  <c r="B19" i="20"/>
  <c r="A19" i="20"/>
  <c r="AB18" i="20"/>
  <c r="AA18" i="20"/>
  <c r="Z18" i="20"/>
  <c r="Y18" i="20"/>
  <c r="Q18" i="20"/>
  <c r="P18" i="20"/>
  <c r="O18" i="20"/>
  <c r="N18" i="20"/>
  <c r="C18" i="20"/>
  <c r="B18" i="20"/>
  <c r="A18" i="20"/>
  <c r="AB17" i="20"/>
  <c r="AA17" i="20"/>
  <c r="Z17" i="20"/>
  <c r="Y17" i="20"/>
  <c r="Q17" i="20"/>
  <c r="P17" i="20"/>
  <c r="O17" i="20"/>
  <c r="N17" i="20"/>
  <c r="C17" i="20"/>
  <c r="B17" i="20"/>
  <c r="A17" i="20"/>
  <c r="AB16" i="20"/>
  <c r="AA16" i="20"/>
  <c r="Z16" i="20"/>
  <c r="Y16" i="20"/>
  <c r="Q16" i="20"/>
  <c r="P16" i="20"/>
  <c r="O16" i="20"/>
  <c r="N16" i="20"/>
  <c r="C16" i="20"/>
  <c r="B16" i="20"/>
  <c r="A16" i="20"/>
  <c r="AB15" i="20"/>
  <c r="AA15" i="20"/>
  <c r="Z15" i="20"/>
  <c r="Y15" i="20"/>
  <c r="Q15" i="20"/>
  <c r="P15" i="20"/>
  <c r="O15" i="20"/>
  <c r="N15" i="20"/>
  <c r="C15" i="20"/>
  <c r="B15" i="20"/>
  <c r="A15" i="20"/>
  <c r="AB14" i="20"/>
  <c r="AA14" i="20"/>
  <c r="Z14" i="20"/>
  <c r="Y14" i="20"/>
  <c r="Q14" i="20"/>
  <c r="P14" i="20"/>
  <c r="O14" i="20"/>
  <c r="N14" i="20"/>
  <c r="C14" i="20"/>
  <c r="B14" i="20"/>
  <c r="A14" i="20"/>
  <c r="AB13" i="20"/>
  <c r="AA13" i="20"/>
  <c r="Z13" i="20"/>
  <c r="Y13" i="20"/>
  <c r="Q13" i="20"/>
  <c r="P13" i="20"/>
  <c r="O13" i="20"/>
  <c r="N13" i="20"/>
  <c r="B13" i="20"/>
  <c r="A13" i="20"/>
  <c r="AB12" i="20"/>
  <c r="AA12" i="20"/>
  <c r="Z12" i="20"/>
  <c r="Y12" i="20"/>
  <c r="Q12" i="20"/>
  <c r="P12" i="20"/>
  <c r="O12" i="20"/>
  <c r="N12" i="20"/>
  <c r="C12" i="20"/>
  <c r="B12" i="20"/>
  <c r="A12" i="20"/>
  <c r="AB11" i="20"/>
  <c r="AA11" i="20"/>
  <c r="Z11" i="20"/>
  <c r="Y11" i="20"/>
  <c r="Q11" i="20"/>
  <c r="P11" i="20"/>
  <c r="O11" i="20"/>
  <c r="N11" i="20"/>
  <c r="C11" i="20"/>
  <c r="B11" i="20"/>
  <c r="A11" i="20"/>
  <c r="AB10" i="20"/>
  <c r="AA10" i="20"/>
  <c r="Z10" i="20"/>
  <c r="Y10" i="20"/>
  <c r="Q10" i="20"/>
  <c r="P10" i="20"/>
  <c r="O10" i="20"/>
  <c r="N10" i="20"/>
  <c r="C10" i="20"/>
  <c r="B10" i="20"/>
  <c r="A10" i="20"/>
  <c r="F4" i="20"/>
  <c r="AB40" i="19"/>
  <c r="AA40" i="19"/>
  <c r="Z40" i="19"/>
  <c r="Y40" i="19"/>
  <c r="Q40" i="19"/>
  <c r="P40" i="19"/>
  <c r="O40" i="19"/>
  <c r="N40" i="19"/>
  <c r="C40" i="19"/>
  <c r="B40" i="19"/>
  <c r="A40" i="19"/>
  <c r="AB39" i="19"/>
  <c r="AA39" i="19"/>
  <c r="Z39" i="19"/>
  <c r="Y39" i="19"/>
  <c r="Q39" i="19"/>
  <c r="P39" i="19"/>
  <c r="O39" i="19"/>
  <c r="N39" i="19"/>
  <c r="C39" i="19"/>
  <c r="B39" i="19"/>
  <c r="A39" i="19"/>
  <c r="AB38" i="19"/>
  <c r="AA38" i="19"/>
  <c r="Z38" i="19"/>
  <c r="Y38" i="19"/>
  <c r="Q38" i="19"/>
  <c r="P38" i="19"/>
  <c r="O38" i="19"/>
  <c r="N38" i="19"/>
  <c r="C38" i="19"/>
  <c r="B38" i="19"/>
  <c r="A38" i="19"/>
  <c r="AB37" i="19"/>
  <c r="AA37" i="19"/>
  <c r="Z37" i="19"/>
  <c r="Y37" i="19"/>
  <c r="Q37" i="19"/>
  <c r="P37" i="19"/>
  <c r="O37" i="19"/>
  <c r="N37" i="19"/>
  <c r="C37" i="19"/>
  <c r="B37" i="19"/>
  <c r="A37" i="19"/>
  <c r="AB36" i="19"/>
  <c r="AA36" i="19"/>
  <c r="Z36" i="19"/>
  <c r="Y36" i="19"/>
  <c r="Q36" i="19"/>
  <c r="P36" i="19"/>
  <c r="O36" i="19"/>
  <c r="N36" i="19"/>
  <c r="C36" i="19"/>
  <c r="B36" i="19"/>
  <c r="A36" i="19"/>
  <c r="AB35" i="19"/>
  <c r="AA35" i="19"/>
  <c r="Z35" i="19"/>
  <c r="Y35" i="19"/>
  <c r="Q35" i="19"/>
  <c r="P35" i="19"/>
  <c r="O35" i="19"/>
  <c r="N35" i="19"/>
  <c r="C35" i="19"/>
  <c r="B35" i="19"/>
  <c r="A35" i="19"/>
  <c r="AB34" i="19"/>
  <c r="AA34" i="19"/>
  <c r="Z34" i="19"/>
  <c r="Y34" i="19"/>
  <c r="Q34" i="19"/>
  <c r="P34" i="19"/>
  <c r="O34" i="19"/>
  <c r="N34" i="19"/>
  <c r="C34" i="19"/>
  <c r="B34" i="19"/>
  <c r="A34" i="19"/>
  <c r="AB33" i="19"/>
  <c r="AA33" i="19"/>
  <c r="Z33" i="19"/>
  <c r="Y33" i="19"/>
  <c r="Q33" i="19"/>
  <c r="P33" i="19"/>
  <c r="O33" i="19"/>
  <c r="N33" i="19"/>
  <c r="C33" i="19"/>
  <c r="B33" i="19"/>
  <c r="A33" i="19"/>
  <c r="AB32" i="19"/>
  <c r="AA32" i="19"/>
  <c r="Z32" i="19"/>
  <c r="Y32" i="19"/>
  <c r="Q32" i="19"/>
  <c r="P32" i="19"/>
  <c r="O32" i="19"/>
  <c r="N32" i="19"/>
  <c r="C32" i="19"/>
  <c r="B32" i="19"/>
  <c r="A32" i="19"/>
  <c r="AB31" i="19"/>
  <c r="AA31" i="19"/>
  <c r="Z31" i="19"/>
  <c r="Y31" i="19"/>
  <c r="Q31" i="19"/>
  <c r="P31" i="19"/>
  <c r="O31" i="19"/>
  <c r="N31" i="19"/>
  <c r="C31" i="19"/>
  <c r="B31" i="19"/>
  <c r="A31" i="19"/>
  <c r="AB30" i="19"/>
  <c r="AA30" i="19"/>
  <c r="Z30" i="19"/>
  <c r="Y30" i="19"/>
  <c r="Q30" i="19"/>
  <c r="P30" i="19"/>
  <c r="O30" i="19"/>
  <c r="N30" i="19"/>
  <c r="C30" i="19"/>
  <c r="B30" i="19"/>
  <c r="A30" i="19"/>
  <c r="AB29" i="19"/>
  <c r="AA29" i="19"/>
  <c r="Z29" i="19"/>
  <c r="Y29" i="19"/>
  <c r="Q29" i="19"/>
  <c r="P29" i="19"/>
  <c r="O29" i="19"/>
  <c r="N29" i="19"/>
  <c r="C29" i="19"/>
  <c r="B29" i="19"/>
  <c r="A29" i="19"/>
  <c r="AB28" i="19"/>
  <c r="AA28" i="19"/>
  <c r="Z28" i="19"/>
  <c r="Y28" i="19"/>
  <c r="Q28" i="19"/>
  <c r="P28" i="19"/>
  <c r="O28" i="19"/>
  <c r="N28" i="19"/>
  <c r="C28" i="19"/>
  <c r="B28" i="19"/>
  <c r="A28" i="19"/>
  <c r="AB22" i="19"/>
  <c r="AA22" i="19"/>
  <c r="Z22" i="19"/>
  <c r="Y22" i="19"/>
  <c r="Q22" i="19"/>
  <c r="P22" i="19"/>
  <c r="O22" i="19"/>
  <c r="N22" i="19"/>
  <c r="C22" i="19"/>
  <c r="B22" i="19"/>
  <c r="A22" i="19"/>
  <c r="AB21" i="19"/>
  <c r="AA21" i="19"/>
  <c r="Z21" i="19"/>
  <c r="Y21" i="19"/>
  <c r="Q21" i="19"/>
  <c r="P21" i="19"/>
  <c r="O21" i="19"/>
  <c r="N21" i="19"/>
  <c r="C21" i="19"/>
  <c r="B21" i="19"/>
  <c r="A21" i="19"/>
  <c r="AB20" i="19"/>
  <c r="AA20" i="19"/>
  <c r="Z20" i="19"/>
  <c r="Y20" i="19"/>
  <c r="Q20" i="19"/>
  <c r="P20" i="19"/>
  <c r="O20" i="19"/>
  <c r="N20" i="19"/>
  <c r="C20" i="19"/>
  <c r="B20" i="19"/>
  <c r="A20" i="19"/>
  <c r="AB19" i="19"/>
  <c r="AA19" i="19"/>
  <c r="Z19" i="19"/>
  <c r="Y19" i="19"/>
  <c r="Q19" i="19"/>
  <c r="P19" i="19"/>
  <c r="O19" i="19"/>
  <c r="N19" i="19"/>
  <c r="C19" i="19"/>
  <c r="B19" i="19"/>
  <c r="A19" i="19"/>
  <c r="AB18" i="19"/>
  <c r="AA18" i="19"/>
  <c r="Z18" i="19"/>
  <c r="Y18" i="19"/>
  <c r="Q18" i="19"/>
  <c r="P18" i="19"/>
  <c r="O18" i="19"/>
  <c r="N18" i="19"/>
  <c r="C18" i="19"/>
  <c r="B18" i="19"/>
  <c r="A18" i="19"/>
  <c r="AB17" i="19"/>
  <c r="AA17" i="19"/>
  <c r="Z17" i="19"/>
  <c r="Y17" i="19"/>
  <c r="Q17" i="19"/>
  <c r="P17" i="19"/>
  <c r="O17" i="19"/>
  <c r="N17" i="19"/>
  <c r="C17" i="19"/>
  <c r="B17" i="19"/>
  <c r="A17" i="19"/>
  <c r="AB16" i="19"/>
  <c r="AA16" i="19"/>
  <c r="Z16" i="19"/>
  <c r="Y16" i="19"/>
  <c r="Q16" i="19"/>
  <c r="P16" i="19"/>
  <c r="O16" i="19"/>
  <c r="N16" i="19"/>
  <c r="C16" i="19"/>
  <c r="B16" i="19"/>
  <c r="A16" i="19"/>
  <c r="AB15" i="19"/>
  <c r="AA15" i="19"/>
  <c r="Z15" i="19"/>
  <c r="Y15" i="19"/>
  <c r="Q15" i="19"/>
  <c r="P15" i="19"/>
  <c r="O15" i="19"/>
  <c r="N15" i="19"/>
  <c r="C15" i="19"/>
  <c r="B15" i="19"/>
  <c r="A15" i="19"/>
  <c r="AB14" i="19"/>
  <c r="AA14" i="19"/>
  <c r="Z14" i="19"/>
  <c r="Y14" i="19"/>
  <c r="Q14" i="19"/>
  <c r="P14" i="19"/>
  <c r="O14" i="19"/>
  <c r="N14" i="19"/>
  <c r="C14" i="19"/>
  <c r="B14" i="19"/>
  <c r="A14" i="19"/>
  <c r="AB13" i="19"/>
  <c r="AA13" i="19"/>
  <c r="Z13" i="19"/>
  <c r="Y13" i="19"/>
  <c r="Q13" i="19"/>
  <c r="P13" i="19"/>
  <c r="O13" i="19"/>
  <c r="N13" i="19"/>
  <c r="C13" i="19"/>
  <c r="B13" i="19"/>
  <c r="A13" i="19"/>
  <c r="AB12" i="19"/>
  <c r="AA12" i="19"/>
  <c r="Z12" i="19"/>
  <c r="Y12" i="19"/>
  <c r="Q12" i="19"/>
  <c r="P12" i="19"/>
  <c r="O12" i="19"/>
  <c r="N12" i="19"/>
  <c r="C12" i="19"/>
  <c r="B12" i="19"/>
  <c r="A12" i="19"/>
  <c r="AB11" i="19"/>
  <c r="AA11" i="19"/>
  <c r="Z11" i="19"/>
  <c r="Y11" i="19"/>
  <c r="Q11" i="19"/>
  <c r="P11" i="19"/>
  <c r="O11" i="19"/>
  <c r="N11" i="19"/>
  <c r="C11" i="19"/>
  <c r="B11" i="19"/>
  <c r="A11" i="19"/>
  <c r="AB10" i="19"/>
  <c r="AA10" i="19"/>
  <c r="Z10" i="19"/>
  <c r="Y10" i="19"/>
  <c r="Q10" i="19"/>
  <c r="P10" i="19"/>
  <c r="O10" i="19"/>
  <c r="N10" i="19"/>
  <c r="C10" i="19"/>
  <c r="B10" i="19"/>
  <c r="A10" i="19"/>
  <c r="F4" i="19"/>
  <c r="F6" i="19" s="1"/>
  <c r="R20" i="19" s="1"/>
  <c r="F4" i="17"/>
  <c r="F6" i="17" s="1"/>
  <c r="F4" i="13"/>
  <c r="F6" i="13"/>
  <c r="R36" i="13"/>
  <c r="C10" i="13"/>
  <c r="Q10" i="13"/>
  <c r="Y29" i="13"/>
  <c r="Y30" i="13"/>
  <c r="Y31" i="13"/>
  <c r="Y32" i="13"/>
  <c r="Y33" i="13"/>
  <c r="Y34" i="13"/>
  <c r="Y35" i="13"/>
  <c r="Y36" i="13"/>
  <c r="Y37" i="13"/>
  <c r="Y38" i="13"/>
  <c r="Y39" i="13"/>
  <c r="Y40" i="13"/>
  <c r="Y41" i="13"/>
  <c r="Y28" i="13"/>
  <c r="Y23" i="13"/>
  <c r="Y11" i="13"/>
  <c r="Y12" i="13"/>
  <c r="Y13" i="13"/>
  <c r="Y14" i="13"/>
  <c r="Y15" i="13"/>
  <c r="Y16" i="13"/>
  <c r="Y17" i="13"/>
  <c r="Y18" i="13"/>
  <c r="Y19" i="13"/>
  <c r="Y20" i="13"/>
  <c r="Y21" i="13"/>
  <c r="Y22" i="13"/>
  <c r="Y10" i="13"/>
  <c r="AB29" i="13"/>
  <c r="AB30" i="13"/>
  <c r="AB31" i="13"/>
  <c r="AB32" i="13"/>
  <c r="AB33" i="13"/>
  <c r="AB34" i="13"/>
  <c r="AB35" i="13"/>
  <c r="AB36" i="13"/>
  <c r="AB37" i="13"/>
  <c r="AB38" i="13"/>
  <c r="AB39" i="13"/>
  <c r="AB40" i="13"/>
  <c r="AB41" i="13"/>
  <c r="AB28" i="13"/>
  <c r="AB23" i="13"/>
  <c r="AB11" i="13"/>
  <c r="AB12" i="13"/>
  <c r="AB13" i="13"/>
  <c r="AB14" i="13"/>
  <c r="AB15" i="13"/>
  <c r="AB16" i="13"/>
  <c r="AB17" i="13"/>
  <c r="AB18" i="13"/>
  <c r="AB19" i="13"/>
  <c r="AB20" i="13"/>
  <c r="AB21" i="13"/>
  <c r="AB22" i="13"/>
  <c r="AB10" i="13"/>
  <c r="C29" i="13"/>
  <c r="Q29" i="13"/>
  <c r="C30" i="13"/>
  <c r="P30" i="13"/>
  <c r="C31" i="13"/>
  <c r="Q31" i="13"/>
  <c r="C32" i="13"/>
  <c r="P32" i="13"/>
  <c r="C33" i="13"/>
  <c r="Q33" i="13"/>
  <c r="C34" i="13"/>
  <c r="Q34" i="13"/>
  <c r="C35" i="13"/>
  <c r="P35" i="13"/>
  <c r="C36" i="13"/>
  <c r="C37" i="13"/>
  <c r="Q37" i="13"/>
  <c r="C38" i="13"/>
  <c r="Q38" i="13"/>
  <c r="C39" i="13"/>
  <c r="C40" i="13"/>
  <c r="Q40" i="13"/>
  <c r="C41" i="13"/>
  <c r="Q41" i="13"/>
  <c r="C28" i="13"/>
  <c r="Q28" i="13"/>
  <c r="C11" i="13"/>
  <c r="Q11" i="13"/>
  <c r="C12" i="13"/>
  <c r="P12" i="13"/>
  <c r="C13" i="13"/>
  <c r="Q13" i="13"/>
  <c r="C14" i="13"/>
  <c r="P14" i="13"/>
  <c r="C15" i="13"/>
  <c r="Q15" i="13"/>
  <c r="C16" i="13"/>
  <c r="Q16" i="13"/>
  <c r="C17" i="13"/>
  <c r="P17" i="13"/>
  <c r="C18" i="13"/>
  <c r="C19" i="13"/>
  <c r="Q19" i="13"/>
  <c r="C20" i="13"/>
  <c r="Q20" i="13"/>
  <c r="C21" i="13"/>
  <c r="C22" i="13"/>
  <c r="Q22" i="13"/>
  <c r="C23" i="13"/>
  <c r="Q23" i="13"/>
  <c r="B29" i="13"/>
  <c r="B28" i="13"/>
  <c r="Z29" i="13"/>
  <c r="AA29" i="13"/>
  <c r="Z30" i="13"/>
  <c r="AA30" i="13"/>
  <c r="Z31" i="13"/>
  <c r="AA31" i="13"/>
  <c r="Z32" i="13"/>
  <c r="AA32" i="13"/>
  <c r="Z33" i="13"/>
  <c r="AA33" i="13"/>
  <c r="Z34" i="13"/>
  <c r="AA34" i="13"/>
  <c r="Z35" i="13"/>
  <c r="AA35" i="13"/>
  <c r="Z36" i="13"/>
  <c r="AA36" i="13"/>
  <c r="Z37" i="13"/>
  <c r="AA37" i="13"/>
  <c r="Z38" i="13"/>
  <c r="AA38" i="13"/>
  <c r="Z39" i="13"/>
  <c r="AA39" i="13"/>
  <c r="Z40" i="13"/>
  <c r="AA40" i="13"/>
  <c r="Z41" i="13"/>
  <c r="AA41" i="13"/>
  <c r="AA28" i="13"/>
  <c r="Z28" i="13"/>
  <c r="Z23" i="13"/>
  <c r="N29" i="13"/>
  <c r="O29" i="13"/>
  <c r="P29" i="13"/>
  <c r="N30" i="13"/>
  <c r="O30" i="13"/>
  <c r="Q30" i="13"/>
  <c r="N31" i="13"/>
  <c r="O31" i="13"/>
  <c r="P31" i="13"/>
  <c r="N32" i="13"/>
  <c r="O32" i="13"/>
  <c r="Q32" i="13"/>
  <c r="N33" i="13"/>
  <c r="O33" i="13"/>
  <c r="P33" i="13"/>
  <c r="N34" i="13"/>
  <c r="O34" i="13"/>
  <c r="P34" i="13"/>
  <c r="N35" i="13"/>
  <c r="O35" i="13"/>
  <c r="Q35" i="13"/>
  <c r="N36" i="13"/>
  <c r="O36" i="13"/>
  <c r="P36" i="13"/>
  <c r="Q36" i="13"/>
  <c r="N37" i="13"/>
  <c r="O37" i="13"/>
  <c r="P37" i="13"/>
  <c r="N38" i="13"/>
  <c r="O38" i="13"/>
  <c r="P38" i="13"/>
  <c r="N39" i="13"/>
  <c r="O39" i="13"/>
  <c r="P39" i="13"/>
  <c r="Q39" i="13"/>
  <c r="N40" i="13"/>
  <c r="O40" i="13"/>
  <c r="P40" i="13"/>
  <c r="N41" i="13"/>
  <c r="O41" i="13"/>
  <c r="P41" i="13"/>
  <c r="O28" i="13"/>
  <c r="P28" i="13"/>
  <c r="N28" i="13"/>
  <c r="A41" i="13"/>
  <c r="B41" i="13"/>
  <c r="A29" i="13"/>
  <c r="A30" i="13"/>
  <c r="B30" i="13"/>
  <c r="A31" i="13"/>
  <c r="B31" i="13"/>
  <c r="A32" i="13"/>
  <c r="B32" i="13"/>
  <c r="A33" i="13"/>
  <c r="B33" i="13"/>
  <c r="A34" i="13"/>
  <c r="B34" i="13"/>
  <c r="A35" i="13"/>
  <c r="B35" i="13"/>
  <c r="A36" i="13"/>
  <c r="B36" i="13"/>
  <c r="A37" i="13"/>
  <c r="B37" i="13"/>
  <c r="A38" i="13"/>
  <c r="B38" i="13"/>
  <c r="A39" i="13"/>
  <c r="B39" i="13"/>
  <c r="A40" i="13"/>
  <c r="B40" i="13"/>
  <c r="A28" i="13"/>
  <c r="Z11" i="13"/>
  <c r="AA11" i="13"/>
  <c r="Z12" i="13"/>
  <c r="AA12" i="13"/>
  <c r="Z13" i="13"/>
  <c r="AA13" i="13"/>
  <c r="Z14" i="13"/>
  <c r="AA14" i="13"/>
  <c r="Z15" i="13"/>
  <c r="AA15" i="13"/>
  <c r="Z16" i="13"/>
  <c r="AA16" i="13"/>
  <c r="Z17" i="13"/>
  <c r="AA17" i="13"/>
  <c r="Z18" i="13"/>
  <c r="AA18" i="13"/>
  <c r="Z19" i="13"/>
  <c r="AA19" i="13"/>
  <c r="Z20" i="13"/>
  <c r="AA20" i="13"/>
  <c r="Z21" i="13"/>
  <c r="AA21" i="13"/>
  <c r="Z22" i="13"/>
  <c r="AA22" i="13"/>
  <c r="AA23" i="13"/>
  <c r="AA10" i="13"/>
  <c r="Z10" i="13"/>
  <c r="N11" i="13"/>
  <c r="O11" i="13"/>
  <c r="P11" i="13"/>
  <c r="N12" i="13"/>
  <c r="O12" i="13"/>
  <c r="Q12" i="13"/>
  <c r="N13" i="13"/>
  <c r="O13" i="13"/>
  <c r="P13" i="13"/>
  <c r="N14" i="13"/>
  <c r="O14" i="13"/>
  <c r="Q14" i="13"/>
  <c r="N15" i="13"/>
  <c r="O15" i="13"/>
  <c r="P15" i="13"/>
  <c r="N16" i="13"/>
  <c r="O16" i="13"/>
  <c r="P16" i="13"/>
  <c r="N17" i="13"/>
  <c r="O17" i="13"/>
  <c r="Q17" i="13"/>
  <c r="N18" i="13"/>
  <c r="O18" i="13"/>
  <c r="P18" i="13"/>
  <c r="Q18" i="13"/>
  <c r="N19" i="13"/>
  <c r="O19" i="13"/>
  <c r="P19" i="13"/>
  <c r="N20" i="13"/>
  <c r="O20" i="13"/>
  <c r="P20" i="13"/>
  <c r="N21" i="13"/>
  <c r="O21" i="13"/>
  <c r="P21" i="13"/>
  <c r="Q21" i="13"/>
  <c r="N22" i="13"/>
  <c r="O22" i="13"/>
  <c r="P22" i="13"/>
  <c r="N23" i="13"/>
  <c r="O23" i="13"/>
  <c r="P23" i="13"/>
  <c r="O10" i="13"/>
  <c r="P10" i="13"/>
  <c r="N10" i="13"/>
  <c r="B11" i="13"/>
  <c r="B12" i="13"/>
  <c r="B13" i="13"/>
  <c r="B14" i="13"/>
  <c r="B15" i="13"/>
  <c r="B16" i="13"/>
  <c r="B17" i="13"/>
  <c r="B18" i="13"/>
  <c r="B19" i="13"/>
  <c r="B20" i="13"/>
  <c r="B21" i="13"/>
  <c r="B22" i="13"/>
  <c r="B23" i="13"/>
  <c r="A11" i="13"/>
  <c r="A12" i="13"/>
  <c r="A13" i="13"/>
  <c r="A14" i="13"/>
  <c r="A15" i="13"/>
  <c r="A16" i="13"/>
  <c r="A17" i="13"/>
  <c r="A18" i="13"/>
  <c r="A19" i="13"/>
  <c r="A20" i="13"/>
  <c r="A21" i="13"/>
  <c r="A22" i="13"/>
  <c r="A23" i="13"/>
  <c r="B10" i="13"/>
  <c r="A10" i="13"/>
  <c r="C41" i="16"/>
  <c r="F4" i="16"/>
  <c r="F6" i="16"/>
  <c r="P41" i="16"/>
  <c r="C40" i="16"/>
  <c r="Q40" i="16"/>
  <c r="C39" i="16"/>
  <c r="C38" i="16"/>
  <c r="Q38" i="16"/>
  <c r="C37" i="16"/>
  <c r="O37" i="16"/>
  <c r="C36" i="16"/>
  <c r="C35" i="16"/>
  <c r="P35" i="16"/>
  <c r="C34" i="16"/>
  <c r="Q34" i="16"/>
  <c r="C33" i="16"/>
  <c r="Q33" i="16"/>
  <c r="C32" i="16"/>
  <c r="P32" i="16"/>
  <c r="C31" i="16"/>
  <c r="Q31" i="16"/>
  <c r="C30" i="16"/>
  <c r="P30" i="16"/>
  <c r="C29" i="16"/>
  <c r="Q29" i="16"/>
  <c r="C28" i="16"/>
  <c r="Q28" i="16"/>
  <c r="C23" i="16"/>
  <c r="P23" i="16"/>
  <c r="C22" i="16"/>
  <c r="Q22" i="16"/>
  <c r="C21" i="16"/>
  <c r="C20" i="16"/>
  <c r="Q20" i="16"/>
  <c r="C19" i="16"/>
  <c r="O19" i="16"/>
  <c r="C18" i="16"/>
  <c r="C17" i="16"/>
  <c r="P17" i="16"/>
  <c r="C16" i="16"/>
  <c r="Q16" i="16"/>
  <c r="C15" i="16"/>
  <c r="Q15" i="16"/>
  <c r="C14" i="16"/>
  <c r="P14" i="16"/>
  <c r="C13" i="16"/>
  <c r="Q13" i="16"/>
  <c r="C12" i="16"/>
  <c r="P12" i="16"/>
  <c r="C11" i="16"/>
  <c r="Q11" i="16"/>
  <c r="C10" i="16"/>
  <c r="Q10" i="16"/>
  <c r="Q37" i="16"/>
  <c r="Q19" i="16"/>
  <c r="AB41" i="16"/>
  <c r="AA41" i="16"/>
  <c r="Z41" i="16"/>
  <c r="Y41" i="16"/>
  <c r="R41" i="16"/>
  <c r="Q41" i="16"/>
  <c r="O41" i="16"/>
  <c r="N41" i="16"/>
  <c r="B41" i="16"/>
  <c r="A41" i="16"/>
  <c r="AB40" i="16"/>
  <c r="AA40" i="16"/>
  <c r="Z40" i="16"/>
  <c r="Y40" i="16"/>
  <c r="R40" i="16"/>
  <c r="P40" i="16"/>
  <c r="O40" i="16"/>
  <c r="N40" i="16"/>
  <c r="B40" i="16"/>
  <c r="A40" i="16"/>
  <c r="AB39" i="16"/>
  <c r="AA39" i="16"/>
  <c r="Z39" i="16"/>
  <c r="Y39" i="16"/>
  <c r="Q39" i="16"/>
  <c r="P39" i="16"/>
  <c r="O39" i="16"/>
  <c r="N39" i="16"/>
  <c r="B39" i="16"/>
  <c r="A39" i="16"/>
  <c r="AB38" i="16"/>
  <c r="AA38" i="16"/>
  <c r="Z38" i="16"/>
  <c r="Y38" i="16"/>
  <c r="R38" i="16"/>
  <c r="P38" i="16"/>
  <c r="O38" i="16"/>
  <c r="N38" i="16"/>
  <c r="B38" i="16"/>
  <c r="A38" i="16"/>
  <c r="AB37" i="16"/>
  <c r="AA37" i="16"/>
  <c r="Z37" i="16"/>
  <c r="Y37" i="16"/>
  <c r="R37" i="16"/>
  <c r="P37" i="16"/>
  <c r="N37" i="16"/>
  <c r="B37" i="16"/>
  <c r="A37" i="16"/>
  <c r="AB36" i="16"/>
  <c r="AA36" i="16"/>
  <c r="Z36" i="16"/>
  <c r="Y36" i="16"/>
  <c r="R36" i="16"/>
  <c r="Q36" i="16"/>
  <c r="P36" i="16"/>
  <c r="O36" i="16"/>
  <c r="N36" i="16"/>
  <c r="B36" i="16"/>
  <c r="A36" i="16"/>
  <c r="AB35" i="16"/>
  <c r="AA35" i="16"/>
  <c r="Z35" i="16"/>
  <c r="Y35" i="16"/>
  <c r="Q35" i="16"/>
  <c r="O35" i="16"/>
  <c r="N35" i="16"/>
  <c r="B35" i="16"/>
  <c r="A35" i="16"/>
  <c r="AB34" i="16"/>
  <c r="AA34" i="16"/>
  <c r="Z34" i="16"/>
  <c r="Y34" i="16"/>
  <c r="P34" i="16"/>
  <c r="O34" i="16"/>
  <c r="N34" i="16"/>
  <c r="B34" i="16"/>
  <c r="A34" i="16"/>
  <c r="AB33" i="16"/>
  <c r="AA33" i="16"/>
  <c r="Z33" i="16"/>
  <c r="Y33" i="16"/>
  <c r="R33" i="16"/>
  <c r="P33" i="16"/>
  <c r="O33" i="16"/>
  <c r="N33" i="16"/>
  <c r="B33" i="16"/>
  <c r="A33" i="16"/>
  <c r="AB32" i="16"/>
  <c r="AA32" i="16"/>
  <c r="Z32" i="16"/>
  <c r="Y32" i="16"/>
  <c r="Q32" i="16"/>
  <c r="O32" i="16"/>
  <c r="N32" i="16"/>
  <c r="B32" i="16"/>
  <c r="A32" i="16"/>
  <c r="AB31" i="16"/>
  <c r="AA31" i="16"/>
  <c r="Z31" i="16"/>
  <c r="Y31" i="16"/>
  <c r="P31" i="16"/>
  <c r="O31" i="16"/>
  <c r="N31" i="16"/>
  <c r="B31" i="16"/>
  <c r="A31" i="16"/>
  <c r="AB30" i="16"/>
  <c r="AA30" i="16"/>
  <c r="Z30" i="16"/>
  <c r="Y30" i="16"/>
  <c r="Q30" i="16"/>
  <c r="O30" i="16"/>
  <c r="N30" i="16"/>
  <c r="B30" i="16"/>
  <c r="A30" i="16"/>
  <c r="AB29" i="16"/>
  <c r="AA29" i="16"/>
  <c r="Z29" i="16"/>
  <c r="Y29" i="16"/>
  <c r="P29" i="16"/>
  <c r="O29" i="16"/>
  <c r="N29" i="16"/>
  <c r="B29" i="16"/>
  <c r="A29" i="16"/>
  <c r="AB28" i="16"/>
  <c r="AA28" i="16"/>
  <c r="Z28" i="16"/>
  <c r="Y28" i="16"/>
  <c r="P28" i="16"/>
  <c r="O28" i="16"/>
  <c r="N28" i="16"/>
  <c r="B28" i="16"/>
  <c r="A28" i="16"/>
  <c r="AB23" i="16"/>
  <c r="AA23" i="16"/>
  <c r="Z23" i="16"/>
  <c r="Y23" i="16"/>
  <c r="Q23" i="16"/>
  <c r="O23" i="16"/>
  <c r="N23" i="16"/>
  <c r="B23" i="16"/>
  <c r="A23" i="16"/>
  <c r="AB22" i="16"/>
  <c r="AA22" i="16"/>
  <c r="Z22" i="16"/>
  <c r="Y22" i="16"/>
  <c r="R22" i="16"/>
  <c r="P22" i="16"/>
  <c r="O22" i="16"/>
  <c r="N22" i="16"/>
  <c r="B22" i="16"/>
  <c r="A22" i="16"/>
  <c r="AB21" i="16"/>
  <c r="AA21" i="16"/>
  <c r="Z21" i="16"/>
  <c r="Y21" i="16"/>
  <c r="Q21" i="16"/>
  <c r="P21" i="16"/>
  <c r="O21" i="16"/>
  <c r="N21" i="16"/>
  <c r="B21" i="16"/>
  <c r="A21" i="16"/>
  <c r="AB20" i="16"/>
  <c r="AA20" i="16"/>
  <c r="Z20" i="16"/>
  <c r="Y20" i="16"/>
  <c r="P20" i="16"/>
  <c r="O20" i="16"/>
  <c r="N20" i="16"/>
  <c r="B20" i="16"/>
  <c r="A20" i="16"/>
  <c r="AB19" i="16"/>
  <c r="AA19" i="16"/>
  <c r="Z19" i="16"/>
  <c r="Y19" i="16"/>
  <c r="R19" i="16"/>
  <c r="P19" i="16"/>
  <c r="N19" i="16"/>
  <c r="B19" i="16"/>
  <c r="A19" i="16"/>
  <c r="AB18" i="16"/>
  <c r="AA18" i="16"/>
  <c r="Z18" i="16"/>
  <c r="Y18" i="16"/>
  <c r="R18" i="16"/>
  <c r="Q18" i="16"/>
  <c r="P18" i="16"/>
  <c r="O18" i="16"/>
  <c r="N18" i="16"/>
  <c r="B18" i="16"/>
  <c r="A18" i="16"/>
  <c r="AB17" i="16"/>
  <c r="AA17" i="16"/>
  <c r="Z17" i="16"/>
  <c r="Y17" i="16"/>
  <c r="Q17" i="16"/>
  <c r="O17" i="16"/>
  <c r="N17" i="16"/>
  <c r="B17" i="16"/>
  <c r="A17" i="16"/>
  <c r="AB16" i="16"/>
  <c r="AA16" i="16"/>
  <c r="Z16" i="16"/>
  <c r="Y16" i="16"/>
  <c r="P16" i="16"/>
  <c r="O16" i="16"/>
  <c r="N16" i="16"/>
  <c r="B16" i="16"/>
  <c r="A16" i="16"/>
  <c r="AB15" i="16"/>
  <c r="AA15" i="16"/>
  <c r="Z15" i="16"/>
  <c r="Y15" i="16"/>
  <c r="R15" i="16"/>
  <c r="P15" i="16"/>
  <c r="O15" i="16"/>
  <c r="N15" i="16"/>
  <c r="B15" i="16"/>
  <c r="A15" i="16"/>
  <c r="AB14" i="16"/>
  <c r="AA14" i="16"/>
  <c r="Z14" i="16"/>
  <c r="Y14" i="16"/>
  <c r="R14" i="16"/>
  <c r="Q14" i="16"/>
  <c r="O14" i="16"/>
  <c r="N14" i="16"/>
  <c r="B14" i="16"/>
  <c r="A14" i="16"/>
  <c r="AB13" i="16"/>
  <c r="AA13" i="16"/>
  <c r="Z13" i="16"/>
  <c r="Y13" i="16"/>
  <c r="P13" i="16"/>
  <c r="O13" i="16"/>
  <c r="N13" i="16"/>
  <c r="B13" i="16"/>
  <c r="A13" i="16"/>
  <c r="AB12" i="16"/>
  <c r="AA12" i="16"/>
  <c r="Z12" i="16"/>
  <c r="Y12" i="16"/>
  <c r="Q12" i="16"/>
  <c r="O12" i="16"/>
  <c r="N12" i="16"/>
  <c r="B12" i="16"/>
  <c r="A12" i="16"/>
  <c r="AB11" i="16"/>
  <c r="AA11" i="16"/>
  <c r="Z11" i="16"/>
  <c r="Y11" i="16"/>
  <c r="P11" i="16"/>
  <c r="O11" i="16"/>
  <c r="N11" i="16"/>
  <c r="B11" i="16"/>
  <c r="A11" i="16"/>
  <c r="AB10" i="16"/>
  <c r="AA10" i="16"/>
  <c r="Z10" i="16"/>
  <c r="Y10" i="16"/>
  <c r="R10" i="16"/>
  <c r="P10" i="16"/>
  <c r="O10" i="16"/>
  <c r="N10" i="16"/>
  <c r="B10" i="16"/>
  <c r="A10" i="16"/>
  <c r="Q16" i="14"/>
  <c r="F4" i="14"/>
  <c r="Y29" i="14"/>
  <c r="Y30" i="14"/>
  <c r="Y31" i="14"/>
  <c r="Y32" i="14"/>
  <c r="Y33" i="14"/>
  <c r="Y34" i="14"/>
  <c r="Y35" i="14"/>
  <c r="Y36" i="14"/>
  <c r="Y37" i="14"/>
  <c r="Y38" i="14"/>
  <c r="Y39" i="14"/>
  <c r="Y40" i="14"/>
  <c r="Y41" i="14"/>
  <c r="Y28" i="14"/>
  <c r="Y23" i="14"/>
  <c r="Y11" i="14"/>
  <c r="Y12" i="14"/>
  <c r="Y13" i="14"/>
  <c r="Y14" i="14"/>
  <c r="Y15" i="14"/>
  <c r="Y16" i="14"/>
  <c r="Y17" i="14"/>
  <c r="Y18" i="14"/>
  <c r="Y19" i="14"/>
  <c r="Y20" i="14"/>
  <c r="Y21" i="14"/>
  <c r="Y22" i="14"/>
  <c r="Y10" i="14"/>
  <c r="AB29" i="14"/>
  <c r="AB30" i="14"/>
  <c r="AB31" i="14"/>
  <c r="AB32" i="14"/>
  <c r="AB33" i="14"/>
  <c r="AB34" i="14"/>
  <c r="AB35" i="14"/>
  <c r="AB36" i="14"/>
  <c r="AB37" i="14"/>
  <c r="AB38" i="14"/>
  <c r="AB39" i="14"/>
  <c r="AB40" i="14"/>
  <c r="AB41" i="14"/>
  <c r="AB28" i="14"/>
  <c r="AB23" i="14"/>
  <c r="AB11" i="14"/>
  <c r="AB12" i="14"/>
  <c r="AB13" i="14"/>
  <c r="AB14" i="14"/>
  <c r="AB15" i="14"/>
  <c r="AB16" i="14"/>
  <c r="AB17" i="14"/>
  <c r="AB18" i="14"/>
  <c r="AB19" i="14"/>
  <c r="AB20" i="14"/>
  <c r="AB21" i="14"/>
  <c r="AB22" i="14"/>
  <c r="AB10" i="14"/>
  <c r="AA41" i="14"/>
  <c r="Z41" i="14"/>
  <c r="C41" i="14"/>
  <c r="Q41" i="14"/>
  <c r="P41" i="14"/>
  <c r="O41" i="14"/>
  <c r="N41" i="14"/>
  <c r="B41" i="14"/>
  <c r="A41" i="14"/>
  <c r="AA40" i="14"/>
  <c r="Z40" i="14"/>
  <c r="C40" i="14"/>
  <c r="Q40" i="14"/>
  <c r="P40" i="14"/>
  <c r="O40" i="14"/>
  <c r="N40" i="14"/>
  <c r="B40" i="14"/>
  <c r="A40" i="14"/>
  <c r="AA39" i="14"/>
  <c r="Z39" i="14"/>
  <c r="C39" i="14"/>
  <c r="Q39" i="14"/>
  <c r="P39" i="14"/>
  <c r="O39" i="14"/>
  <c r="N39" i="14"/>
  <c r="B39" i="14"/>
  <c r="A39" i="14"/>
  <c r="AA38" i="14"/>
  <c r="Z38" i="14"/>
  <c r="C38" i="14"/>
  <c r="Q38" i="14"/>
  <c r="P38" i="14"/>
  <c r="O38" i="14"/>
  <c r="N38" i="14"/>
  <c r="B38" i="14"/>
  <c r="A38" i="14"/>
  <c r="AA37" i="14"/>
  <c r="Z37" i="14"/>
  <c r="C37" i="14"/>
  <c r="Q37" i="14"/>
  <c r="P37" i="14"/>
  <c r="O37" i="14"/>
  <c r="N37" i="14"/>
  <c r="B37" i="14"/>
  <c r="A37" i="14"/>
  <c r="AA36" i="14"/>
  <c r="Z36" i="14"/>
  <c r="C36" i="14"/>
  <c r="Q36" i="14"/>
  <c r="P36" i="14"/>
  <c r="O36" i="14"/>
  <c r="N36" i="14"/>
  <c r="B36" i="14"/>
  <c r="A36" i="14"/>
  <c r="AA35" i="14"/>
  <c r="Z35" i="14"/>
  <c r="C35" i="14"/>
  <c r="P35" i="14"/>
  <c r="Q35" i="14"/>
  <c r="O35" i="14"/>
  <c r="N35" i="14"/>
  <c r="B35" i="14"/>
  <c r="A35" i="14"/>
  <c r="AA34" i="14"/>
  <c r="Z34" i="14"/>
  <c r="C34" i="14"/>
  <c r="Q34" i="14"/>
  <c r="P34" i="14"/>
  <c r="O34" i="14"/>
  <c r="N34" i="14"/>
  <c r="B34" i="14"/>
  <c r="A34" i="14"/>
  <c r="AA33" i="14"/>
  <c r="Z33" i="14"/>
  <c r="C33" i="14"/>
  <c r="Q33" i="14"/>
  <c r="P33" i="14"/>
  <c r="O33" i="14"/>
  <c r="N33" i="14"/>
  <c r="B33" i="14"/>
  <c r="A33" i="14"/>
  <c r="AA32" i="14"/>
  <c r="Z32" i="14"/>
  <c r="C32" i="14"/>
  <c r="P32" i="14"/>
  <c r="Q32" i="14"/>
  <c r="O32" i="14"/>
  <c r="N32" i="14"/>
  <c r="B32" i="14"/>
  <c r="A32" i="14"/>
  <c r="AA31" i="14"/>
  <c r="Z31" i="14"/>
  <c r="C31" i="14"/>
  <c r="Q31" i="14"/>
  <c r="P31" i="14"/>
  <c r="O31" i="14"/>
  <c r="N31" i="14"/>
  <c r="B31" i="14"/>
  <c r="A31" i="14"/>
  <c r="AA30" i="14"/>
  <c r="Z30" i="14"/>
  <c r="C30" i="14"/>
  <c r="P30" i="14"/>
  <c r="Q30" i="14"/>
  <c r="O30" i="14"/>
  <c r="N30" i="14"/>
  <c r="B30" i="14"/>
  <c r="A30" i="14"/>
  <c r="AA29" i="14"/>
  <c r="Z29" i="14"/>
  <c r="C29" i="14"/>
  <c r="Q29" i="14"/>
  <c r="P29" i="14"/>
  <c r="O29" i="14"/>
  <c r="N29" i="14"/>
  <c r="B29" i="14"/>
  <c r="A29" i="14"/>
  <c r="AA28" i="14"/>
  <c r="Z28" i="14"/>
  <c r="C28" i="14"/>
  <c r="Q28" i="14"/>
  <c r="P28" i="14"/>
  <c r="O28" i="14"/>
  <c r="N28" i="14"/>
  <c r="B28" i="14"/>
  <c r="A28" i="14"/>
  <c r="AA23" i="14"/>
  <c r="Z23" i="14"/>
  <c r="C23" i="14"/>
  <c r="Q23" i="14"/>
  <c r="P23" i="14"/>
  <c r="O23" i="14"/>
  <c r="N23" i="14"/>
  <c r="B23" i="14"/>
  <c r="A23" i="14"/>
  <c r="AA22" i="14"/>
  <c r="Z22" i="14"/>
  <c r="C22" i="14"/>
  <c r="Q22" i="14"/>
  <c r="P22" i="14"/>
  <c r="O22" i="14"/>
  <c r="N22" i="14"/>
  <c r="B22" i="14"/>
  <c r="A22" i="14"/>
  <c r="AA21" i="14"/>
  <c r="Z21" i="14"/>
  <c r="C21" i="14"/>
  <c r="Q21" i="14"/>
  <c r="P21" i="14"/>
  <c r="O21" i="14"/>
  <c r="N21" i="14"/>
  <c r="B21" i="14"/>
  <c r="A21" i="14"/>
  <c r="AA20" i="14"/>
  <c r="Z20" i="14"/>
  <c r="C20" i="14"/>
  <c r="Q20" i="14"/>
  <c r="P20" i="14"/>
  <c r="O20" i="14"/>
  <c r="N20" i="14"/>
  <c r="B20" i="14"/>
  <c r="A20" i="14"/>
  <c r="AA19" i="14"/>
  <c r="Z19" i="14"/>
  <c r="C19" i="14"/>
  <c r="Q19" i="14"/>
  <c r="P19" i="14"/>
  <c r="O19" i="14"/>
  <c r="N19" i="14"/>
  <c r="B19" i="14"/>
  <c r="A19" i="14"/>
  <c r="AA18" i="14"/>
  <c r="Z18" i="14"/>
  <c r="C18" i="14"/>
  <c r="Q18" i="14"/>
  <c r="P18" i="14"/>
  <c r="O18" i="14"/>
  <c r="N18" i="14"/>
  <c r="B18" i="14"/>
  <c r="A18" i="14"/>
  <c r="AA17" i="14"/>
  <c r="Z17" i="14"/>
  <c r="C17" i="14"/>
  <c r="P17" i="14"/>
  <c r="Q17" i="14"/>
  <c r="O17" i="14"/>
  <c r="N17" i="14"/>
  <c r="B17" i="14"/>
  <c r="A17" i="14"/>
  <c r="AA16" i="14"/>
  <c r="Z16" i="14"/>
  <c r="C16" i="14"/>
  <c r="P16" i="14"/>
  <c r="O16" i="14"/>
  <c r="N16" i="14"/>
  <c r="B16" i="14"/>
  <c r="A16" i="14"/>
  <c r="AA15" i="14"/>
  <c r="Z15" i="14"/>
  <c r="C15" i="14"/>
  <c r="Q15" i="14"/>
  <c r="P15" i="14"/>
  <c r="O15" i="14"/>
  <c r="N15" i="14"/>
  <c r="B15" i="14"/>
  <c r="A15" i="14"/>
  <c r="AA14" i="14"/>
  <c r="Z14" i="14"/>
  <c r="C14" i="14"/>
  <c r="P14" i="14"/>
  <c r="Q14" i="14"/>
  <c r="O14" i="14"/>
  <c r="N14" i="14"/>
  <c r="B14" i="14"/>
  <c r="A14" i="14"/>
  <c r="AA13" i="14"/>
  <c r="Z13" i="14"/>
  <c r="C13" i="14"/>
  <c r="Q13" i="14"/>
  <c r="P13" i="14"/>
  <c r="O13" i="14"/>
  <c r="N13" i="14"/>
  <c r="B13" i="14"/>
  <c r="A13" i="14"/>
  <c r="AA12" i="14"/>
  <c r="Z12" i="14"/>
  <c r="C12" i="14"/>
  <c r="P12" i="14"/>
  <c r="Q12" i="14"/>
  <c r="O12" i="14"/>
  <c r="N12" i="14"/>
  <c r="B12" i="14"/>
  <c r="A12" i="14"/>
  <c r="AA11" i="14"/>
  <c r="Z11" i="14"/>
  <c r="C11" i="14"/>
  <c r="Q11" i="14"/>
  <c r="P11" i="14"/>
  <c r="O11" i="14"/>
  <c r="N11" i="14"/>
  <c r="B11" i="14"/>
  <c r="A11" i="14"/>
  <c r="AA10" i="14"/>
  <c r="Z10" i="14"/>
  <c r="C10" i="14"/>
  <c r="Q10" i="14"/>
  <c r="P10" i="14"/>
  <c r="O10" i="14"/>
  <c r="N10" i="14"/>
  <c r="B10" i="14"/>
  <c r="A10" i="14"/>
  <c r="C41" i="17"/>
  <c r="P41" i="17"/>
  <c r="C40" i="17"/>
  <c r="Q40" i="17"/>
  <c r="C39" i="17"/>
  <c r="C38" i="17"/>
  <c r="Q38" i="17"/>
  <c r="C37" i="17"/>
  <c r="O37" i="17"/>
  <c r="C36" i="17"/>
  <c r="C35" i="17"/>
  <c r="P35" i="17"/>
  <c r="C34" i="17"/>
  <c r="Q34" i="17"/>
  <c r="C33" i="17"/>
  <c r="Q33" i="17"/>
  <c r="C32" i="17"/>
  <c r="P32" i="17"/>
  <c r="C31" i="17"/>
  <c r="Q31" i="17"/>
  <c r="C30" i="17"/>
  <c r="P30" i="17"/>
  <c r="C29" i="17"/>
  <c r="Q29" i="17"/>
  <c r="C28" i="17"/>
  <c r="Q28" i="17"/>
  <c r="C23" i="17"/>
  <c r="P23" i="17"/>
  <c r="C22" i="17"/>
  <c r="Q22" i="17"/>
  <c r="C21" i="17"/>
  <c r="C20" i="17"/>
  <c r="Q20" i="17"/>
  <c r="C19" i="17"/>
  <c r="O19" i="17"/>
  <c r="C18" i="17"/>
  <c r="C17" i="17"/>
  <c r="P17" i="17"/>
  <c r="C16" i="17"/>
  <c r="Q16" i="17"/>
  <c r="C15" i="17"/>
  <c r="Q15" i="17"/>
  <c r="C14" i="17"/>
  <c r="P14" i="17"/>
  <c r="C13" i="17"/>
  <c r="Q13" i="17"/>
  <c r="C12" i="17"/>
  <c r="P12" i="17"/>
  <c r="C11" i="17"/>
  <c r="Q11" i="17"/>
  <c r="C10" i="17"/>
  <c r="Q10" i="17"/>
  <c r="AB41" i="17"/>
  <c r="AA41" i="17"/>
  <c r="Z41" i="17"/>
  <c r="Y41" i="17"/>
  <c r="Q41" i="17"/>
  <c r="O41" i="17"/>
  <c r="N41" i="17"/>
  <c r="B41" i="17"/>
  <c r="A41" i="17"/>
  <c r="AB40" i="17"/>
  <c r="AA40" i="17"/>
  <c r="Z40" i="17"/>
  <c r="Y40" i="17"/>
  <c r="R40" i="17"/>
  <c r="P40" i="17"/>
  <c r="O40" i="17"/>
  <c r="N40" i="17"/>
  <c r="B40" i="17"/>
  <c r="A40" i="17"/>
  <c r="AB39" i="17"/>
  <c r="AA39" i="17"/>
  <c r="Z39" i="17"/>
  <c r="Y39" i="17"/>
  <c r="Q39" i="17"/>
  <c r="P39" i="17"/>
  <c r="O39" i="17"/>
  <c r="N39" i="17"/>
  <c r="B39" i="17"/>
  <c r="A39" i="17"/>
  <c r="AB38" i="17"/>
  <c r="AA38" i="17"/>
  <c r="Z38" i="17"/>
  <c r="Y38" i="17"/>
  <c r="P38" i="17"/>
  <c r="O38" i="17"/>
  <c r="N38" i="17"/>
  <c r="B38" i="17"/>
  <c r="A38" i="17"/>
  <c r="AB37" i="17"/>
  <c r="AA37" i="17"/>
  <c r="Z37" i="17"/>
  <c r="Y37" i="17"/>
  <c r="R37" i="17"/>
  <c r="Q37" i="17"/>
  <c r="P37" i="17"/>
  <c r="N37" i="17"/>
  <c r="B37" i="17"/>
  <c r="A37" i="17"/>
  <c r="AB36" i="17"/>
  <c r="AA36" i="17"/>
  <c r="Z36" i="17"/>
  <c r="Y36" i="17"/>
  <c r="Q36" i="17"/>
  <c r="P36" i="17"/>
  <c r="O36" i="17"/>
  <c r="N36" i="17"/>
  <c r="B36" i="17"/>
  <c r="A36" i="17"/>
  <c r="AB35" i="17"/>
  <c r="AA35" i="17"/>
  <c r="Z35" i="17"/>
  <c r="Y35" i="17"/>
  <c r="R35" i="17"/>
  <c r="Q35" i="17"/>
  <c r="O35" i="17"/>
  <c r="N35" i="17"/>
  <c r="B35" i="17"/>
  <c r="A35" i="17"/>
  <c r="AB34" i="17"/>
  <c r="AA34" i="17"/>
  <c r="Z34" i="17"/>
  <c r="Y34" i="17"/>
  <c r="P34" i="17"/>
  <c r="O34" i="17"/>
  <c r="N34" i="17"/>
  <c r="B34" i="17"/>
  <c r="A34" i="17"/>
  <c r="AB33" i="17"/>
  <c r="AA33" i="17"/>
  <c r="Z33" i="17"/>
  <c r="Y33" i="17"/>
  <c r="R33" i="17"/>
  <c r="P33" i="17"/>
  <c r="O33" i="17"/>
  <c r="N33" i="17"/>
  <c r="B33" i="17"/>
  <c r="A33" i="17"/>
  <c r="AB32" i="17"/>
  <c r="AA32" i="17"/>
  <c r="Z32" i="17"/>
  <c r="Y32" i="17"/>
  <c r="Q32" i="17"/>
  <c r="O32" i="17"/>
  <c r="N32" i="17"/>
  <c r="B32" i="17"/>
  <c r="A32" i="17"/>
  <c r="AB31" i="17"/>
  <c r="AA31" i="17"/>
  <c r="Z31" i="17"/>
  <c r="Y31" i="17"/>
  <c r="R31" i="17"/>
  <c r="P31" i="17"/>
  <c r="O31" i="17"/>
  <c r="N31" i="17"/>
  <c r="B31" i="17"/>
  <c r="A31" i="17"/>
  <c r="AB30" i="17"/>
  <c r="AA30" i="17"/>
  <c r="Z30" i="17"/>
  <c r="Y30" i="17"/>
  <c r="Q30" i="17"/>
  <c r="O30" i="17"/>
  <c r="N30" i="17"/>
  <c r="B30" i="17"/>
  <c r="A30" i="17"/>
  <c r="AB29" i="17"/>
  <c r="AA29" i="17"/>
  <c r="Z29" i="17"/>
  <c r="Y29" i="17"/>
  <c r="P29" i="17"/>
  <c r="O29" i="17"/>
  <c r="N29" i="17"/>
  <c r="B29" i="17"/>
  <c r="A29" i="17"/>
  <c r="AB28" i="17"/>
  <c r="AA28" i="17"/>
  <c r="Z28" i="17"/>
  <c r="Y28" i="17"/>
  <c r="P28" i="17"/>
  <c r="O28" i="17"/>
  <c r="N28" i="17"/>
  <c r="B28" i="17"/>
  <c r="A28" i="17"/>
  <c r="AB23" i="17"/>
  <c r="AA23" i="17"/>
  <c r="Z23" i="17"/>
  <c r="Y23" i="17"/>
  <c r="R23" i="17"/>
  <c r="Q23" i="17"/>
  <c r="O23" i="17"/>
  <c r="N23" i="17"/>
  <c r="B23" i="17"/>
  <c r="A23" i="17"/>
  <c r="AB22" i="17"/>
  <c r="AA22" i="17"/>
  <c r="Z22" i="17"/>
  <c r="Y22" i="17"/>
  <c r="P22" i="17"/>
  <c r="O22" i="17"/>
  <c r="N22" i="17"/>
  <c r="B22" i="17"/>
  <c r="A22" i="17"/>
  <c r="AB21" i="17"/>
  <c r="AA21" i="17"/>
  <c r="Z21" i="17"/>
  <c r="Y21" i="17"/>
  <c r="Q21" i="17"/>
  <c r="P21" i="17"/>
  <c r="O21" i="17"/>
  <c r="N21" i="17"/>
  <c r="B21" i="17"/>
  <c r="A21" i="17"/>
  <c r="AB20" i="17"/>
  <c r="AA20" i="17"/>
  <c r="Z20" i="17"/>
  <c r="Y20" i="17"/>
  <c r="P20" i="17"/>
  <c r="O20" i="17"/>
  <c r="N20" i="17"/>
  <c r="B20" i="17"/>
  <c r="A20" i="17"/>
  <c r="AB19" i="17"/>
  <c r="AA19" i="17"/>
  <c r="Z19" i="17"/>
  <c r="Y19" i="17"/>
  <c r="R19" i="17"/>
  <c r="Q19" i="17"/>
  <c r="P19" i="17"/>
  <c r="N19" i="17"/>
  <c r="B19" i="17"/>
  <c r="A19" i="17"/>
  <c r="AB18" i="17"/>
  <c r="AA18" i="17"/>
  <c r="Z18" i="17"/>
  <c r="Y18" i="17"/>
  <c r="R18" i="17"/>
  <c r="Q18" i="17"/>
  <c r="P18" i="17"/>
  <c r="O18" i="17"/>
  <c r="N18" i="17"/>
  <c r="B18" i="17"/>
  <c r="A18" i="17"/>
  <c r="AB17" i="17"/>
  <c r="AA17" i="17"/>
  <c r="Z17" i="17"/>
  <c r="Y17" i="17"/>
  <c r="Q17" i="17"/>
  <c r="O17" i="17"/>
  <c r="N17" i="17"/>
  <c r="B17" i="17"/>
  <c r="A17" i="17"/>
  <c r="AB16" i="17"/>
  <c r="AA16" i="17"/>
  <c r="Z16" i="17"/>
  <c r="Y16" i="17"/>
  <c r="R16" i="17"/>
  <c r="P16" i="17"/>
  <c r="O16" i="17"/>
  <c r="N16" i="17"/>
  <c r="B16" i="17"/>
  <c r="A16" i="17"/>
  <c r="AB15" i="17"/>
  <c r="AA15" i="17"/>
  <c r="Z15" i="17"/>
  <c r="Y15" i="17"/>
  <c r="R15" i="17"/>
  <c r="P15" i="17"/>
  <c r="O15" i="17"/>
  <c r="N15" i="17"/>
  <c r="B15" i="17"/>
  <c r="A15" i="17"/>
  <c r="AB14" i="17"/>
  <c r="AA14" i="17"/>
  <c r="Z14" i="17"/>
  <c r="Y14" i="17"/>
  <c r="R14" i="17"/>
  <c r="Q14" i="17"/>
  <c r="O14" i="17"/>
  <c r="N14" i="17"/>
  <c r="B14" i="17"/>
  <c r="A14" i="17"/>
  <c r="AB13" i="17"/>
  <c r="AA13" i="17"/>
  <c r="Z13" i="17"/>
  <c r="Y13" i="17"/>
  <c r="P13" i="17"/>
  <c r="O13" i="17"/>
  <c r="N13" i="17"/>
  <c r="B13" i="17"/>
  <c r="A13" i="17"/>
  <c r="AB12" i="17"/>
  <c r="AA12" i="17"/>
  <c r="Z12" i="17"/>
  <c r="Y12" i="17"/>
  <c r="Q12" i="17"/>
  <c r="O12" i="17"/>
  <c r="N12" i="17"/>
  <c r="B12" i="17"/>
  <c r="A12" i="17"/>
  <c r="AB11" i="17"/>
  <c r="AA11" i="17"/>
  <c r="Z11" i="17"/>
  <c r="Y11" i="17"/>
  <c r="R11" i="17"/>
  <c r="P11" i="17"/>
  <c r="O11" i="17"/>
  <c r="N11" i="17"/>
  <c r="B11" i="17"/>
  <c r="A11" i="17"/>
  <c r="AB10" i="17"/>
  <c r="AA10" i="17"/>
  <c r="Z10" i="17"/>
  <c r="Y10" i="17"/>
  <c r="R10" i="17"/>
  <c r="P10" i="17"/>
  <c r="O10" i="17"/>
  <c r="N10" i="17"/>
  <c r="B10" i="17"/>
  <c r="A10" i="17"/>
  <c r="R33" i="13"/>
  <c r="R18" i="13"/>
  <c r="R23" i="13"/>
  <c r="R34" i="13"/>
  <c r="R41" i="13"/>
  <c r="R12" i="13"/>
  <c r="R11" i="13"/>
  <c r="R20" i="13"/>
  <c r="R22" i="13"/>
  <c r="F5" i="13"/>
  <c r="F6" i="20"/>
  <c r="R31" i="13"/>
  <c r="R32" i="13"/>
  <c r="R37" i="13"/>
  <c r="R15" i="13"/>
  <c r="R16" i="13"/>
  <c r="R17" i="13"/>
  <c r="R29" i="13"/>
  <c r="R30" i="13"/>
  <c r="R28" i="13"/>
  <c r="R19" i="13"/>
  <c r="D10" i="13"/>
  <c r="E11" i="13"/>
  <c r="I16" i="13"/>
  <c r="D23" i="13"/>
  <c r="D15" i="13"/>
  <c r="F5" i="19"/>
  <c r="R41" i="19"/>
  <c r="D22" i="13"/>
  <c r="F11" i="13"/>
  <c r="E21" i="13"/>
  <c r="R38" i="19"/>
  <c r="R35" i="19"/>
  <c r="R29" i="19"/>
  <c r="R22" i="19"/>
  <c r="R36" i="19"/>
  <c r="R32" i="19"/>
  <c r="R30" i="19"/>
  <c r="R19" i="19"/>
  <c r="R17" i="19"/>
  <c r="R37" i="19"/>
  <c r="R16" i="19"/>
  <c r="R14" i="19"/>
  <c r="R10" i="19"/>
  <c r="D21" i="19"/>
  <c r="I18" i="19"/>
  <c r="I22" i="19"/>
  <c r="R23" i="20"/>
  <c r="R31" i="20"/>
  <c r="R28" i="20"/>
  <c r="R30" i="20"/>
  <c r="R11" i="20"/>
  <c r="R40" i="20"/>
  <c r="R38" i="20"/>
  <c r="R22" i="20"/>
  <c r="D17" i="19"/>
  <c r="D12" i="19"/>
  <c r="E14" i="19"/>
  <c r="I23" i="19"/>
  <c r="D23" i="35" l="1"/>
  <c r="J23" i="35" s="1"/>
  <c r="D24" i="35"/>
  <c r="J24" i="35" s="1"/>
  <c r="K24" i="35" s="1"/>
  <c r="D25" i="35"/>
  <c r="J25" i="35" s="1"/>
  <c r="K25" i="35" s="1"/>
  <c r="D26" i="35"/>
  <c r="J26" i="35" s="1"/>
  <c r="K26" i="35" s="1"/>
  <c r="D23" i="34"/>
  <c r="J23" i="34" s="1"/>
  <c r="D24" i="34"/>
  <c r="J24" i="34" s="1"/>
  <c r="K24" i="34" s="1"/>
  <c r="D25" i="34"/>
  <c r="J25" i="34" s="1"/>
  <c r="D26" i="34"/>
  <c r="J26" i="34" s="1"/>
  <c r="K26" i="34" s="1"/>
  <c r="R44" i="34"/>
  <c r="R45" i="34"/>
  <c r="R46" i="34"/>
  <c r="R47" i="34"/>
  <c r="R23" i="34"/>
  <c r="R24" i="34"/>
  <c r="R25" i="34"/>
  <c r="R26" i="34"/>
  <c r="I21" i="35"/>
  <c r="I15" i="35"/>
  <c r="I12" i="35"/>
  <c r="D22" i="35"/>
  <c r="J22" i="35" s="1"/>
  <c r="D21" i="35"/>
  <c r="D20" i="35"/>
  <c r="J20" i="35" s="1"/>
  <c r="D19" i="35"/>
  <c r="J19" i="35" s="1"/>
  <c r="D18" i="35"/>
  <c r="D17" i="35"/>
  <c r="J17" i="35" s="1"/>
  <c r="D16" i="35"/>
  <c r="J16" i="35" s="1"/>
  <c r="D15" i="35"/>
  <c r="D14" i="35"/>
  <c r="J14" i="35" s="1"/>
  <c r="D13" i="35"/>
  <c r="J13" i="35" s="1"/>
  <c r="D12" i="35"/>
  <c r="D11" i="35"/>
  <c r="J11" i="35" s="1"/>
  <c r="D10" i="35"/>
  <c r="J10" i="35" s="1"/>
  <c r="F12" i="35"/>
  <c r="I18" i="35"/>
  <c r="E12" i="35"/>
  <c r="I18" i="34"/>
  <c r="I15" i="34"/>
  <c r="E12" i="34"/>
  <c r="D22" i="34"/>
  <c r="J22" i="34" s="1"/>
  <c r="D19" i="34"/>
  <c r="J19" i="34" s="1"/>
  <c r="D18" i="34"/>
  <c r="D15" i="34"/>
  <c r="I21" i="34"/>
  <c r="I12" i="34"/>
  <c r="D16" i="34"/>
  <c r="J16" i="34" s="1"/>
  <c r="D13" i="34"/>
  <c r="J13" i="34" s="1"/>
  <c r="D20" i="34"/>
  <c r="J20" i="34" s="1"/>
  <c r="D14" i="34"/>
  <c r="J14" i="34" s="1"/>
  <c r="D12" i="34"/>
  <c r="F12" i="34"/>
  <c r="D17" i="34"/>
  <c r="J17" i="34" s="1"/>
  <c r="D11" i="34"/>
  <c r="J11" i="34" s="1"/>
  <c r="D21" i="34"/>
  <c r="D10" i="34"/>
  <c r="J10" i="34" s="1"/>
  <c r="R42" i="34"/>
  <c r="R34" i="34"/>
  <c r="R39" i="34"/>
  <c r="R19" i="34"/>
  <c r="R11" i="34"/>
  <c r="R41" i="34"/>
  <c r="R32" i="34"/>
  <c r="R36" i="34"/>
  <c r="R22" i="34"/>
  <c r="R18" i="34"/>
  <c r="R14" i="34"/>
  <c r="R10" i="34"/>
  <c r="R40" i="34"/>
  <c r="R33" i="34"/>
  <c r="R16" i="34"/>
  <c r="R38" i="34"/>
  <c r="R37" i="34"/>
  <c r="R20" i="34"/>
  <c r="R13" i="34"/>
  <c r="R31" i="34"/>
  <c r="R15" i="34"/>
  <c r="R21" i="34"/>
  <c r="R17" i="34"/>
  <c r="R12" i="34"/>
  <c r="R43" i="34"/>
  <c r="R35" i="34"/>
  <c r="I5" i="35"/>
  <c r="H5" i="35"/>
  <c r="I5" i="34"/>
  <c r="H5" i="34"/>
  <c r="S20" i="32"/>
  <c r="S43" i="31"/>
  <c r="S41" i="32"/>
  <c r="S12" i="31"/>
  <c r="S29" i="32"/>
  <c r="S10" i="32"/>
  <c r="S12" i="32"/>
  <c r="S14" i="32"/>
  <c r="S16" i="32"/>
  <c r="S18" i="32"/>
  <c r="S22" i="32"/>
  <c r="S23" i="32"/>
  <c r="S24" i="32"/>
  <c r="S37" i="31"/>
  <c r="S30" i="31"/>
  <c r="S33" i="32"/>
  <c r="S38" i="31"/>
  <c r="R30" i="31"/>
  <c r="R37" i="31"/>
  <c r="R31" i="31"/>
  <c r="R38" i="31"/>
  <c r="S29" i="31"/>
  <c r="R39" i="31"/>
  <c r="R32" i="31"/>
  <c r="R40" i="31"/>
  <c r="R33" i="31"/>
  <c r="R41" i="31"/>
  <c r="R10" i="31"/>
  <c r="R11" i="31"/>
  <c r="R12" i="31"/>
  <c r="R13" i="31"/>
  <c r="R14" i="31"/>
  <c r="R15" i="31"/>
  <c r="R16" i="31"/>
  <c r="R17" i="31"/>
  <c r="R18" i="31"/>
  <c r="R19" i="31"/>
  <c r="R20" i="31"/>
  <c r="R21" i="31"/>
  <c r="R22" i="31"/>
  <c r="R23" i="31"/>
  <c r="R24" i="31"/>
  <c r="R34" i="31"/>
  <c r="R42" i="31"/>
  <c r="R29" i="31"/>
  <c r="R35" i="31"/>
  <c r="R43" i="31"/>
  <c r="R36" i="31"/>
  <c r="S24" i="31"/>
  <c r="S41" i="31"/>
  <c r="S10" i="31"/>
  <c r="S11" i="31"/>
  <c r="S13" i="31"/>
  <c r="S14" i="31"/>
  <c r="S15" i="31"/>
  <c r="S16" i="31"/>
  <c r="S17" i="31"/>
  <c r="S18" i="31"/>
  <c r="S19" i="31"/>
  <c r="S20" i="31"/>
  <c r="S21" i="31"/>
  <c r="S22" i="31"/>
  <c r="S23" i="31"/>
  <c r="S33" i="31"/>
  <c r="S34" i="31"/>
  <c r="S35" i="31"/>
  <c r="S30" i="32"/>
  <c r="S32" i="32"/>
  <c r="S37" i="32"/>
  <c r="S38" i="32"/>
  <c r="S39" i="32"/>
  <c r="S40" i="32"/>
  <c r="S32" i="31"/>
  <c r="S40" i="31"/>
  <c r="F6" i="32"/>
  <c r="S15" i="32"/>
  <c r="S19" i="32"/>
  <c r="S34" i="32"/>
  <c r="S13" i="32"/>
  <c r="S17" i="32"/>
  <c r="S36" i="32"/>
  <c r="S31" i="32"/>
  <c r="S11" i="32"/>
  <c r="S21" i="32"/>
  <c r="F5" i="31"/>
  <c r="S42" i="31"/>
  <c r="S39" i="31"/>
  <c r="S31" i="31"/>
  <c r="S36" i="31"/>
  <c r="F6" i="23"/>
  <c r="J21" i="19"/>
  <c r="I16" i="19"/>
  <c r="I15" i="19"/>
  <c r="D19" i="19"/>
  <c r="E11" i="19"/>
  <c r="D14" i="19"/>
  <c r="D11" i="19"/>
  <c r="D23" i="19"/>
  <c r="J23" i="19" s="1"/>
  <c r="I13" i="19"/>
  <c r="I12" i="19"/>
  <c r="D13" i="19"/>
  <c r="D15" i="19"/>
  <c r="J15" i="19" s="1"/>
  <c r="I5" i="19"/>
  <c r="I21" i="19"/>
  <c r="I11" i="19"/>
  <c r="F11" i="19"/>
  <c r="I19" i="19"/>
  <c r="D20" i="19"/>
  <c r="J20" i="19" s="1"/>
  <c r="I17" i="19"/>
  <c r="J17" i="19" s="1"/>
  <c r="D22" i="19"/>
  <c r="J22" i="19" s="1"/>
  <c r="D10" i="19"/>
  <c r="J10" i="19" s="1"/>
  <c r="H5" i="19"/>
  <c r="I14" i="19"/>
  <c r="I19" i="13"/>
  <c r="I20" i="13"/>
  <c r="I17" i="13"/>
  <c r="D17" i="13"/>
  <c r="J17" i="13" s="1"/>
  <c r="I22" i="13"/>
  <c r="F15" i="13"/>
  <c r="I11" i="13"/>
  <c r="I23" i="13"/>
  <c r="J23" i="13" s="1"/>
  <c r="I10" i="13"/>
  <c r="I18" i="13"/>
  <c r="E13" i="13"/>
  <c r="D18" i="13"/>
  <c r="J18" i="13" s="1"/>
  <c r="D11" i="13"/>
  <c r="E16" i="13"/>
  <c r="D21" i="13"/>
  <c r="E14" i="13"/>
  <c r="E15" i="13"/>
  <c r="J15" i="13" s="1"/>
  <c r="D20" i="13"/>
  <c r="J20" i="13" s="1"/>
  <c r="I21" i="13"/>
  <c r="D14" i="13"/>
  <c r="J14" i="13" s="1"/>
  <c r="I5" i="13"/>
  <c r="I15" i="13"/>
  <c r="D19" i="13"/>
  <c r="J19" i="13" s="1"/>
  <c r="I12" i="13"/>
  <c r="D13" i="13"/>
  <c r="D16" i="13"/>
  <c r="F13" i="13"/>
  <c r="F21" i="13"/>
  <c r="D12" i="13"/>
  <c r="I13" i="13"/>
  <c r="H5" i="13"/>
  <c r="I14" i="13"/>
  <c r="F14" i="19"/>
  <c r="F14" i="13"/>
  <c r="R37" i="20"/>
  <c r="R34" i="20"/>
  <c r="R32" i="20"/>
  <c r="R15" i="20"/>
  <c r="R33" i="20"/>
  <c r="R18" i="20"/>
  <c r="R17" i="20"/>
  <c r="R12" i="20"/>
  <c r="R21" i="20"/>
  <c r="R10" i="20"/>
  <c r="F5" i="20"/>
  <c r="R16" i="20"/>
  <c r="R29" i="20"/>
  <c r="R39" i="20"/>
  <c r="R35" i="20"/>
  <c r="R41" i="20"/>
  <c r="R19" i="20"/>
  <c r="R20" i="20"/>
  <c r="R14" i="20"/>
  <c r="R13" i="20"/>
  <c r="F6" i="14"/>
  <c r="F5" i="14" s="1"/>
  <c r="J21" i="13"/>
  <c r="D18" i="19"/>
  <c r="J18" i="19" s="1"/>
  <c r="R36" i="20"/>
  <c r="D16" i="19"/>
  <c r="J16" i="19" s="1"/>
  <c r="F6" i="22"/>
  <c r="F5" i="22"/>
  <c r="F6" i="26"/>
  <c r="F5" i="26" s="1"/>
  <c r="J22" i="13"/>
  <c r="J10" i="13"/>
  <c r="R33" i="19"/>
  <c r="R36" i="17"/>
  <c r="R39" i="17"/>
  <c r="R32" i="17"/>
  <c r="R28" i="17"/>
  <c r="R17" i="17"/>
  <c r="R13" i="17"/>
  <c r="R20" i="17"/>
  <c r="R30" i="17"/>
  <c r="R38" i="17"/>
  <c r="R34" i="17"/>
  <c r="R21" i="17"/>
  <c r="R29" i="17"/>
  <c r="R12" i="17"/>
  <c r="R41" i="17"/>
  <c r="R22" i="17"/>
  <c r="R34" i="19"/>
  <c r="R15" i="19"/>
  <c r="R13" i="19"/>
  <c r="R23" i="19"/>
  <c r="R39" i="19"/>
  <c r="R18" i="19"/>
  <c r="R12" i="19"/>
  <c r="R11" i="19"/>
  <c r="R40" i="19"/>
  <c r="R31" i="19"/>
  <c r="J12" i="19"/>
  <c r="S11" i="25"/>
  <c r="S57" i="25"/>
  <c r="R28" i="19"/>
  <c r="R21" i="19"/>
  <c r="R32" i="16"/>
  <c r="R28" i="16"/>
  <c r="R39" i="16"/>
  <c r="R20" i="16"/>
  <c r="R16" i="16"/>
  <c r="R12" i="16"/>
  <c r="R35" i="16"/>
  <c r="R31" i="16"/>
  <c r="R23" i="16"/>
  <c r="R30" i="16"/>
  <c r="R21" i="16"/>
  <c r="R17" i="16"/>
  <c r="R34" i="16"/>
  <c r="R29" i="16"/>
  <c r="R11" i="16"/>
  <c r="F5" i="16"/>
  <c r="R10" i="13"/>
  <c r="R21" i="13"/>
  <c r="R38" i="13"/>
  <c r="R13" i="13"/>
  <c r="R35" i="13"/>
  <c r="R40" i="13"/>
  <c r="R39" i="13"/>
  <c r="R14" i="13"/>
  <c r="R13" i="16"/>
  <c r="S12" i="26"/>
  <c r="S15" i="26"/>
  <c r="S40" i="25"/>
  <c r="S19" i="26"/>
  <c r="S23" i="26"/>
  <c r="F5" i="17"/>
  <c r="F6" i="25"/>
  <c r="S16" i="26"/>
  <c r="S60" i="25"/>
  <c r="S27" i="26"/>
  <c r="S17" i="26"/>
  <c r="S44" i="26"/>
  <c r="S62" i="26"/>
  <c r="S54" i="25"/>
  <c r="S13" i="26"/>
  <c r="S40" i="29"/>
  <c r="S42" i="29"/>
  <c r="S50" i="29"/>
  <c r="S61" i="29"/>
  <c r="S32" i="25"/>
  <c r="S55" i="25"/>
  <c r="S28" i="25"/>
  <c r="S59" i="26"/>
  <c r="S33" i="26"/>
  <c r="S56" i="26"/>
  <c r="S30" i="25"/>
  <c r="S58" i="25"/>
  <c r="S29" i="26"/>
  <c r="S11" i="29"/>
  <c r="R61" i="28"/>
  <c r="R60" i="28"/>
  <c r="R59" i="28"/>
  <c r="R58" i="28"/>
  <c r="R57" i="28"/>
  <c r="R64" i="28"/>
  <c r="R56" i="28"/>
  <c r="R63" i="28"/>
  <c r="R55" i="28"/>
  <c r="R62" i="28"/>
  <c r="R34" i="28"/>
  <c r="R30" i="28"/>
  <c r="R25" i="28"/>
  <c r="S63" i="28"/>
  <c r="R63" i="29"/>
  <c r="R30" i="29"/>
  <c r="R25" i="29"/>
  <c r="R59" i="29"/>
  <c r="R54" i="29"/>
  <c r="R34" i="29"/>
  <c r="R64" i="29"/>
  <c r="S34" i="29"/>
  <c r="S64" i="29"/>
  <c r="S10" i="29"/>
  <c r="R35" i="29"/>
  <c r="S35" i="29"/>
  <c r="S63" i="29"/>
  <c r="S41" i="28"/>
  <c r="S46" i="28"/>
  <c r="S50" i="28"/>
  <c r="S54" i="28"/>
  <c r="S58" i="28"/>
  <c r="S62" i="28"/>
  <c r="R10" i="28"/>
  <c r="S40" i="28"/>
  <c r="S43" i="28"/>
  <c r="S10" i="28"/>
  <c r="S11" i="28"/>
  <c r="S12" i="28"/>
  <c r="S13" i="28"/>
  <c r="S14" i="28"/>
  <c r="S15" i="28"/>
  <c r="S16" i="28"/>
  <c r="S17" i="28"/>
  <c r="S18" i="28"/>
  <c r="S19" i="28"/>
  <c r="S20" i="28"/>
  <c r="S21" i="28"/>
  <c r="S23" i="28"/>
  <c r="S27" i="28"/>
  <c r="S28" i="28"/>
  <c r="S29" i="28"/>
  <c r="S30" i="28"/>
  <c r="S31" i="28"/>
  <c r="S32" i="28"/>
  <c r="S33" i="28"/>
  <c r="R35" i="28"/>
  <c r="S44" i="28"/>
  <c r="S47" i="28"/>
  <c r="S48" i="28"/>
  <c r="S49" i="28"/>
  <c r="S51" i="28"/>
  <c r="S52" i="28"/>
  <c r="S53" i="28"/>
  <c r="S64" i="28"/>
  <c r="S55" i="28"/>
  <c r="S56" i="28"/>
  <c r="S57" i="28"/>
  <c r="S59" i="28"/>
  <c r="S60" i="28"/>
  <c r="S61" i="28"/>
  <c r="S35" i="28"/>
  <c r="S34" i="28"/>
  <c r="S24" i="28"/>
  <c r="R41" i="29"/>
  <c r="R44" i="29"/>
  <c r="R48" i="29"/>
  <c r="R52" i="29"/>
  <c r="R56" i="29"/>
  <c r="R60" i="29"/>
  <c r="R10" i="29"/>
  <c r="R11" i="29"/>
  <c r="R12" i="29"/>
  <c r="R13" i="29"/>
  <c r="R14" i="29"/>
  <c r="R15" i="29"/>
  <c r="R16" i="29"/>
  <c r="R17" i="29"/>
  <c r="R18" i="29"/>
  <c r="R19" i="29"/>
  <c r="R20" i="29"/>
  <c r="R21" i="29"/>
  <c r="R22" i="29"/>
  <c r="R23" i="29"/>
  <c r="R24" i="29"/>
  <c r="R26" i="29"/>
  <c r="R27" i="29"/>
  <c r="R28" i="29"/>
  <c r="R29" i="29"/>
  <c r="R31" i="29"/>
  <c r="R32" i="29"/>
  <c r="R33" i="29"/>
  <c r="R42" i="29"/>
  <c r="R45" i="29"/>
  <c r="R49" i="29"/>
  <c r="R53" i="29"/>
  <c r="R57" i="29"/>
  <c r="R61" i="29"/>
  <c r="R40" i="29"/>
  <c r="R46" i="29"/>
  <c r="R50" i="29"/>
  <c r="R58" i="29"/>
  <c r="R62" i="29"/>
  <c r="R43" i="29"/>
  <c r="R47" i="29"/>
  <c r="R51" i="29"/>
  <c r="R55" i="29"/>
  <c r="R41" i="28"/>
  <c r="R44" i="28"/>
  <c r="R48" i="28"/>
  <c r="R52" i="28"/>
  <c r="R11" i="28"/>
  <c r="R12" i="28"/>
  <c r="R13" i="28"/>
  <c r="R14" i="28"/>
  <c r="R15" i="28"/>
  <c r="R16" i="28"/>
  <c r="R17" i="28"/>
  <c r="R18" i="28"/>
  <c r="R19" i="28"/>
  <c r="R20" i="28"/>
  <c r="R21" i="28"/>
  <c r="R22" i="28"/>
  <c r="R23" i="28"/>
  <c r="R24" i="28"/>
  <c r="R26" i="28"/>
  <c r="R27" i="28"/>
  <c r="R28" i="28"/>
  <c r="R29" i="28"/>
  <c r="R31" i="28"/>
  <c r="R32" i="28"/>
  <c r="R33" i="28"/>
  <c r="R42" i="28"/>
  <c r="R45" i="28"/>
  <c r="R49" i="28"/>
  <c r="R53" i="28"/>
  <c r="R40" i="28"/>
  <c r="R46" i="28"/>
  <c r="R50" i="28"/>
  <c r="R43" i="28"/>
  <c r="R47" i="28"/>
  <c r="R51" i="28"/>
  <c r="F5" i="29"/>
  <c r="S46" i="29"/>
  <c r="F5" i="28"/>
  <c r="S22" i="28"/>
  <c r="S26" i="28"/>
  <c r="S42" i="28"/>
  <c r="S45" i="28"/>
  <c r="L25" i="35" l="1"/>
  <c r="M25" i="35" s="1"/>
  <c r="L26" i="34"/>
  <c r="L24" i="34"/>
  <c r="M24" i="34" s="1"/>
  <c r="L26" i="35"/>
  <c r="M26" i="35" s="1"/>
  <c r="D44" i="35"/>
  <c r="D45" i="35"/>
  <c r="D46" i="35"/>
  <c r="D47" i="35"/>
  <c r="H45" i="35"/>
  <c r="H46" i="35"/>
  <c r="H47" i="35"/>
  <c r="H44" i="35"/>
  <c r="U26" i="35"/>
  <c r="W26" i="35" s="1"/>
  <c r="Y26" i="35" s="1"/>
  <c r="L24" i="35"/>
  <c r="M24" i="35" s="1"/>
  <c r="K23" i="35"/>
  <c r="L23" i="35"/>
  <c r="D45" i="34"/>
  <c r="D46" i="34"/>
  <c r="D47" i="34"/>
  <c r="D44" i="34"/>
  <c r="H45" i="34"/>
  <c r="H44" i="34"/>
  <c r="H46" i="34"/>
  <c r="H47" i="34"/>
  <c r="K25" i="34"/>
  <c r="L25" i="34"/>
  <c r="K23" i="34"/>
  <c r="L23" i="34"/>
  <c r="U25" i="35"/>
  <c r="W25" i="35" s="1"/>
  <c r="Y25" i="35" s="1"/>
  <c r="J21" i="35"/>
  <c r="L21" i="35" s="1"/>
  <c r="D42" i="35"/>
  <c r="G39" i="35"/>
  <c r="F33" i="35"/>
  <c r="D41" i="35"/>
  <c r="D34" i="35"/>
  <c r="E33" i="35"/>
  <c r="D40" i="35"/>
  <c r="D33" i="35"/>
  <c r="G36" i="35"/>
  <c r="D38" i="35"/>
  <c r="G42" i="35"/>
  <c r="D37" i="35"/>
  <c r="D31" i="35"/>
  <c r="G41" i="35"/>
  <c r="D36" i="35"/>
  <c r="D32" i="35"/>
  <c r="D43" i="35"/>
  <c r="D35" i="35"/>
  <c r="G33" i="35"/>
  <c r="D39" i="35"/>
  <c r="H38" i="35"/>
  <c r="H32" i="35"/>
  <c r="H36" i="35"/>
  <c r="H43" i="35"/>
  <c r="H37" i="35"/>
  <c r="H31" i="35"/>
  <c r="H42" i="35"/>
  <c r="H41" i="35"/>
  <c r="H34" i="35"/>
  <c r="H40" i="35"/>
  <c r="H33" i="35"/>
  <c r="H39" i="35"/>
  <c r="I32" i="35"/>
  <c r="H35" i="35"/>
  <c r="D43" i="34"/>
  <c r="D35" i="34"/>
  <c r="G33" i="34"/>
  <c r="D40" i="34"/>
  <c r="D42" i="34"/>
  <c r="G39" i="34"/>
  <c r="F33" i="34"/>
  <c r="D41" i="34"/>
  <c r="D34" i="34"/>
  <c r="E33" i="34"/>
  <c r="D33" i="34"/>
  <c r="G42" i="34"/>
  <c r="D37" i="34"/>
  <c r="D39" i="34"/>
  <c r="G36" i="34"/>
  <c r="D38" i="34"/>
  <c r="D32" i="34"/>
  <c r="D31" i="34"/>
  <c r="D36" i="34"/>
  <c r="G41" i="34"/>
  <c r="H39" i="34"/>
  <c r="I32" i="34"/>
  <c r="H36" i="34"/>
  <c r="H41" i="34"/>
  <c r="H33" i="34"/>
  <c r="H38" i="34"/>
  <c r="H32" i="34"/>
  <c r="H37" i="34"/>
  <c r="H31" i="34"/>
  <c r="H34" i="34"/>
  <c r="H43" i="34"/>
  <c r="H35" i="34"/>
  <c r="H42" i="34"/>
  <c r="H40" i="34"/>
  <c r="K22" i="35"/>
  <c r="L22" i="35"/>
  <c r="L17" i="35"/>
  <c r="K17" i="35"/>
  <c r="K10" i="35"/>
  <c r="L10" i="35"/>
  <c r="L19" i="35"/>
  <c r="K19" i="35"/>
  <c r="K16" i="35"/>
  <c r="L16" i="35"/>
  <c r="L11" i="35"/>
  <c r="K11" i="35"/>
  <c r="J12" i="35"/>
  <c r="L13" i="35"/>
  <c r="K13" i="35"/>
  <c r="K20" i="35"/>
  <c r="L20" i="35"/>
  <c r="J18" i="35"/>
  <c r="K14" i="35"/>
  <c r="L14" i="35"/>
  <c r="J15" i="35"/>
  <c r="K14" i="34"/>
  <c r="L14" i="34"/>
  <c r="K22" i="34"/>
  <c r="L22" i="34"/>
  <c r="L11" i="34"/>
  <c r="K11" i="34"/>
  <c r="L13" i="34"/>
  <c r="K13" i="34"/>
  <c r="J15" i="34"/>
  <c r="K16" i="34"/>
  <c r="L16" i="34"/>
  <c r="J12" i="34"/>
  <c r="K17" i="34"/>
  <c r="L17" i="34"/>
  <c r="K10" i="34"/>
  <c r="L10" i="34"/>
  <c r="L19" i="34"/>
  <c r="K19" i="34"/>
  <c r="K20" i="34"/>
  <c r="L20" i="34"/>
  <c r="J21" i="34"/>
  <c r="J18" i="34"/>
  <c r="R41" i="32"/>
  <c r="R33" i="32"/>
  <c r="R40" i="32"/>
  <c r="R32" i="32"/>
  <c r="R39" i="32"/>
  <c r="R38" i="32"/>
  <c r="R31" i="32"/>
  <c r="R37" i="32"/>
  <c r="R30" i="32"/>
  <c r="R36" i="32"/>
  <c r="R43" i="32"/>
  <c r="R35" i="32"/>
  <c r="R29" i="32"/>
  <c r="R42" i="32"/>
  <c r="R34" i="32"/>
  <c r="R24" i="32"/>
  <c r="R23" i="32"/>
  <c r="R22" i="32"/>
  <c r="R21" i="32"/>
  <c r="R20" i="32"/>
  <c r="R19" i="32"/>
  <c r="R18" i="32"/>
  <c r="R17" i="32"/>
  <c r="R16" i="32"/>
  <c r="R15" i="32"/>
  <c r="R14" i="32"/>
  <c r="R13" i="32"/>
  <c r="R12" i="32"/>
  <c r="R11" i="32"/>
  <c r="R10" i="32"/>
  <c r="H5" i="31"/>
  <c r="I15" i="31"/>
  <c r="I20" i="31"/>
  <c r="I18" i="31"/>
  <c r="F12" i="31"/>
  <c r="E12" i="31"/>
  <c r="D24" i="31"/>
  <c r="J24" i="31" s="1"/>
  <c r="D23" i="31"/>
  <c r="J23" i="31" s="1"/>
  <c r="D22" i="31"/>
  <c r="J22" i="31" s="1"/>
  <c r="D21" i="31"/>
  <c r="D20" i="31"/>
  <c r="J20" i="31" s="1"/>
  <c r="D19" i="31"/>
  <c r="J19" i="31" s="1"/>
  <c r="D18" i="31"/>
  <c r="J18" i="31" s="1"/>
  <c r="D17" i="31"/>
  <c r="D16" i="31"/>
  <c r="J16" i="31" s="1"/>
  <c r="D15" i="31"/>
  <c r="D14" i="31"/>
  <c r="J14" i="31" s="1"/>
  <c r="D13" i="31"/>
  <c r="J13" i="31" s="1"/>
  <c r="D12" i="31"/>
  <c r="D11" i="31"/>
  <c r="D10" i="31"/>
  <c r="J10" i="31" s="1"/>
  <c r="I21" i="31"/>
  <c r="I17" i="31"/>
  <c r="I12" i="31"/>
  <c r="I11" i="31"/>
  <c r="F5" i="32"/>
  <c r="I5" i="31"/>
  <c r="K17" i="19"/>
  <c r="L17" i="19"/>
  <c r="K23" i="13"/>
  <c r="L23" i="13"/>
  <c r="D10" i="14"/>
  <c r="J10" i="14" s="1"/>
  <c r="I13" i="14"/>
  <c r="D13" i="14"/>
  <c r="J13" i="14" s="1"/>
  <c r="E15" i="14"/>
  <c r="F13" i="14"/>
  <c r="H5" i="14"/>
  <c r="E11" i="14"/>
  <c r="F11" i="14"/>
  <c r="I12" i="14"/>
  <c r="I5" i="14"/>
  <c r="I18" i="14"/>
  <c r="D15" i="14"/>
  <c r="E14" i="14"/>
  <c r="I10" i="14"/>
  <c r="D19" i="14"/>
  <c r="I16" i="14"/>
  <c r="F15" i="14"/>
  <c r="I17" i="14"/>
  <c r="D20" i="14"/>
  <c r="J20" i="14" s="1"/>
  <c r="I11" i="14"/>
  <c r="D23" i="14"/>
  <c r="D14" i="14"/>
  <c r="F14" i="14"/>
  <c r="D21" i="14"/>
  <c r="D12" i="14"/>
  <c r="J12" i="14" s="1"/>
  <c r="D18" i="14"/>
  <c r="E16" i="14"/>
  <c r="D17" i="14"/>
  <c r="J17" i="14" s="1"/>
  <c r="I15" i="14"/>
  <c r="E13" i="14"/>
  <c r="I14" i="14"/>
  <c r="D16" i="14"/>
  <c r="I21" i="14"/>
  <c r="F21" i="14"/>
  <c r="D11" i="14"/>
  <c r="I19" i="14"/>
  <c r="I22" i="14"/>
  <c r="D22" i="14"/>
  <c r="J22" i="14" s="1"/>
  <c r="I23" i="14"/>
  <c r="I20" i="14"/>
  <c r="E21" i="14"/>
  <c r="D27" i="26"/>
  <c r="J27" i="26" s="1"/>
  <c r="D26" i="26"/>
  <c r="J26" i="26" s="1"/>
  <c r="D25" i="26"/>
  <c r="J25" i="26" s="1"/>
  <c r="D24" i="26"/>
  <c r="D23" i="26"/>
  <c r="J23" i="26" s="1"/>
  <c r="D22" i="26"/>
  <c r="J22" i="26" s="1"/>
  <c r="D21" i="26"/>
  <c r="J21" i="26" s="1"/>
  <c r="D20" i="26"/>
  <c r="J20" i="26" s="1"/>
  <c r="D19" i="26"/>
  <c r="J19" i="26" s="1"/>
  <c r="D31" i="26"/>
  <c r="J31" i="26" s="1"/>
  <c r="D29" i="26"/>
  <c r="J29" i="26" s="1"/>
  <c r="D34" i="26"/>
  <c r="J34" i="26" s="1"/>
  <c r="I19" i="26"/>
  <c r="E14" i="26"/>
  <c r="H5" i="26"/>
  <c r="I31" i="26"/>
  <c r="D18" i="26"/>
  <c r="J18" i="26" s="1"/>
  <c r="D17" i="26"/>
  <c r="J17" i="26" s="1"/>
  <c r="D16" i="26"/>
  <c r="J16" i="26" s="1"/>
  <c r="D15" i="26"/>
  <c r="D14" i="26"/>
  <c r="D13" i="26"/>
  <c r="J13" i="26" s="1"/>
  <c r="D12" i="26"/>
  <c r="J12" i="26" s="1"/>
  <c r="D11" i="26"/>
  <c r="J11" i="26" s="1"/>
  <c r="D10" i="26"/>
  <c r="J10" i="26" s="1"/>
  <c r="I5" i="26"/>
  <c r="I24" i="26"/>
  <c r="D30" i="26"/>
  <c r="J30" i="26" s="1"/>
  <c r="I13" i="26"/>
  <c r="I17" i="26"/>
  <c r="D28" i="26"/>
  <c r="J28" i="26" s="1"/>
  <c r="D32" i="26"/>
  <c r="J32" i="26" s="1"/>
  <c r="I15" i="26"/>
  <c r="D33" i="26"/>
  <c r="J33" i="26" s="1"/>
  <c r="F14" i="26"/>
  <c r="I14" i="26"/>
  <c r="I11" i="26"/>
  <c r="K14" i="13"/>
  <c r="L14" i="13"/>
  <c r="L15" i="13"/>
  <c r="K15" i="13"/>
  <c r="L23" i="19"/>
  <c r="K23" i="19"/>
  <c r="K21" i="13"/>
  <c r="L21" i="13"/>
  <c r="D35" i="13"/>
  <c r="E31" i="13"/>
  <c r="D29" i="13"/>
  <c r="D38" i="13"/>
  <c r="J38" i="13" s="1"/>
  <c r="G40" i="13"/>
  <c r="G37" i="13"/>
  <c r="G39" i="13"/>
  <c r="G31" i="13"/>
  <c r="D41" i="13"/>
  <c r="D28" i="13"/>
  <c r="G29" i="13"/>
  <c r="D30" i="13"/>
  <c r="D39" i="13"/>
  <c r="D40" i="13"/>
  <c r="J40" i="13" s="1"/>
  <c r="F31" i="13"/>
  <c r="F29" i="13"/>
  <c r="D36" i="13"/>
  <c r="J36" i="13" s="1"/>
  <c r="G38" i="13"/>
  <c r="E32" i="13"/>
  <c r="E33" i="13"/>
  <c r="G30" i="13"/>
  <c r="D31" i="13"/>
  <c r="J31" i="13" s="1"/>
  <c r="D34" i="13"/>
  <c r="E34" i="13"/>
  <c r="F39" i="13"/>
  <c r="E29" i="13"/>
  <c r="G41" i="13"/>
  <c r="D37" i="13"/>
  <c r="G33" i="13"/>
  <c r="G28" i="13"/>
  <c r="G36" i="13"/>
  <c r="G35" i="13"/>
  <c r="D33" i="13"/>
  <c r="G32" i="13"/>
  <c r="F32" i="13"/>
  <c r="E39" i="13"/>
  <c r="F33" i="13"/>
  <c r="D32" i="13"/>
  <c r="J32" i="13" s="1"/>
  <c r="K22" i="13"/>
  <c r="L22" i="13"/>
  <c r="I24" i="22"/>
  <c r="D24" i="22"/>
  <c r="F13" i="22"/>
  <c r="D12" i="22"/>
  <c r="J12" i="22" s="1"/>
  <c r="D22" i="22"/>
  <c r="J22" i="22" s="1"/>
  <c r="D19" i="22"/>
  <c r="I11" i="22"/>
  <c r="E11" i="22"/>
  <c r="I15" i="22"/>
  <c r="F26" i="22"/>
  <c r="E24" i="22"/>
  <c r="D26" i="22"/>
  <c r="J26" i="22" s="1"/>
  <c r="D10" i="22"/>
  <c r="J10" i="22" s="1"/>
  <c r="I13" i="22"/>
  <c r="F24" i="22"/>
  <c r="E15" i="22"/>
  <c r="D13" i="22"/>
  <c r="D27" i="22"/>
  <c r="J27" i="22" s="1"/>
  <c r="F19" i="22"/>
  <c r="F15" i="22"/>
  <c r="D23" i="22"/>
  <c r="J23" i="22" s="1"/>
  <c r="H5" i="22"/>
  <c r="D16" i="22"/>
  <c r="J16" i="22" s="1"/>
  <c r="D25" i="22"/>
  <c r="J25" i="22" s="1"/>
  <c r="E26" i="22"/>
  <c r="D14" i="22"/>
  <c r="J14" i="22" s="1"/>
  <c r="D11" i="22"/>
  <c r="J11" i="22" s="1"/>
  <c r="D18" i="22"/>
  <c r="J18" i="22" s="1"/>
  <c r="E14" i="22"/>
  <c r="I26" i="22"/>
  <c r="D17" i="22"/>
  <c r="J17" i="22" s="1"/>
  <c r="D21" i="22"/>
  <c r="J21" i="22" s="1"/>
  <c r="I14" i="22"/>
  <c r="F11" i="22"/>
  <c r="I19" i="22"/>
  <c r="I5" i="22"/>
  <c r="E19" i="22"/>
  <c r="D20" i="22"/>
  <c r="J20" i="22" s="1"/>
  <c r="E13" i="22"/>
  <c r="D15" i="22"/>
  <c r="F14" i="22"/>
  <c r="R55" i="25"/>
  <c r="R60" i="25"/>
  <c r="R57" i="25"/>
  <c r="R59" i="25"/>
  <c r="R28" i="25"/>
  <c r="R29" i="25"/>
  <c r="R52" i="25"/>
  <c r="R44" i="25"/>
  <c r="R27" i="25"/>
  <c r="R26" i="25"/>
  <c r="R25" i="25"/>
  <c r="R24" i="25"/>
  <c r="R23" i="25"/>
  <c r="R22" i="25"/>
  <c r="R21" i="25"/>
  <c r="R20" i="25"/>
  <c r="R19" i="25"/>
  <c r="R18" i="25"/>
  <c r="R17" i="25"/>
  <c r="R16" i="25"/>
  <c r="R15" i="25"/>
  <c r="R14" i="25"/>
  <c r="R13" i="25"/>
  <c r="R12" i="25"/>
  <c r="R11" i="25"/>
  <c r="R10" i="25"/>
  <c r="R32" i="25"/>
  <c r="R33" i="25"/>
  <c r="R62" i="25"/>
  <c r="R34" i="25"/>
  <c r="R41" i="25"/>
  <c r="R56" i="25"/>
  <c r="R58" i="25"/>
  <c r="R54" i="25"/>
  <c r="R40" i="25"/>
  <c r="R30" i="25"/>
  <c r="R61" i="25"/>
  <c r="R45" i="25"/>
  <c r="R43" i="25"/>
  <c r="R42" i="25"/>
  <c r="R51" i="25"/>
  <c r="R50" i="25"/>
  <c r="R49" i="25"/>
  <c r="R48" i="25"/>
  <c r="R47" i="25"/>
  <c r="R46" i="25"/>
  <c r="R31" i="25"/>
  <c r="R53" i="25"/>
  <c r="R39" i="25"/>
  <c r="L10" i="13"/>
  <c r="K10" i="13"/>
  <c r="L18" i="19"/>
  <c r="K18" i="19"/>
  <c r="J13" i="13"/>
  <c r="R26" i="22"/>
  <c r="R38" i="22"/>
  <c r="R18" i="22"/>
  <c r="R10" i="22"/>
  <c r="R47" i="22"/>
  <c r="R41" i="22"/>
  <c r="R20" i="22"/>
  <c r="R11" i="22"/>
  <c r="R24" i="22"/>
  <c r="R40" i="22"/>
  <c r="R19" i="22"/>
  <c r="R35" i="22"/>
  <c r="R27" i="22"/>
  <c r="R39" i="22"/>
  <c r="R17" i="22"/>
  <c r="R34" i="22"/>
  <c r="R42" i="22"/>
  <c r="R14" i="22"/>
  <c r="R37" i="22"/>
  <c r="R13" i="22"/>
  <c r="R36" i="22"/>
  <c r="R12" i="22"/>
  <c r="R21" i="22"/>
  <c r="R46" i="22"/>
  <c r="R16" i="22"/>
  <c r="R44" i="22"/>
  <c r="R32" i="22"/>
  <c r="R22" i="22"/>
  <c r="R45" i="22"/>
  <c r="R43" i="22"/>
  <c r="R23" i="22"/>
  <c r="R25" i="22"/>
  <c r="R15" i="22"/>
  <c r="R33" i="22"/>
  <c r="J12" i="13"/>
  <c r="H38" i="13"/>
  <c r="H31" i="13"/>
  <c r="I29" i="13"/>
  <c r="H28" i="13"/>
  <c r="H34" i="13"/>
  <c r="H41" i="13"/>
  <c r="H39" i="13"/>
  <c r="H35" i="13"/>
  <c r="H29" i="13"/>
  <c r="H36" i="13"/>
  <c r="H33" i="13"/>
  <c r="H37" i="13"/>
  <c r="H30" i="13"/>
  <c r="H32" i="13"/>
  <c r="H40" i="13"/>
  <c r="J11" i="13"/>
  <c r="K10" i="19"/>
  <c r="L10" i="19"/>
  <c r="H28" i="19"/>
  <c r="H37" i="19"/>
  <c r="H32" i="19"/>
  <c r="H33" i="19"/>
  <c r="H36" i="19"/>
  <c r="H31" i="19"/>
  <c r="H34" i="19"/>
  <c r="H29" i="19"/>
  <c r="H30" i="19"/>
  <c r="H39" i="19"/>
  <c r="H40" i="19"/>
  <c r="H41" i="19"/>
  <c r="H38" i="19"/>
  <c r="H35" i="19"/>
  <c r="I29" i="19"/>
  <c r="R41" i="23"/>
  <c r="R32" i="23"/>
  <c r="R10" i="23"/>
  <c r="R40" i="23"/>
  <c r="R37" i="23"/>
  <c r="R42" i="23"/>
  <c r="R35" i="23"/>
  <c r="R46" i="23"/>
  <c r="R33" i="23"/>
  <c r="R38" i="23"/>
  <c r="R23" i="23"/>
  <c r="R26" i="23"/>
  <c r="R21" i="23"/>
  <c r="R34" i="23"/>
  <c r="R19" i="23"/>
  <c r="R47" i="23"/>
  <c r="R36" i="23"/>
  <c r="R11" i="23"/>
  <c r="R27" i="23"/>
  <c r="R16" i="23"/>
  <c r="R20" i="23"/>
  <c r="R24" i="23"/>
  <c r="R22" i="23"/>
  <c r="R12" i="23"/>
  <c r="R45" i="23"/>
  <c r="R15" i="23"/>
  <c r="R17" i="23"/>
  <c r="R18" i="23"/>
  <c r="R44" i="23"/>
  <c r="R25" i="23"/>
  <c r="R13" i="23"/>
  <c r="R14" i="23"/>
  <c r="R43" i="23"/>
  <c r="R39" i="23"/>
  <c r="I15" i="20"/>
  <c r="D17" i="20"/>
  <c r="J17" i="20" s="1"/>
  <c r="D21" i="20"/>
  <c r="J21" i="20" s="1"/>
  <c r="D22" i="20"/>
  <c r="D19" i="20"/>
  <c r="F11" i="20"/>
  <c r="I12" i="20"/>
  <c r="D10" i="20"/>
  <c r="J10" i="20" s="1"/>
  <c r="E14" i="20"/>
  <c r="D12" i="20"/>
  <c r="J12" i="20" s="1"/>
  <c r="I11" i="20"/>
  <c r="F14" i="20"/>
  <c r="I13" i="20"/>
  <c r="D15" i="20"/>
  <c r="H5" i="20"/>
  <c r="I23" i="20"/>
  <c r="D23" i="20"/>
  <c r="J23" i="20" s="1"/>
  <c r="D14" i="20"/>
  <c r="D20" i="20"/>
  <c r="J20" i="20" s="1"/>
  <c r="D13" i="20"/>
  <c r="I16" i="20"/>
  <c r="I18" i="20"/>
  <c r="I19" i="20"/>
  <c r="I21" i="20"/>
  <c r="D18" i="20"/>
  <c r="J18" i="20" s="1"/>
  <c r="D11" i="20"/>
  <c r="I14" i="20"/>
  <c r="D16" i="20"/>
  <c r="I5" i="20"/>
  <c r="I22" i="20"/>
  <c r="E11" i="20"/>
  <c r="I17" i="20"/>
  <c r="L21" i="19"/>
  <c r="K21" i="19"/>
  <c r="G31" i="19"/>
  <c r="E32" i="19"/>
  <c r="G29" i="19"/>
  <c r="F29" i="19"/>
  <c r="G30" i="19"/>
  <c r="G35" i="19"/>
  <c r="D29" i="19"/>
  <c r="J29" i="19" s="1"/>
  <c r="G34" i="19"/>
  <c r="D28" i="19"/>
  <c r="J28" i="19" s="1"/>
  <c r="D35" i="19"/>
  <c r="D39" i="19"/>
  <c r="D38" i="19"/>
  <c r="D40" i="19"/>
  <c r="G39" i="19"/>
  <c r="D34" i="19"/>
  <c r="G37" i="19"/>
  <c r="G36" i="19"/>
  <c r="D32" i="19"/>
  <c r="G33" i="19"/>
  <c r="E29" i="19"/>
  <c r="F32" i="19"/>
  <c r="D41" i="19"/>
  <c r="G41" i="19"/>
  <c r="D30" i="19"/>
  <c r="J30" i="19" s="1"/>
  <c r="D33" i="19"/>
  <c r="J33" i="19" s="1"/>
  <c r="D31" i="19"/>
  <c r="D36" i="19"/>
  <c r="G32" i="19"/>
  <c r="G40" i="19"/>
  <c r="D37" i="19"/>
  <c r="K12" i="19"/>
  <c r="L12" i="19"/>
  <c r="L18" i="13"/>
  <c r="K18" i="13"/>
  <c r="K17" i="13"/>
  <c r="L17" i="13"/>
  <c r="K22" i="19"/>
  <c r="L22" i="19"/>
  <c r="L15" i="19"/>
  <c r="K15" i="19"/>
  <c r="J19" i="19"/>
  <c r="F5" i="23"/>
  <c r="D14" i="16"/>
  <c r="E21" i="16"/>
  <c r="I11" i="16"/>
  <c r="D15" i="16"/>
  <c r="I21" i="16"/>
  <c r="E14" i="16"/>
  <c r="D13" i="16"/>
  <c r="J13" i="16" s="1"/>
  <c r="I14" i="16"/>
  <c r="I18" i="16"/>
  <c r="D20" i="16"/>
  <c r="J20" i="16" s="1"/>
  <c r="I19" i="16"/>
  <c r="D22" i="16"/>
  <c r="F11" i="16"/>
  <c r="D18" i="16"/>
  <c r="J18" i="16" s="1"/>
  <c r="H5" i="16"/>
  <c r="D21" i="16"/>
  <c r="D12" i="16"/>
  <c r="I5" i="16"/>
  <c r="D11" i="16"/>
  <c r="D23" i="16"/>
  <c r="J23" i="16" s="1"/>
  <c r="D19" i="16"/>
  <c r="J19" i="16" s="1"/>
  <c r="I16" i="16"/>
  <c r="I12" i="16"/>
  <c r="I13" i="16"/>
  <c r="F21" i="16"/>
  <c r="E11" i="16"/>
  <c r="I23" i="16"/>
  <c r="I17" i="16"/>
  <c r="F14" i="16"/>
  <c r="I15" i="16"/>
  <c r="I22" i="16"/>
  <c r="D16" i="16"/>
  <c r="D17" i="16"/>
  <c r="D10" i="16"/>
  <c r="J10" i="16" s="1"/>
  <c r="D13" i="17"/>
  <c r="J13" i="17" s="1"/>
  <c r="D11" i="17"/>
  <c r="I19" i="17"/>
  <c r="H5" i="17"/>
  <c r="D23" i="17"/>
  <c r="J23" i="17" s="1"/>
  <c r="D21" i="17"/>
  <c r="D14" i="17"/>
  <c r="I13" i="17"/>
  <c r="E11" i="17"/>
  <c r="I15" i="17"/>
  <c r="I39" i="17" s="1"/>
  <c r="I23" i="17"/>
  <c r="E21" i="17"/>
  <c r="D16" i="17"/>
  <c r="J16" i="17" s="1"/>
  <c r="E14" i="17"/>
  <c r="F11" i="17"/>
  <c r="I5" i="17"/>
  <c r="I16" i="17"/>
  <c r="F21" i="17"/>
  <c r="D18" i="17"/>
  <c r="J18" i="17" s="1"/>
  <c r="I11" i="17"/>
  <c r="I21" i="17"/>
  <c r="I18" i="17"/>
  <c r="D22" i="17"/>
  <c r="D10" i="17"/>
  <c r="J10" i="17" s="1"/>
  <c r="D12" i="17"/>
  <c r="I22" i="17"/>
  <c r="D15" i="17"/>
  <c r="J15" i="17" s="1"/>
  <c r="I12" i="17"/>
  <c r="D17" i="17"/>
  <c r="J17" i="17" s="1"/>
  <c r="F14" i="17"/>
  <c r="D19" i="17"/>
  <c r="D20" i="17"/>
  <c r="J20" i="17" s="1"/>
  <c r="I17" i="17"/>
  <c r="I14" i="17"/>
  <c r="K19" i="13"/>
  <c r="L19" i="13"/>
  <c r="J11" i="19"/>
  <c r="R59" i="26"/>
  <c r="R54" i="26"/>
  <c r="R46" i="26"/>
  <c r="R56" i="26"/>
  <c r="R53" i="26"/>
  <c r="R45" i="26"/>
  <c r="R39" i="26"/>
  <c r="R61" i="26"/>
  <c r="R52" i="26"/>
  <c r="R44" i="26"/>
  <c r="R27" i="26"/>
  <c r="R26" i="26"/>
  <c r="R25" i="26"/>
  <c r="R24" i="26"/>
  <c r="R23" i="26"/>
  <c r="R22" i="26"/>
  <c r="R21" i="26"/>
  <c r="R20" i="26"/>
  <c r="R19" i="26"/>
  <c r="R18" i="26"/>
  <c r="R55" i="26"/>
  <c r="R50" i="26"/>
  <c r="R42" i="26"/>
  <c r="R28" i="26"/>
  <c r="R49" i="26"/>
  <c r="R48" i="26"/>
  <c r="R47" i="26"/>
  <c r="R62" i="26"/>
  <c r="R41" i="26"/>
  <c r="R58" i="26"/>
  <c r="R60" i="26"/>
  <c r="R29" i="26"/>
  <c r="R51" i="26"/>
  <c r="R57" i="26"/>
  <c r="R34" i="26"/>
  <c r="R17" i="26"/>
  <c r="R16" i="26"/>
  <c r="R15" i="26"/>
  <c r="R14" i="26"/>
  <c r="R13" i="26"/>
  <c r="R12" i="26"/>
  <c r="R11" i="26"/>
  <c r="R10" i="26"/>
  <c r="R30" i="26"/>
  <c r="R31" i="26"/>
  <c r="R40" i="26"/>
  <c r="R32" i="26"/>
  <c r="R33" i="26"/>
  <c r="R43" i="26"/>
  <c r="R32" i="14"/>
  <c r="R34" i="14"/>
  <c r="R29" i="14"/>
  <c r="R16" i="14"/>
  <c r="R39" i="14"/>
  <c r="R12" i="14"/>
  <c r="R14" i="14"/>
  <c r="R36" i="14"/>
  <c r="R21" i="14"/>
  <c r="R38" i="14"/>
  <c r="R28" i="14"/>
  <c r="R37" i="14"/>
  <c r="R35" i="14"/>
  <c r="R31" i="14"/>
  <c r="R19" i="14"/>
  <c r="R23" i="14"/>
  <c r="R13" i="14"/>
  <c r="R40" i="14"/>
  <c r="R11" i="14"/>
  <c r="R10" i="14"/>
  <c r="R18" i="14"/>
  <c r="R41" i="14"/>
  <c r="R30" i="14"/>
  <c r="R17" i="14"/>
  <c r="R33" i="14"/>
  <c r="R20" i="14"/>
  <c r="R22" i="14"/>
  <c r="R15" i="14"/>
  <c r="J14" i="19"/>
  <c r="K16" i="19"/>
  <c r="L16" i="19"/>
  <c r="J13" i="19"/>
  <c r="F5" i="25"/>
  <c r="J16" i="13"/>
  <c r="K20" i="13"/>
  <c r="L20" i="13"/>
  <c r="K20" i="19"/>
  <c r="L20" i="19"/>
  <c r="D35" i="29"/>
  <c r="J35" i="29" s="1"/>
  <c r="D34" i="29"/>
  <c r="J34" i="29" s="1"/>
  <c r="D34" i="28"/>
  <c r="J34" i="28" s="1"/>
  <c r="D35" i="28"/>
  <c r="J35" i="28" s="1"/>
  <c r="F12" i="29"/>
  <c r="E12" i="29"/>
  <c r="D33" i="29"/>
  <c r="J33" i="29" s="1"/>
  <c r="D32" i="29"/>
  <c r="J32" i="29" s="1"/>
  <c r="D31" i="29"/>
  <c r="D30" i="29"/>
  <c r="J30" i="29" s="1"/>
  <c r="D29" i="29"/>
  <c r="J29" i="29" s="1"/>
  <c r="D28" i="29"/>
  <c r="J28" i="29" s="1"/>
  <c r="D27" i="29"/>
  <c r="J27" i="29" s="1"/>
  <c r="D26" i="29"/>
  <c r="J26" i="29" s="1"/>
  <c r="D25" i="29"/>
  <c r="J25" i="29" s="1"/>
  <c r="D24" i="29"/>
  <c r="D23" i="29"/>
  <c r="J23" i="29" s="1"/>
  <c r="D22" i="29"/>
  <c r="J22" i="29" s="1"/>
  <c r="D21" i="29"/>
  <c r="D20" i="29"/>
  <c r="J20" i="29" s="1"/>
  <c r="D19" i="29"/>
  <c r="D18" i="29"/>
  <c r="J18" i="29" s="1"/>
  <c r="D17" i="29"/>
  <c r="D16" i="29"/>
  <c r="J16" i="29" s="1"/>
  <c r="D15" i="29"/>
  <c r="J15" i="29" s="1"/>
  <c r="D14" i="29"/>
  <c r="D13" i="29"/>
  <c r="D12" i="29"/>
  <c r="D11" i="29"/>
  <c r="D10" i="29"/>
  <c r="J10" i="29" s="1"/>
  <c r="I31" i="29"/>
  <c r="I21" i="29"/>
  <c r="I17" i="29"/>
  <c r="I12" i="29"/>
  <c r="I11" i="29"/>
  <c r="F12" i="28"/>
  <c r="E12" i="28"/>
  <c r="D33" i="28"/>
  <c r="J33" i="28" s="1"/>
  <c r="D32" i="28"/>
  <c r="J32" i="28" s="1"/>
  <c r="D31" i="28"/>
  <c r="D30" i="28"/>
  <c r="J30" i="28" s="1"/>
  <c r="D29" i="28"/>
  <c r="J29" i="28" s="1"/>
  <c r="D28" i="28"/>
  <c r="J28" i="28" s="1"/>
  <c r="D27" i="28"/>
  <c r="J27" i="28" s="1"/>
  <c r="D26" i="28"/>
  <c r="J26" i="28" s="1"/>
  <c r="D25" i="28"/>
  <c r="J25" i="28" s="1"/>
  <c r="D24" i="28"/>
  <c r="D23" i="28"/>
  <c r="J23" i="28" s="1"/>
  <c r="D22" i="28"/>
  <c r="J22" i="28" s="1"/>
  <c r="D21" i="28"/>
  <c r="D20" i="28"/>
  <c r="J20" i="28" s="1"/>
  <c r="D19" i="28"/>
  <c r="D18" i="28"/>
  <c r="J18" i="28" s="1"/>
  <c r="D17" i="28"/>
  <c r="D16" i="28"/>
  <c r="J16" i="28" s="1"/>
  <c r="D15" i="28"/>
  <c r="J15" i="28" s="1"/>
  <c r="D14" i="28"/>
  <c r="J14" i="28" s="1"/>
  <c r="D13" i="28"/>
  <c r="D12" i="28"/>
  <c r="D11" i="28"/>
  <c r="D10" i="28"/>
  <c r="J10" i="28" s="1"/>
  <c r="I31" i="28"/>
  <c r="I21" i="28"/>
  <c r="I17" i="28"/>
  <c r="I12" i="28"/>
  <c r="I11" i="28"/>
  <c r="I5" i="29"/>
  <c r="H5" i="29"/>
  <c r="H5" i="28"/>
  <c r="I5" i="28"/>
  <c r="K21" i="35" l="1"/>
  <c r="V26" i="35"/>
  <c r="X26" i="35" s="1"/>
  <c r="Z26" i="35" s="1"/>
  <c r="U24" i="34"/>
  <c r="W24" i="34" s="1"/>
  <c r="Y24" i="34" s="1"/>
  <c r="U24" i="35"/>
  <c r="V24" i="35" s="1"/>
  <c r="X24" i="35" s="1"/>
  <c r="Z24" i="35" s="1"/>
  <c r="V25" i="35"/>
  <c r="X25" i="35" s="1"/>
  <c r="Z25" i="35" s="1"/>
  <c r="V24" i="34"/>
  <c r="X24" i="34" s="1"/>
  <c r="Z24" i="34" s="1"/>
  <c r="M26" i="34"/>
  <c r="U26" i="34"/>
  <c r="M23" i="35"/>
  <c r="U23" i="35"/>
  <c r="J47" i="35"/>
  <c r="J46" i="35"/>
  <c r="J45" i="35"/>
  <c r="J44" i="35"/>
  <c r="M23" i="34"/>
  <c r="U23" i="34"/>
  <c r="J44" i="34"/>
  <c r="J47" i="34"/>
  <c r="M25" i="34"/>
  <c r="U25" i="34"/>
  <c r="J46" i="34"/>
  <c r="J45" i="34"/>
  <c r="W24" i="35"/>
  <c r="Y24" i="35" s="1"/>
  <c r="J37" i="35"/>
  <c r="L37" i="35" s="1"/>
  <c r="J39" i="35"/>
  <c r="K39" i="35" s="1"/>
  <c r="J36" i="35"/>
  <c r="L36" i="35" s="1"/>
  <c r="J34" i="35"/>
  <c r="L34" i="35" s="1"/>
  <c r="J36" i="34"/>
  <c r="K36" i="34" s="1"/>
  <c r="J35" i="34"/>
  <c r="K35" i="34" s="1"/>
  <c r="J31" i="35"/>
  <c r="L31" i="35" s="1"/>
  <c r="J41" i="35"/>
  <c r="L41" i="35" s="1"/>
  <c r="J41" i="34"/>
  <c r="K41" i="34" s="1"/>
  <c r="J43" i="34"/>
  <c r="K43" i="34" s="1"/>
  <c r="J32" i="34"/>
  <c r="L32" i="34" s="1"/>
  <c r="J33" i="35"/>
  <c r="K33" i="35" s="1"/>
  <c r="J35" i="35"/>
  <c r="L35" i="35" s="1"/>
  <c r="J40" i="34"/>
  <c r="L40" i="34" s="1"/>
  <c r="J39" i="34"/>
  <c r="L39" i="34" s="1"/>
  <c r="M10" i="35"/>
  <c r="U10" i="35"/>
  <c r="M14" i="35"/>
  <c r="U14" i="35"/>
  <c r="K18" i="35"/>
  <c r="L18" i="35"/>
  <c r="M16" i="35"/>
  <c r="U16" i="35"/>
  <c r="K36" i="35"/>
  <c r="K12" i="35"/>
  <c r="L12" i="35"/>
  <c r="M17" i="35"/>
  <c r="U17" i="35"/>
  <c r="M19" i="35"/>
  <c r="U19" i="35"/>
  <c r="J38" i="35"/>
  <c r="J43" i="35"/>
  <c r="M22" i="35"/>
  <c r="U22" i="35"/>
  <c r="M20" i="35"/>
  <c r="U20" i="35"/>
  <c r="M13" i="35"/>
  <c r="U13" i="35"/>
  <c r="L15" i="35"/>
  <c r="K15" i="35"/>
  <c r="J32" i="35"/>
  <c r="J40" i="35"/>
  <c r="J42" i="35"/>
  <c r="M11" i="35"/>
  <c r="U11" i="35"/>
  <c r="M21" i="35"/>
  <c r="U21" i="35"/>
  <c r="M10" i="34"/>
  <c r="U10" i="34"/>
  <c r="M13" i="34"/>
  <c r="U13" i="34"/>
  <c r="K18" i="34"/>
  <c r="L18" i="34"/>
  <c r="M17" i="34"/>
  <c r="U17" i="34"/>
  <c r="J42" i="34"/>
  <c r="M16" i="34"/>
  <c r="U16" i="34"/>
  <c r="M11" i="34"/>
  <c r="U11" i="34"/>
  <c r="L21" i="34"/>
  <c r="K21" i="34"/>
  <c r="J31" i="34"/>
  <c r="M20" i="34"/>
  <c r="U20" i="34"/>
  <c r="K12" i="34"/>
  <c r="L12" i="34"/>
  <c r="J38" i="34"/>
  <c r="J34" i="34"/>
  <c r="M14" i="34"/>
  <c r="U14" i="34"/>
  <c r="M22" i="34"/>
  <c r="U22" i="34"/>
  <c r="M19" i="34"/>
  <c r="U19" i="34"/>
  <c r="J33" i="34"/>
  <c r="J37" i="34"/>
  <c r="L15" i="34"/>
  <c r="K15" i="34"/>
  <c r="I21" i="32"/>
  <c r="I20" i="32"/>
  <c r="I18" i="32"/>
  <c r="I15" i="32"/>
  <c r="J15" i="32" s="1"/>
  <c r="I12" i="32"/>
  <c r="F12" i="32"/>
  <c r="E12" i="32"/>
  <c r="D24" i="32"/>
  <c r="J24" i="32" s="1"/>
  <c r="D23" i="32"/>
  <c r="D22" i="32"/>
  <c r="D21" i="32"/>
  <c r="D20" i="32"/>
  <c r="J20" i="32" s="1"/>
  <c r="D19" i="32"/>
  <c r="J19" i="32" s="1"/>
  <c r="D18" i="32"/>
  <c r="J18" i="32" s="1"/>
  <c r="D17" i="32"/>
  <c r="D16" i="32"/>
  <c r="J16" i="32" s="1"/>
  <c r="D15" i="32"/>
  <c r="D14" i="32"/>
  <c r="D13" i="32"/>
  <c r="J13" i="32" s="1"/>
  <c r="D12" i="32"/>
  <c r="D11" i="32"/>
  <c r="D10" i="32"/>
  <c r="J10" i="32" s="1"/>
  <c r="J15" i="31"/>
  <c r="K15" i="31" s="1"/>
  <c r="D29" i="31"/>
  <c r="G39" i="31"/>
  <c r="G37" i="31"/>
  <c r="G34" i="31"/>
  <c r="D37" i="31"/>
  <c r="D36" i="31"/>
  <c r="D30" i="31"/>
  <c r="D43" i="31"/>
  <c r="G40" i="31"/>
  <c r="D35" i="31"/>
  <c r="D42" i="31"/>
  <c r="D34" i="31"/>
  <c r="D41" i="31"/>
  <c r="D33" i="31"/>
  <c r="G31" i="31"/>
  <c r="D40" i="31"/>
  <c r="F31" i="31"/>
  <c r="D39" i="31"/>
  <c r="G36" i="31"/>
  <c r="D32" i="31"/>
  <c r="E31" i="31"/>
  <c r="G30" i="31"/>
  <c r="D38" i="31"/>
  <c r="D31" i="31"/>
  <c r="H41" i="31"/>
  <c r="H33" i="31"/>
  <c r="H40" i="31"/>
  <c r="H39" i="31"/>
  <c r="H32" i="31"/>
  <c r="H38" i="31"/>
  <c r="H31" i="31"/>
  <c r="H37" i="31"/>
  <c r="I30" i="31"/>
  <c r="H36" i="31"/>
  <c r="H30" i="31"/>
  <c r="H43" i="31"/>
  <c r="H35" i="31"/>
  <c r="H29" i="31"/>
  <c r="H42" i="31"/>
  <c r="H34" i="31"/>
  <c r="J23" i="32"/>
  <c r="I5" i="32"/>
  <c r="H5" i="32"/>
  <c r="J14" i="32"/>
  <c r="J22" i="32"/>
  <c r="J17" i="31"/>
  <c r="L18" i="31"/>
  <c r="K18" i="31"/>
  <c r="K10" i="31"/>
  <c r="L10" i="31"/>
  <c r="L13" i="31"/>
  <c r="K13" i="31"/>
  <c r="K16" i="31"/>
  <c r="L16" i="31"/>
  <c r="L20" i="31"/>
  <c r="K20" i="31"/>
  <c r="J11" i="31"/>
  <c r="J12" i="31"/>
  <c r="L19" i="31"/>
  <c r="K19" i="31"/>
  <c r="J21" i="31"/>
  <c r="L23" i="31"/>
  <c r="K23" i="31"/>
  <c r="K22" i="31"/>
  <c r="L22" i="31"/>
  <c r="L24" i="31"/>
  <c r="K24" i="31"/>
  <c r="L14" i="31"/>
  <c r="K14" i="31"/>
  <c r="L28" i="19"/>
  <c r="K28" i="19"/>
  <c r="H47" i="22"/>
  <c r="H45" i="22"/>
  <c r="H35" i="22"/>
  <c r="H43" i="22"/>
  <c r="H44" i="22"/>
  <c r="H40" i="22"/>
  <c r="H42" i="22"/>
  <c r="H38" i="22"/>
  <c r="H37" i="22"/>
  <c r="H36" i="22"/>
  <c r="I33" i="22"/>
  <c r="H32" i="22"/>
  <c r="H39" i="22"/>
  <c r="H41" i="22"/>
  <c r="H33" i="22"/>
  <c r="H46" i="22"/>
  <c r="H34" i="22"/>
  <c r="L32" i="13"/>
  <c r="K32" i="13"/>
  <c r="L25" i="26"/>
  <c r="K25" i="26"/>
  <c r="J15" i="14"/>
  <c r="D33" i="17"/>
  <c r="F29" i="17"/>
  <c r="D38" i="17"/>
  <c r="J38" i="17" s="1"/>
  <c r="F32" i="17"/>
  <c r="D35" i="17"/>
  <c r="D37" i="17"/>
  <c r="G41" i="17"/>
  <c r="G35" i="17"/>
  <c r="D39" i="17"/>
  <c r="G40" i="17"/>
  <c r="G29" i="17"/>
  <c r="D41" i="17"/>
  <c r="D28" i="17"/>
  <c r="J28" i="17" s="1"/>
  <c r="D29" i="17"/>
  <c r="E39" i="17"/>
  <c r="G31" i="17"/>
  <c r="G30" i="17"/>
  <c r="F39" i="17"/>
  <c r="D30" i="17"/>
  <c r="J30" i="17" s="1"/>
  <c r="D34" i="17"/>
  <c r="E29" i="17"/>
  <c r="G33" i="17"/>
  <c r="D32" i="17"/>
  <c r="G32" i="17"/>
  <c r="G37" i="17"/>
  <c r="D31" i="17"/>
  <c r="D40" i="17"/>
  <c r="J40" i="17" s="1"/>
  <c r="E32" i="17"/>
  <c r="D36" i="17"/>
  <c r="G39" i="17"/>
  <c r="G36" i="17"/>
  <c r="G34" i="17"/>
  <c r="K30" i="19"/>
  <c r="L30" i="19"/>
  <c r="J14" i="20"/>
  <c r="K33" i="26"/>
  <c r="L33" i="26"/>
  <c r="K26" i="26"/>
  <c r="L26" i="26"/>
  <c r="J34" i="19"/>
  <c r="S21" i="19"/>
  <c r="M21" i="19"/>
  <c r="K10" i="26"/>
  <c r="L10" i="26"/>
  <c r="J18" i="14"/>
  <c r="K23" i="16"/>
  <c r="L23" i="16"/>
  <c r="J22" i="16"/>
  <c r="J15" i="16"/>
  <c r="S22" i="19"/>
  <c r="M22" i="19"/>
  <c r="J37" i="19"/>
  <c r="J41" i="19"/>
  <c r="L10" i="20"/>
  <c r="K10" i="20"/>
  <c r="J13" i="22"/>
  <c r="J29" i="13"/>
  <c r="S15" i="13"/>
  <c r="M15" i="13"/>
  <c r="K32" i="26"/>
  <c r="L32" i="26"/>
  <c r="L11" i="26"/>
  <c r="K11" i="26"/>
  <c r="L20" i="26"/>
  <c r="K20" i="26"/>
  <c r="K12" i="14"/>
  <c r="L12" i="14"/>
  <c r="L10" i="14"/>
  <c r="K10" i="14"/>
  <c r="L17" i="26"/>
  <c r="K17" i="26"/>
  <c r="J15" i="22"/>
  <c r="K21" i="22"/>
  <c r="L21" i="22"/>
  <c r="M21" i="22" s="1"/>
  <c r="K25" i="22"/>
  <c r="L25" i="22"/>
  <c r="M25" i="22" s="1"/>
  <c r="S22" i="13"/>
  <c r="M22" i="13"/>
  <c r="J28" i="13"/>
  <c r="S14" i="13"/>
  <c r="M14" i="13"/>
  <c r="K28" i="26"/>
  <c r="L28" i="26"/>
  <c r="L12" i="26"/>
  <c r="K12" i="26"/>
  <c r="D60" i="26"/>
  <c r="D47" i="26"/>
  <c r="G44" i="26"/>
  <c r="D57" i="26"/>
  <c r="D54" i="26"/>
  <c r="J54" i="26" s="1"/>
  <c r="D46" i="26"/>
  <c r="G43" i="26"/>
  <c r="D40" i="26"/>
  <c r="D62" i="26"/>
  <c r="D53" i="26"/>
  <c r="D45" i="26"/>
  <c r="J45" i="26" s="1"/>
  <c r="F43" i="26"/>
  <c r="D39" i="26"/>
  <c r="D56" i="26"/>
  <c r="D51" i="26"/>
  <c r="J51" i="26" s="1"/>
  <c r="G48" i="26"/>
  <c r="D43" i="26"/>
  <c r="G53" i="26"/>
  <c r="D50" i="26"/>
  <c r="J50" i="26" s="1"/>
  <c r="D49" i="26"/>
  <c r="D48" i="26"/>
  <c r="G40" i="26"/>
  <c r="G59" i="26"/>
  <c r="E43" i="26"/>
  <c r="D42" i="26"/>
  <c r="D55" i="26"/>
  <c r="J55" i="26" s="1"/>
  <c r="D52" i="26"/>
  <c r="D61" i="26"/>
  <c r="D58" i="26"/>
  <c r="D59" i="26"/>
  <c r="G46" i="26"/>
  <c r="D41" i="26"/>
  <c r="J41" i="26" s="1"/>
  <c r="D44" i="26"/>
  <c r="G42" i="26"/>
  <c r="K21" i="26"/>
  <c r="L21" i="26"/>
  <c r="J16" i="14"/>
  <c r="J21" i="14"/>
  <c r="M23" i="13"/>
  <c r="S23" i="13"/>
  <c r="K17" i="17"/>
  <c r="L17" i="17"/>
  <c r="K16" i="17"/>
  <c r="L16" i="17"/>
  <c r="G40" i="16"/>
  <c r="F29" i="16"/>
  <c r="E29" i="16"/>
  <c r="E32" i="16"/>
  <c r="D29" i="16"/>
  <c r="D38" i="16"/>
  <c r="J38" i="16" s="1"/>
  <c r="D36" i="16"/>
  <c r="D41" i="16"/>
  <c r="F32" i="16"/>
  <c r="D40" i="16"/>
  <c r="G29" i="16"/>
  <c r="G30" i="16"/>
  <c r="G31" i="16"/>
  <c r="G37" i="16"/>
  <c r="G39" i="16"/>
  <c r="G32" i="16"/>
  <c r="E39" i="16"/>
  <c r="D31" i="16"/>
  <c r="D33" i="16"/>
  <c r="G36" i="16"/>
  <c r="G35" i="16"/>
  <c r="D28" i="16"/>
  <c r="F39" i="16"/>
  <c r="D35" i="16"/>
  <c r="G33" i="16"/>
  <c r="D34" i="16"/>
  <c r="D30" i="16"/>
  <c r="G41" i="16"/>
  <c r="D32" i="16"/>
  <c r="J32" i="16" s="1"/>
  <c r="G34" i="16"/>
  <c r="D39" i="16"/>
  <c r="D37" i="16"/>
  <c r="L19" i="19"/>
  <c r="K19" i="19"/>
  <c r="M18" i="13"/>
  <c r="S18" i="13"/>
  <c r="K26" i="22"/>
  <c r="L26" i="22"/>
  <c r="K17" i="14"/>
  <c r="L17" i="14"/>
  <c r="L17" i="20"/>
  <c r="K17" i="20"/>
  <c r="M10" i="13"/>
  <c r="S10" i="13"/>
  <c r="H56" i="26"/>
  <c r="H51" i="26"/>
  <c r="H43" i="26"/>
  <c r="H61" i="26"/>
  <c r="H50" i="26"/>
  <c r="H58" i="26"/>
  <c r="H49" i="26"/>
  <c r="H42" i="26"/>
  <c r="H60" i="26"/>
  <c r="H47" i="26"/>
  <c r="I40" i="26"/>
  <c r="H54" i="26"/>
  <c r="H44" i="26"/>
  <c r="H39" i="26"/>
  <c r="H57" i="26"/>
  <c r="H62" i="26"/>
  <c r="H45" i="26"/>
  <c r="H41" i="26"/>
  <c r="H52" i="26"/>
  <c r="H46" i="26"/>
  <c r="H55" i="26"/>
  <c r="H59" i="26"/>
  <c r="H48" i="26"/>
  <c r="H53" i="26"/>
  <c r="H40" i="26"/>
  <c r="K20" i="14"/>
  <c r="L20" i="14"/>
  <c r="K15" i="17"/>
  <c r="L15" i="17"/>
  <c r="K19" i="16"/>
  <c r="L19" i="16"/>
  <c r="M15" i="19"/>
  <c r="S15" i="19"/>
  <c r="L23" i="20"/>
  <c r="K23" i="20"/>
  <c r="L27" i="22"/>
  <c r="K27" i="22"/>
  <c r="J37" i="13"/>
  <c r="K27" i="26"/>
  <c r="L27" i="26"/>
  <c r="H40" i="14"/>
  <c r="H28" i="14"/>
  <c r="H39" i="14"/>
  <c r="H31" i="14"/>
  <c r="H36" i="14"/>
  <c r="H33" i="14"/>
  <c r="H35" i="14"/>
  <c r="H32" i="14"/>
  <c r="H30" i="14"/>
  <c r="H34" i="14"/>
  <c r="I29" i="14"/>
  <c r="H41" i="14"/>
  <c r="H38" i="14"/>
  <c r="H37" i="14"/>
  <c r="H29" i="14"/>
  <c r="L13" i="19"/>
  <c r="K13" i="19"/>
  <c r="J11" i="17"/>
  <c r="M16" i="19"/>
  <c r="S16" i="19"/>
  <c r="L11" i="19"/>
  <c r="K11" i="19"/>
  <c r="M19" i="13"/>
  <c r="S19" i="13"/>
  <c r="H36" i="17"/>
  <c r="H28" i="17"/>
  <c r="H34" i="17"/>
  <c r="H29" i="17"/>
  <c r="H30" i="17"/>
  <c r="H41" i="17"/>
  <c r="H31" i="17"/>
  <c r="H33" i="17"/>
  <c r="H37" i="17"/>
  <c r="I29" i="17"/>
  <c r="H35" i="17"/>
  <c r="H38" i="17"/>
  <c r="H40" i="17"/>
  <c r="H32" i="17"/>
  <c r="H39" i="17"/>
  <c r="K20" i="16"/>
  <c r="L20" i="16"/>
  <c r="S17" i="13"/>
  <c r="M17" i="13"/>
  <c r="K36" i="13"/>
  <c r="L36" i="13"/>
  <c r="K13" i="26"/>
  <c r="L13" i="26"/>
  <c r="J19" i="14"/>
  <c r="L13" i="16"/>
  <c r="K13" i="16"/>
  <c r="K21" i="20"/>
  <c r="L21" i="20"/>
  <c r="L12" i="13"/>
  <c r="K12" i="13"/>
  <c r="L18" i="22"/>
  <c r="K18" i="22"/>
  <c r="L12" i="22"/>
  <c r="K12" i="22"/>
  <c r="K40" i="13"/>
  <c r="L40" i="13"/>
  <c r="K16" i="26"/>
  <c r="L16" i="26"/>
  <c r="M12" i="19"/>
  <c r="S12" i="19"/>
  <c r="J11" i="20"/>
  <c r="K11" i="22"/>
  <c r="L11" i="22"/>
  <c r="J39" i="13"/>
  <c r="K31" i="26"/>
  <c r="L31" i="26"/>
  <c r="K13" i="14"/>
  <c r="L13" i="14"/>
  <c r="K18" i="17"/>
  <c r="L18" i="17"/>
  <c r="K38" i="13"/>
  <c r="L38" i="13"/>
  <c r="L18" i="26"/>
  <c r="K18" i="26"/>
  <c r="L13" i="17"/>
  <c r="K13" i="17"/>
  <c r="J11" i="16"/>
  <c r="J40" i="19"/>
  <c r="K10" i="17"/>
  <c r="L10" i="17"/>
  <c r="K10" i="16"/>
  <c r="L10" i="16"/>
  <c r="J38" i="19"/>
  <c r="J15" i="20"/>
  <c r="K13" i="13"/>
  <c r="L13" i="13"/>
  <c r="K17" i="22"/>
  <c r="L17" i="22"/>
  <c r="J35" i="13"/>
  <c r="K22" i="26"/>
  <c r="L22" i="26"/>
  <c r="L14" i="19"/>
  <c r="K14" i="19"/>
  <c r="J19" i="17"/>
  <c r="J22" i="17"/>
  <c r="J14" i="17"/>
  <c r="J17" i="16"/>
  <c r="J12" i="16"/>
  <c r="J14" i="16"/>
  <c r="J36" i="19"/>
  <c r="J39" i="19"/>
  <c r="H32" i="20"/>
  <c r="H33" i="20"/>
  <c r="H35" i="20"/>
  <c r="H36" i="20"/>
  <c r="H41" i="20"/>
  <c r="H39" i="20"/>
  <c r="H34" i="20"/>
  <c r="H30" i="20"/>
  <c r="H40" i="20"/>
  <c r="I29" i="20"/>
  <c r="H28" i="20"/>
  <c r="H31" i="20"/>
  <c r="H38" i="20"/>
  <c r="H29" i="20"/>
  <c r="H37" i="20"/>
  <c r="J19" i="20"/>
  <c r="M10" i="19"/>
  <c r="S10" i="19"/>
  <c r="K20" i="22"/>
  <c r="L20" i="22"/>
  <c r="G46" i="22"/>
  <c r="D34" i="22"/>
  <c r="J34" i="22" s="1"/>
  <c r="D38" i="22"/>
  <c r="J38" i="22" s="1"/>
  <c r="D43" i="22"/>
  <c r="J43" i="22" s="1"/>
  <c r="F33" i="22"/>
  <c r="D41" i="22"/>
  <c r="J41" i="22" s="1"/>
  <c r="D32" i="22"/>
  <c r="E37" i="22"/>
  <c r="D42" i="22"/>
  <c r="J42" i="22" s="1"/>
  <c r="E46" i="22"/>
  <c r="F46" i="22"/>
  <c r="D46" i="22"/>
  <c r="J46" i="22" s="1"/>
  <c r="D45" i="22"/>
  <c r="J45" i="22" s="1"/>
  <c r="E36" i="22"/>
  <c r="D33" i="22"/>
  <c r="E41" i="22"/>
  <c r="D36" i="22"/>
  <c r="G33" i="22"/>
  <c r="F37" i="22"/>
  <c r="F36" i="22"/>
  <c r="D35" i="22"/>
  <c r="E35" i="22"/>
  <c r="G35" i="22"/>
  <c r="D40" i="22"/>
  <c r="D44" i="22"/>
  <c r="J44" i="22" s="1"/>
  <c r="F35" i="22"/>
  <c r="G36" i="22"/>
  <c r="D39" i="22"/>
  <c r="J39" i="22" s="1"/>
  <c r="E33" i="22"/>
  <c r="D47" i="22"/>
  <c r="J47" i="22" s="1"/>
  <c r="G41" i="22"/>
  <c r="F41" i="22"/>
  <c r="D37" i="22"/>
  <c r="G37" i="22"/>
  <c r="J19" i="22"/>
  <c r="M21" i="13"/>
  <c r="S21" i="13"/>
  <c r="J14" i="26"/>
  <c r="L23" i="26"/>
  <c r="K23" i="26"/>
  <c r="K22" i="14"/>
  <c r="L22" i="14"/>
  <c r="J14" i="14"/>
  <c r="F32" i="14"/>
  <c r="D33" i="14"/>
  <c r="D38" i="14"/>
  <c r="J38" i="14" s="1"/>
  <c r="E32" i="14"/>
  <c r="G40" i="14"/>
  <c r="E29" i="14"/>
  <c r="F29" i="14"/>
  <c r="G31" i="14"/>
  <c r="D35" i="14"/>
  <c r="J35" i="14" s="1"/>
  <c r="G33" i="14"/>
  <c r="F31" i="14"/>
  <c r="D32" i="14"/>
  <c r="F33" i="14"/>
  <c r="G35" i="14"/>
  <c r="G32" i="14"/>
  <c r="E33" i="14"/>
  <c r="D31" i="14"/>
  <c r="D36" i="14"/>
  <c r="D41" i="14"/>
  <c r="J41" i="14" s="1"/>
  <c r="G41" i="14"/>
  <c r="G38" i="14"/>
  <c r="E31" i="14"/>
  <c r="D40" i="14"/>
  <c r="D30" i="14"/>
  <c r="E39" i="14"/>
  <c r="E34" i="14"/>
  <c r="D39" i="14"/>
  <c r="J39" i="14" s="1"/>
  <c r="G28" i="14"/>
  <c r="D37" i="14"/>
  <c r="D29" i="14"/>
  <c r="G36" i="14"/>
  <c r="G39" i="14"/>
  <c r="G29" i="14"/>
  <c r="D28" i="14"/>
  <c r="J28" i="14" s="1"/>
  <c r="G30" i="14"/>
  <c r="G37" i="14"/>
  <c r="D34" i="14"/>
  <c r="F39" i="14"/>
  <c r="M17" i="19"/>
  <c r="S17" i="19"/>
  <c r="K23" i="17"/>
  <c r="L23" i="17"/>
  <c r="K33" i="19"/>
  <c r="L33" i="19"/>
  <c r="L20" i="20"/>
  <c r="K20" i="20"/>
  <c r="L11" i="13"/>
  <c r="K11" i="13"/>
  <c r="L31" i="13"/>
  <c r="K31" i="13"/>
  <c r="K29" i="26"/>
  <c r="L29" i="26"/>
  <c r="M20" i="13"/>
  <c r="S20" i="13"/>
  <c r="K18" i="16"/>
  <c r="L18" i="16"/>
  <c r="L12" i="20"/>
  <c r="K12" i="20"/>
  <c r="S23" i="19"/>
  <c r="M23" i="19"/>
  <c r="J11" i="14"/>
  <c r="L29" i="19"/>
  <c r="K29" i="19"/>
  <c r="K18" i="20"/>
  <c r="L18" i="20"/>
  <c r="K14" i="22"/>
  <c r="L14" i="22"/>
  <c r="J24" i="22"/>
  <c r="J30" i="13"/>
  <c r="K19" i="26"/>
  <c r="L19" i="26"/>
  <c r="L16" i="13"/>
  <c r="K16" i="13"/>
  <c r="J12" i="17"/>
  <c r="D39" i="20"/>
  <c r="J39" i="20" s="1"/>
  <c r="D40" i="20"/>
  <c r="D36" i="20"/>
  <c r="D37" i="20"/>
  <c r="G35" i="20"/>
  <c r="G32" i="20"/>
  <c r="D30" i="20"/>
  <c r="J30" i="20" s="1"/>
  <c r="D34" i="20"/>
  <c r="G29" i="20"/>
  <c r="G39" i="20"/>
  <c r="D38" i="20"/>
  <c r="G30" i="20"/>
  <c r="D28" i="20"/>
  <c r="J28" i="20" s="1"/>
  <c r="D35" i="20"/>
  <c r="J35" i="20" s="1"/>
  <c r="D31" i="20"/>
  <c r="J31" i="20" s="1"/>
  <c r="G34" i="20"/>
  <c r="G41" i="20"/>
  <c r="G40" i="20"/>
  <c r="G37" i="20"/>
  <c r="D32" i="20"/>
  <c r="F29" i="20"/>
  <c r="D29" i="20"/>
  <c r="E32" i="20"/>
  <c r="D33" i="20"/>
  <c r="F32" i="20"/>
  <c r="E29" i="20"/>
  <c r="G33" i="20"/>
  <c r="G36" i="20"/>
  <c r="G31" i="20"/>
  <c r="D41" i="20"/>
  <c r="K20" i="17"/>
  <c r="L20" i="17"/>
  <c r="H41" i="16"/>
  <c r="H38" i="16"/>
  <c r="H37" i="16"/>
  <c r="H28" i="16"/>
  <c r="H32" i="16"/>
  <c r="H29" i="16"/>
  <c r="H33" i="16"/>
  <c r="H31" i="16"/>
  <c r="H39" i="16"/>
  <c r="H30" i="16"/>
  <c r="I29" i="16"/>
  <c r="H40" i="16"/>
  <c r="H34" i="16"/>
  <c r="I39" i="16"/>
  <c r="H36" i="16"/>
  <c r="H35" i="16"/>
  <c r="L16" i="22"/>
  <c r="K16" i="22"/>
  <c r="J33" i="13"/>
  <c r="J41" i="13"/>
  <c r="I31" i="25"/>
  <c r="D32" i="25"/>
  <c r="J32" i="25" s="1"/>
  <c r="D27" i="25"/>
  <c r="J27" i="25" s="1"/>
  <c r="D26" i="25"/>
  <c r="J26" i="25" s="1"/>
  <c r="D25" i="25"/>
  <c r="J25" i="25" s="1"/>
  <c r="D24" i="25"/>
  <c r="D23" i="25"/>
  <c r="J23" i="25" s="1"/>
  <c r="D22" i="25"/>
  <c r="J22" i="25" s="1"/>
  <c r="D21" i="25"/>
  <c r="J21" i="25" s="1"/>
  <c r="D20" i="25"/>
  <c r="J20" i="25" s="1"/>
  <c r="D19" i="25"/>
  <c r="D18" i="25"/>
  <c r="J18" i="25" s="1"/>
  <c r="D17" i="25"/>
  <c r="J17" i="25" s="1"/>
  <c r="D16" i="25"/>
  <c r="J16" i="25" s="1"/>
  <c r="D15" i="25"/>
  <c r="D14" i="25"/>
  <c r="D13" i="25"/>
  <c r="D12" i="25"/>
  <c r="J12" i="25" s="1"/>
  <c r="D11" i="25"/>
  <c r="J11" i="25" s="1"/>
  <c r="D10" i="25"/>
  <c r="J10" i="25" s="1"/>
  <c r="D34" i="25"/>
  <c r="J34" i="25" s="1"/>
  <c r="D29" i="25"/>
  <c r="J29" i="25" s="1"/>
  <c r="D31" i="25"/>
  <c r="I24" i="25"/>
  <c r="D33" i="25"/>
  <c r="J33" i="25" s="1"/>
  <c r="D30" i="25"/>
  <c r="J30" i="25" s="1"/>
  <c r="I19" i="25"/>
  <c r="I15" i="25"/>
  <c r="E14" i="25"/>
  <c r="I11" i="25"/>
  <c r="F14" i="25"/>
  <c r="I17" i="25"/>
  <c r="D28" i="25"/>
  <c r="J28" i="25" s="1"/>
  <c r="I14" i="25"/>
  <c r="H5" i="25"/>
  <c r="I5" i="25"/>
  <c r="I13" i="25"/>
  <c r="M20" i="19"/>
  <c r="S20" i="19"/>
  <c r="J21" i="17"/>
  <c r="J16" i="16"/>
  <c r="J21" i="16"/>
  <c r="I5" i="23"/>
  <c r="F24" i="23"/>
  <c r="D13" i="23"/>
  <c r="J13" i="23" s="1"/>
  <c r="D18" i="23"/>
  <c r="J18" i="23" s="1"/>
  <c r="F11" i="23"/>
  <c r="E11" i="23"/>
  <c r="D20" i="23"/>
  <c r="J20" i="23" s="1"/>
  <c r="D12" i="23"/>
  <c r="J12" i="23" s="1"/>
  <c r="D23" i="23"/>
  <c r="J23" i="23" s="1"/>
  <c r="D17" i="23"/>
  <c r="J17" i="23" s="1"/>
  <c r="I24" i="23"/>
  <c r="D24" i="23"/>
  <c r="D21" i="23"/>
  <c r="J21" i="23" s="1"/>
  <c r="F26" i="23"/>
  <c r="I15" i="23"/>
  <c r="D22" i="23"/>
  <c r="J22" i="23" s="1"/>
  <c r="F13" i="23"/>
  <c r="D25" i="23"/>
  <c r="J25" i="23" s="1"/>
  <c r="E15" i="23"/>
  <c r="E13" i="23"/>
  <c r="F15" i="23"/>
  <c r="F14" i="23"/>
  <c r="D26" i="23"/>
  <c r="I14" i="23"/>
  <c r="I13" i="23"/>
  <c r="E26" i="23"/>
  <c r="I11" i="23"/>
  <c r="D10" i="23"/>
  <c r="J10" i="23" s="1"/>
  <c r="D19" i="23"/>
  <c r="D16" i="23"/>
  <c r="J16" i="23" s="1"/>
  <c r="E14" i="23"/>
  <c r="I26" i="23"/>
  <c r="D14" i="23"/>
  <c r="J14" i="23" s="1"/>
  <c r="E19" i="23"/>
  <c r="H5" i="23"/>
  <c r="D11" i="23"/>
  <c r="D27" i="23"/>
  <c r="J27" i="23" s="1"/>
  <c r="D15" i="23"/>
  <c r="I19" i="23"/>
  <c r="F19" i="23"/>
  <c r="E24" i="23"/>
  <c r="J31" i="19"/>
  <c r="J32" i="19"/>
  <c r="J35" i="19"/>
  <c r="J16" i="20"/>
  <c r="J13" i="20"/>
  <c r="J22" i="20"/>
  <c r="S18" i="19"/>
  <c r="M18" i="19"/>
  <c r="K23" i="22"/>
  <c r="L23" i="22"/>
  <c r="L10" i="22"/>
  <c r="K10" i="22"/>
  <c r="K22" i="22"/>
  <c r="L22" i="22"/>
  <c r="J34" i="13"/>
  <c r="K30" i="26"/>
  <c r="L30" i="26"/>
  <c r="J15" i="26"/>
  <c r="K34" i="26"/>
  <c r="L34" i="26"/>
  <c r="J24" i="26"/>
  <c r="J23" i="14"/>
  <c r="D64" i="29"/>
  <c r="D63" i="29"/>
  <c r="H64" i="29"/>
  <c r="H63" i="29"/>
  <c r="J12" i="29"/>
  <c r="L12" i="29" s="1"/>
  <c r="K35" i="29"/>
  <c r="L35" i="29"/>
  <c r="K34" i="29"/>
  <c r="L34" i="29"/>
  <c r="J31" i="29"/>
  <c r="L31" i="29" s="1"/>
  <c r="J21" i="29"/>
  <c r="K21" i="29" s="1"/>
  <c r="H63" i="28"/>
  <c r="H64" i="28"/>
  <c r="J21" i="28"/>
  <c r="L21" i="28" s="1"/>
  <c r="K35" i="28"/>
  <c r="L35" i="28"/>
  <c r="D63" i="28"/>
  <c r="D64" i="28"/>
  <c r="J12" i="28"/>
  <c r="L12" i="28" s="1"/>
  <c r="K34" i="28"/>
  <c r="L34" i="28"/>
  <c r="H60" i="29"/>
  <c r="H56" i="29"/>
  <c r="H52" i="29"/>
  <c r="H48" i="29"/>
  <c r="H44" i="29"/>
  <c r="I41" i="29"/>
  <c r="H59" i="29"/>
  <c r="H55" i="29"/>
  <c r="H51" i="29"/>
  <c r="H47" i="29"/>
  <c r="H41" i="29"/>
  <c r="H62" i="29"/>
  <c r="H58" i="29"/>
  <c r="H54" i="29"/>
  <c r="H50" i="29"/>
  <c r="H46" i="29"/>
  <c r="H43" i="29"/>
  <c r="H40" i="29"/>
  <c r="H61" i="29"/>
  <c r="H57" i="29"/>
  <c r="H53" i="29"/>
  <c r="H49" i="29"/>
  <c r="H45" i="29"/>
  <c r="H42" i="29"/>
  <c r="D60" i="29"/>
  <c r="D56" i="29"/>
  <c r="D52" i="29"/>
  <c r="D48" i="29"/>
  <c r="D44" i="29"/>
  <c r="G42" i="29"/>
  <c r="G60" i="29"/>
  <c r="D59" i="29"/>
  <c r="D55" i="29"/>
  <c r="D51" i="29"/>
  <c r="D47" i="29"/>
  <c r="F42" i="29"/>
  <c r="D41" i="29"/>
  <c r="D62" i="29"/>
  <c r="D58" i="29"/>
  <c r="D54" i="29"/>
  <c r="G51" i="29"/>
  <c r="D50" i="29"/>
  <c r="G47" i="29"/>
  <c r="D46" i="29"/>
  <c r="D43" i="29"/>
  <c r="E42" i="29"/>
  <c r="G41" i="29"/>
  <c r="D40" i="29"/>
  <c r="D61" i="29"/>
  <c r="D57" i="29"/>
  <c r="D53" i="29"/>
  <c r="D49" i="29"/>
  <c r="D45" i="29"/>
  <c r="D42" i="29"/>
  <c r="H60" i="28"/>
  <c r="H56" i="28"/>
  <c r="H52" i="28"/>
  <c r="H48" i="28"/>
  <c r="H44" i="28"/>
  <c r="I41" i="28"/>
  <c r="H59" i="28"/>
  <c r="H55" i="28"/>
  <c r="H51" i="28"/>
  <c r="H47" i="28"/>
  <c r="H41" i="28"/>
  <c r="H62" i="28"/>
  <c r="H58" i="28"/>
  <c r="H54" i="28"/>
  <c r="H50" i="28"/>
  <c r="H46" i="28"/>
  <c r="H43" i="28"/>
  <c r="H40" i="28"/>
  <c r="H61" i="28"/>
  <c r="H57" i="28"/>
  <c r="H53" i="28"/>
  <c r="H49" i="28"/>
  <c r="H45" i="28"/>
  <c r="H42" i="28"/>
  <c r="D60" i="28"/>
  <c r="D56" i="28"/>
  <c r="D52" i="28"/>
  <c r="D48" i="28"/>
  <c r="D44" i="28"/>
  <c r="G42" i="28"/>
  <c r="G60" i="28"/>
  <c r="D59" i="28"/>
  <c r="D55" i="28"/>
  <c r="D51" i="28"/>
  <c r="D47" i="28"/>
  <c r="F42" i="28"/>
  <c r="D41" i="28"/>
  <c r="D62" i="28"/>
  <c r="D58" i="28"/>
  <c r="D54" i="28"/>
  <c r="G51" i="28"/>
  <c r="D50" i="28"/>
  <c r="G47" i="28"/>
  <c r="D46" i="28"/>
  <c r="D43" i="28"/>
  <c r="E42" i="28"/>
  <c r="G41" i="28"/>
  <c r="D40" i="28"/>
  <c r="D61" i="28"/>
  <c r="D57" i="28"/>
  <c r="D53" i="28"/>
  <c r="D49" i="28"/>
  <c r="D45" i="28"/>
  <c r="D42" i="28"/>
  <c r="J14" i="29"/>
  <c r="L22" i="29"/>
  <c r="K22" i="29"/>
  <c r="L26" i="29"/>
  <c r="K26" i="29"/>
  <c r="J11" i="29"/>
  <c r="L15" i="29"/>
  <c r="K15" i="29"/>
  <c r="L23" i="29"/>
  <c r="K23" i="29"/>
  <c r="L27" i="29"/>
  <c r="K27" i="29"/>
  <c r="L16" i="29"/>
  <c r="K16" i="29"/>
  <c r="L20" i="29"/>
  <c r="K20" i="29"/>
  <c r="J24" i="29"/>
  <c r="L28" i="29"/>
  <c r="K28" i="29"/>
  <c r="L32" i="29"/>
  <c r="K32" i="29"/>
  <c r="J13" i="29"/>
  <c r="J17" i="29"/>
  <c r="L25" i="29"/>
  <c r="K25" i="29"/>
  <c r="L29" i="29"/>
  <c r="K29" i="29"/>
  <c r="L33" i="29"/>
  <c r="K33" i="29"/>
  <c r="L10" i="29"/>
  <c r="K10" i="29"/>
  <c r="L18" i="29"/>
  <c r="K18" i="29"/>
  <c r="L30" i="29"/>
  <c r="K30" i="29"/>
  <c r="J19" i="29"/>
  <c r="L16" i="28"/>
  <c r="K16" i="28"/>
  <c r="L18" i="28"/>
  <c r="K18" i="28"/>
  <c r="L25" i="28"/>
  <c r="K25" i="28"/>
  <c r="L29" i="28"/>
  <c r="K29" i="28"/>
  <c r="L33" i="28"/>
  <c r="K33" i="28"/>
  <c r="L26" i="28"/>
  <c r="K26" i="28"/>
  <c r="L22" i="28"/>
  <c r="K22" i="28"/>
  <c r="J31" i="28"/>
  <c r="L14" i="28"/>
  <c r="K14" i="28"/>
  <c r="L30" i="28"/>
  <c r="K30" i="28"/>
  <c r="J13" i="28"/>
  <c r="L15" i="28"/>
  <c r="K15" i="28"/>
  <c r="L23" i="28"/>
  <c r="K23" i="28"/>
  <c r="L27" i="28"/>
  <c r="K27" i="28"/>
  <c r="J11" i="28"/>
  <c r="L20" i="28"/>
  <c r="K20" i="28"/>
  <c r="J17" i="28"/>
  <c r="L10" i="28"/>
  <c r="K10" i="28"/>
  <c r="J19" i="28"/>
  <c r="J24" i="28"/>
  <c r="L28" i="28"/>
  <c r="K28" i="28"/>
  <c r="L32" i="28"/>
  <c r="K32" i="28"/>
  <c r="L39" i="35" l="1"/>
  <c r="K37" i="35"/>
  <c r="W26" i="34"/>
  <c r="Y26" i="34" s="1"/>
  <c r="V26" i="34"/>
  <c r="X26" i="34" s="1"/>
  <c r="Z26" i="34" s="1"/>
  <c r="K44" i="35"/>
  <c r="L44" i="35"/>
  <c r="K45" i="35"/>
  <c r="L45" i="35"/>
  <c r="K46" i="35"/>
  <c r="L46" i="35"/>
  <c r="L47" i="35"/>
  <c r="K47" i="35"/>
  <c r="W23" i="35"/>
  <c r="Y23" i="35" s="1"/>
  <c r="V23" i="35"/>
  <c r="X23" i="35" s="1"/>
  <c r="Z23" i="35" s="1"/>
  <c r="K45" i="34"/>
  <c r="L45" i="34"/>
  <c r="K46" i="34"/>
  <c r="L46" i="34"/>
  <c r="V25" i="34"/>
  <c r="X25" i="34" s="1"/>
  <c r="Z25" i="34" s="1"/>
  <c r="W25" i="34"/>
  <c r="Y25" i="34" s="1"/>
  <c r="K47" i="34"/>
  <c r="L47" i="34"/>
  <c r="L44" i="34"/>
  <c r="K44" i="34"/>
  <c r="W23" i="34"/>
  <c r="Y23" i="34" s="1"/>
  <c r="V23" i="34"/>
  <c r="X23" i="34" s="1"/>
  <c r="Z23" i="34" s="1"/>
  <c r="L35" i="34"/>
  <c r="M35" i="34" s="1"/>
  <c r="K31" i="35"/>
  <c r="L43" i="34"/>
  <c r="U43" i="34" s="1"/>
  <c r="L36" i="34"/>
  <c r="M36" i="34" s="1"/>
  <c r="K41" i="35"/>
  <c r="L41" i="34"/>
  <c r="M41" i="34" s="1"/>
  <c r="K32" i="34"/>
  <c r="K34" i="35"/>
  <c r="K39" i="34"/>
  <c r="L33" i="35"/>
  <c r="M33" i="35" s="1"/>
  <c r="K40" i="34"/>
  <c r="K35" i="35"/>
  <c r="M15" i="35"/>
  <c r="U15" i="35"/>
  <c r="W13" i="35"/>
  <c r="Y13" i="35" s="1"/>
  <c r="V13" i="35"/>
  <c r="X13" i="35" s="1"/>
  <c r="Z13" i="35" s="1"/>
  <c r="W10" i="35"/>
  <c r="Y10" i="35" s="1"/>
  <c r="V10" i="35"/>
  <c r="X10" i="35" s="1"/>
  <c r="Z10" i="35" s="1"/>
  <c r="M35" i="35"/>
  <c r="U35" i="35"/>
  <c r="W22" i="35"/>
  <c r="Y22" i="35" s="1"/>
  <c r="V22" i="35"/>
  <c r="X22" i="35" s="1"/>
  <c r="Z22" i="35" s="1"/>
  <c r="M12" i="35"/>
  <c r="U12" i="35"/>
  <c r="W14" i="35"/>
  <c r="Y14" i="35" s="1"/>
  <c r="V14" i="35"/>
  <c r="X14" i="35" s="1"/>
  <c r="Z14" i="35" s="1"/>
  <c r="M31" i="35"/>
  <c r="U31" i="35"/>
  <c r="V16" i="35"/>
  <c r="X16" i="35" s="1"/>
  <c r="Z16" i="35" s="1"/>
  <c r="W16" i="35"/>
  <c r="Y16" i="35" s="1"/>
  <c r="M36" i="35"/>
  <c r="U36" i="35"/>
  <c r="L42" i="35"/>
  <c r="K42" i="35"/>
  <c r="W19" i="35"/>
  <c r="Y19" i="35" s="1"/>
  <c r="V19" i="35"/>
  <c r="X19" i="35" s="1"/>
  <c r="Z19" i="35" s="1"/>
  <c r="W17" i="35"/>
  <c r="Y17" i="35" s="1"/>
  <c r="V17" i="35"/>
  <c r="X17" i="35" s="1"/>
  <c r="Z17" i="35" s="1"/>
  <c r="L40" i="35"/>
  <c r="K40" i="35"/>
  <c r="L43" i="35"/>
  <c r="K43" i="35"/>
  <c r="W21" i="35"/>
  <c r="Y21" i="35" s="1"/>
  <c r="V21" i="35"/>
  <c r="X21" i="35" s="1"/>
  <c r="Z21" i="35" s="1"/>
  <c r="K38" i="35"/>
  <c r="L38" i="35"/>
  <c r="W20" i="35"/>
  <c r="Y20" i="35" s="1"/>
  <c r="V20" i="35"/>
  <c r="X20" i="35" s="1"/>
  <c r="Z20" i="35" s="1"/>
  <c r="W11" i="35"/>
  <c r="Y11" i="35" s="1"/>
  <c r="V11" i="35"/>
  <c r="X11" i="35" s="1"/>
  <c r="Z11" i="35" s="1"/>
  <c r="M18" i="35"/>
  <c r="U18" i="35"/>
  <c r="K32" i="35"/>
  <c r="L32" i="35"/>
  <c r="M37" i="35"/>
  <c r="U37" i="35"/>
  <c r="M34" i="35"/>
  <c r="U34" i="35"/>
  <c r="M41" i="35"/>
  <c r="U41" i="35"/>
  <c r="M39" i="35"/>
  <c r="U39" i="35"/>
  <c r="W22" i="34"/>
  <c r="Y22" i="34" s="1"/>
  <c r="V22" i="34"/>
  <c r="X22" i="34" s="1"/>
  <c r="Z22" i="34" s="1"/>
  <c r="M12" i="34"/>
  <c r="U12" i="34"/>
  <c r="M40" i="34"/>
  <c r="U40" i="34"/>
  <c r="W13" i="34"/>
  <c r="Y13" i="34" s="1"/>
  <c r="V13" i="34"/>
  <c r="X13" i="34" s="1"/>
  <c r="Z13" i="34" s="1"/>
  <c r="W14" i="34"/>
  <c r="Y14" i="34" s="1"/>
  <c r="V14" i="34"/>
  <c r="X14" i="34" s="1"/>
  <c r="Z14" i="34" s="1"/>
  <c r="W20" i="34"/>
  <c r="Y20" i="34" s="1"/>
  <c r="V20" i="34"/>
  <c r="X20" i="34" s="1"/>
  <c r="Z20" i="34" s="1"/>
  <c r="M21" i="34"/>
  <c r="U21" i="34"/>
  <c r="M15" i="34"/>
  <c r="U15" i="34"/>
  <c r="W11" i="34"/>
  <c r="Y11" i="34" s="1"/>
  <c r="V11" i="34"/>
  <c r="X11" i="34" s="1"/>
  <c r="Z11" i="34" s="1"/>
  <c r="L42" i="34"/>
  <c r="K42" i="34"/>
  <c r="M32" i="34"/>
  <c r="U32" i="34"/>
  <c r="K33" i="34"/>
  <c r="L33" i="34"/>
  <c r="L38" i="34"/>
  <c r="K38" i="34"/>
  <c r="W16" i="34"/>
  <c r="Y16" i="34" s="1"/>
  <c r="V16" i="34"/>
  <c r="X16" i="34" s="1"/>
  <c r="Z16" i="34" s="1"/>
  <c r="M43" i="34"/>
  <c r="L37" i="34"/>
  <c r="K37" i="34"/>
  <c r="L34" i="34"/>
  <c r="K34" i="34"/>
  <c r="W17" i="34"/>
  <c r="Y17" i="34" s="1"/>
  <c r="V17" i="34"/>
  <c r="X17" i="34" s="1"/>
  <c r="Z17" i="34" s="1"/>
  <c r="W19" i="34"/>
  <c r="Y19" i="34" s="1"/>
  <c r="V19" i="34"/>
  <c r="X19" i="34" s="1"/>
  <c r="Z19" i="34" s="1"/>
  <c r="L31" i="34"/>
  <c r="K31" i="34"/>
  <c r="M18" i="34"/>
  <c r="U18" i="34"/>
  <c r="W10" i="34"/>
  <c r="Y10" i="34" s="1"/>
  <c r="V10" i="34"/>
  <c r="X10" i="34" s="1"/>
  <c r="Z10" i="34" s="1"/>
  <c r="M39" i="34"/>
  <c r="U39" i="34"/>
  <c r="L15" i="31"/>
  <c r="D42" i="32"/>
  <c r="G39" i="32"/>
  <c r="D34" i="32"/>
  <c r="D41" i="32"/>
  <c r="J41" i="32" s="1"/>
  <c r="D33" i="32"/>
  <c r="G31" i="32"/>
  <c r="D40" i="32"/>
  <c r="G37" i="32"/>
  <c r="F31" i="32"/>
  <c r="D39" i="32"/>
  <c r="D32" i="32"/>
  <c r="E31" i="32"/>
  <c r="D38" i="32"/>
  <c r="D31" i="32"/>
  <c r="D37" i="32"/>
  <c r="G34" i="32"/>
  <c r="D36" i="32"/>
  <c r="D30" i="32"/>
  <c r="D43" i="32"/>
  <c r="G40" i="32"/>
  <c r="D35" i="32"/>
  <c r="D29" i="32"/>
  <c r="H38" i="32"/>
  <c r="H31" i="32"/>
  <c r="H37" i="32"/>
  <c r="I30" i="32"/>
  <c r="H36" i="32"/>
  <c r="H30" i="32"/>
  <c r="H43" i="32"/>
  <c r="H35" i="32"/>
  <c r="H29" i="32"/>
  <c r="H42" i="32"/>
  <c r="H34" i="32"/>
  <c r="H41" i="32"/>
  <c r="H33" i="32"/>
  <c r="H40" i="32"/>
  <c r="H39" i="32"/>
  <c r="J39" i="32" s="1"/>
  <c r="H32" i="32"/>
  <c r="J34" i="31"/>
  <c r="K34" i="31" s="1"/>
  <c r="J42" i="31"/>
  <c r="J43" i="31"/>
  <c r="L43" i="31" s="1"/>
  <c r="J33" i="31"/>
  <c r="L33" i="31" s="1"/>
  <c r="J41" i="31"/>
  <c r="L41" i="31" s="1"/>
  <c r="J12" i="32"/>
  <c r="L15" i="32"/>
  <c r="K15" i="32"/>
  <c r="L19" i="32"/>
  <c r="K19" i="32"/>
  <c r="K13" i="32"/>
  <c r="L13" i="32"/>
  <c r="J11" i="32"/>
  <c r="J21" i="32"/>
  <c r="K18" i="32"/>
  <c r="L18" i="32"/>
  <c r="J17" i="32"/>
  <c r="K20" i="32"/>
  <c r="L20" i="32"/>
  <c r="L10" i="32"/>
  <c r="K10" i="32"/>
  <c r="L23" i="32"/>
  <c r="K23" i="32"/>
  <c r="K16" i="32"/>
  <c r="L16" i="32"/>
  <c r="K24" i="32"/>
  <c r="L24" i="32"/>
  <c r="K22" i="32"/>
  <c r="L22" i="32"/>
  <c r="K14" i="32"/>
  <c r="L14" i="32"/>
  <c r="J43" i="32"/>
  <c r="M24" i="31"/>
  <c r="U24" i="31"/>
  <c r="M16" i="31"/>
  <c r="U16" i="31"/>
  <c r="J32" i="31"/>
  <c r="J31" i="31"/>
  <c r="M13" i="31"/>
  <c r="U13" i="31"/>
  <c r="M15" i="31"/>
  <c r="U15" i="31"/>
  <c r="M14" i="31"/>
  <c r="U14" i="31"/>
  <c r="J40" i="31"/>
  <c r="L42" i="31"/>
  <c r="K42" i="31"/>
  <c r="M10" i="31"/>
  <c r="U10" i="31"/>
  <c r="M22" i="31"/>
  <c r="U22" i="31"/>
  <c r="M19" i="31"/>
  <c r="U19" i="31"/>
  <c r="M18" i="31"/>
  <c r="U18" i="31"/>
  <c r="L12" i="31"/>
  <c r="K12" i="31"/>
  <c r="L17" i="31"/>
  <c r="K17" i="31"/>
  <c r="L11" i="31"/>
  <c r="K11" i="31"/>
  <c r="J39" i="31"/>
  <c r="J29" i="31"/>
  <c r="J37" i="31"/>
  <c r="M23" i="31"/>
  <c r="U23" i="31"/>
  <c r="J35" i="31"/>
  <c r="J30" i="31"/>
  <c r="J38" i="31"/>
  <c r="L21" i="31"/>
  <c r="K21" i="31"/>
  <c r="M20" i="31"/>
  <c r="U20" i="31"/>
  <c r="J36" i="31"/>
  <c r="L32" i="19"/>
  <c r="K32" i="19"/>
  <c r="L13" i="23"/>
  <c r="K13" i="23"/>
  <c r="L25" i="25"/>
  <c r="K25" i="25"/>
  <c r="U23" i="19"/>
  <c r="W23" i="19" s="1"/>
  <c r="T23" i="19"/>
  <c r="V23" i="19" s="1"/>
  <c r="X23" i="19" s="1"/>
  <c r="L41" i="14"/>
  <c r="K41" i="14"/>
  <c r="K38" i="14"/>
  <c r="L38" i="14"/>
  <c r="K41" i="22"/>
  <c r="L41" i="22"/>
  <c r="M41" i="22" s="1"/>
  <c r="S41" i="22" s="1"/>
  <c r="T10" i="19"/>
  <c r="V10" i="19" s="1"/>
  <c r="X10" i="19" s="1"/>
  <c r="U10" i="19"/>
  <c r="W10" i="19" s="1"/>
  <c r="K22" i="17"/>
  <c r="L22" i="17"/>
  <c r="S11" i="22"/>
  <c r="M11" i="22"/>
  <c r="M20" i="14"/>
  <c r="S20" i="14"/>
  <c r="J39" i="16"/>
  <c r="J36" i="16"/>
  <c r="J52" i="26"/>
  <c r="L50" i="26"/>
  <c r="K50" i="26"/>
  <c r="K45" i="26"/>
  <c r="L45" i="26"/>
  <c r="U14" i="13"/>
  <c r="W14" i="13" s="1"/>
  <c r="T14" i="13"/>
  <c r="V14" i="13" s="1"/>
  <c r="X14" i="13" s="1"/>
  <c r="L15" i="22"/>
  <c r="K15" i="22"/>
  <c r="M20" i="26"/>
  <c r="U20" i="26"/>
  <c r="L13" i="22"/>
  <c r="K13" i="22"/>
  <c r="K22" i="16"/>
  <c r="L22" i="16"/>
  <c r="K34" i="19"/>
  <c r="L34" i="19"/>
  <c r="L15" i="14"/>
  <c r="K15" i="14"/>
  <c r="M30" i="26"/>
  <c r="U30" i="26"/>
  <c r="K31" i="19"/>
  <c r="L31" i="19"/>
  <c r="L25" i="23"/>
  <c r="M25" i="23" s="1"/>
  <c r="K25" i="23"/>
  <c r="K17" i="23"/>
  <c r="L17" i="23"/>
  <c r="H60" i="25"/>
  <c r="H57" i="25"/>
  <c r="H62" i="25"/>
  <c r="H56" i="25"/>
  <c r="H49" i="25"/>
  <c r="H42" i="25"/>
  <c r="H55" i="25"/>
  <c r="H50" i="25"/>
  <c r="H39" i="25"/>
  <c r="H48" i="25"/>
  <c r="H59" i="25"/>
  <c r="H52" i="25"/>
  <c r="H54" i="25"/>
  <c r="H51" i="25"/>
  <c r="H41" i="25"/>
  <c r="H40" i="25"/>
  <c r="H61" i="25"/>
  <c r="H53" i="25"/>
  <c r="H43" i="25"/>
  <c r="H44" i="25"/>
  <c r="H58" i="25"/>
  <c r="H45" i="25"/>
  <c r="I40" i="25"/>
  <c r="H46" i="25"/>
  <c r="H47" i="25"/>
  <c r="K10" i="25"/>
  <c r="L10" i="25"/>
  <c r="K18" i="25"/>
  <c r="L18" i="25"/>
  <c r="K26" i="25"/>
  <c r="L26" i="25"/>
  <c r="S20" i="17"/>
  <c r="M20" i="17"/>
  <c r="J33" i="20"/>
  <c r="J34" i="20"/>
  <c r="L12" i="17"/>
  <c r="K12" i="17"/>
  <c r="S23" i="17"/>
  <c r="M23" i="17"/>
  <c r="K28" i="14"/>
  <c r="L28" i="14"/>
  <c r="J36" i="14"/>
  <c r="J33" i="14"/>
  <c r="U21" i="13"/>
  <c r="W21" i="13" s="1"/>
  <c r="T21" i="13"/>
  <c r="V21" i="13" s="1"/>
  <c r="X21" i="13" s="1"/>
  <c r="J35" i="22"/>
  <c r="L45" i="22"/>
  <c r="K45" i="22"/>
  <c r="K19" i="17"/>
  <c r="L19" i="17"/>
  <c r="S13" i="13"/>
  <c r="M13" i="13"/>
  <c r="K40" i="19"/>
  <c r="L40" i="19"/>
  <c r="M18" i="17"/>
  <c r="S18" i="17"/>
  <c r="T17" i="13"/>
  <c r="V17" i="13" s="1"/>
  <c r="X17" i="13" s="1"/>
  <c r="U17" i="13"/>
  <c r="W17" i="13" s="1"/>
  <c r="L11" i="17"/>
  <c r="K11" i="17"/>
  <c r="S23" i="20"/>
  <c r="M23" i="20"/>
  <c r="S26" i="22"/>
  <c r="M26" i="22"/>
  <c r="J28" i="16"/>
  <c r="K38" i="16"/>
  <c r="L38" i="16"/>
  <c r="S17" i="17"/>
  <c r="M17" i="17"/>
  <c r="K55" i="26"/>
  <c r="L55" i="26"/>
  <c r="J53" i="26"/>
  <c r="J47" i="26"/>
  <c r="L28" i="13"/>
  <c r="K28" i="13"/>
  <c r="M23" i="16"/>
  <c r="S23" i="16"/>
  <c r="M26" i="26"/>
  <c r="U26" i="26"/>
  <c r="J32" i="17"/>
  <c r="L23" i="23"/>
  <c r="K23" i="23"/>
  <c r="K46" i="22"/>
  <c r="L46" i="22"/>
  <c r="K39" i="19"/>
  <c r="L39" i="19"/>
  <c r="L11" i="16"/>
  <c r="K11" i="16"/>
  <c r="K11" i="20"/>
  <c r="L11" i="20"/>
  <c r="M12" i="22"/>
  <c r="S12" i="22"/>
  <c r="M13" i="16"/>
  <c r="S13" i="16"/>
  <c r="S20" i="16"/>
  <c r="M20" i="16"/>
  <c r="T15" i="19"/>
  <c r="V15" i="19" s="1"/>
  <c r="X15" i="19" s="1"/>
  <c r="U15" i="19"/>
  <c r="W15" i="19" s="1"/>
  <c r="K32" i="16"/>
  <c r="L32" i="16"/>
  <c r="J29" i="16"/>
  <c r="J44" i="26"/>
  <c r="J42" i="26"/>
  <c r="J43" i="26"/>
  <c r="J62" i="26"/>
  <c r="J60" i="26"/>
  <c r="M17" i="26"/>
  <c r="U17" i="26"/>
  <c r="M11" i="26"/>
  <c r="U11" i="26"/>
  <c r="S10" i="20"/>
  <c r="M10" i="20"/>
  <c r="J29" i="17"/>
  <c r="J37" i="17"/>
  <c r="M25" i="26"/>
  <c r="U25" i="26"/>
  <c r="M13" i="14"/>
  <c r="S13" i="14"/>
  <c r="T19" i="13"/>
  <c r="V19" i="13" s="1"/>
  <c r="X19" i="13" s="1"/>
  <c r="U19" i="13"/>
  <c r="W19" i="13" s="1"/>
  <c r="T10" i="13"/>
  <c r="V10" i="13" s="1"/>
  <c r="X10" i="13" s="1"/>
  <c r="U10" i="13"/>
  <c r="W10" i="13" s="1"/>
  <c r="T18" i="13"/>
  <c r="V18" i="13" s="1"/>
  <c r="X18" i="13" s="1"/>
  <c r="U18" i="13"/>
  <c r="W18" i="13" s="1"/>
  <c r="U23" i="13"/>
  <c r="W23" i="13" s="1"/>
  <c r="T23" i="13"/>
  <c r="V23" i="13" s="1"/>
  <c r="X23" i="13" s="1"/>
  <c r="L41" i="26"/>
  <c r="K41" i="26"/>
  <c r="J40" i="26"/>
  <c r="T22" i="13"/>
  <c r="V22" i="13" s="1"/>
  <c r="X22" i="13" s="1"/>
  <c r="U22" i="13"/>
  <c r="W22" i="13" s="1"/>
  <c r="M32" i="26"/>
  <c r="U32" i="26"/>
  <c r="K41" i="19"/>
  <c r="L41" i="19"/>
  <c r="L18" i="14"/>
  <c r="K18" i="14"/>
  <c r="M33" i="26"/>
  <c r="U33" i="26"/>
  <c r="J36" i="17"/>
  <c r="L28" i="17"/>
  <c r="K28" i="17"/>
  <c r="J35" i="17"/>
  <c r="J30" i="16"/>
  <c r="L51" i="26"/>
  <c r="K51" i="26"/>
  <c r="M12" i="26"/>
  <c r="U12" i="26"/>
  <c r="S25" i="22"/>
  <c r="U25" i="22" s="1"/>
  <c r="W25" i="22" s="1"/>
  <c r="T25" i="22"/>
  <c r="V25" i="22" s="1"/>
  <c r="X25" i="22" s="1"/>
  <c r="M10" i="14"/>
  <c r="S10" i="14"/>
  <c r="K37" i="19"/>
  <c r="L37" i="19"/>
  <c r="M10" i="26"/>
  <c r="U10" i="26"/>
  <c r="J34" i="17"/>
  <c r="J41" i="17"/>
  <c r="M32" i="13"/>
  <c r="S32" i="13"/>
  <c r="L15" i="26"/>
  <c r="K15" i="26"/>
  <c r="K34" i="25"/>
  <c r="L34" i="25"/>
  <c r="S16" i="22"/>
  <c r="M16" i="22"/>
  <c r="S14" i="22"/>
  <c r="M14" i="22"/>
  <c r="K39" i="14"/>
  <c r="L39" i="14"/>
  <c r="L14" i="26"/>
  <c r="K14" i="26"/>
  <c r="D56" i="25"/>
  <c r="J56" i="25" s="1"/>
  <c r="D61" i="25"/>
  <c r="D58" i="25"/>
  <c r="G59" i="25"/>
  <c r="D60" i="25"/>
  <c r="J60" i="25" s="1"/>
  <c r="D62" i="25"/>
  <c r="D53" i="25"/>
  <c r="J53" i="25" s="1"/>
  <c r="D45" i="25"/>
  <c r="J45" i="25" s="1"/>
  <c r="F43" i="25"/>
  <c r="D39" i="25"/>
  <c r="D59" i="25"/>
  <c r="G53" i="25"/>
  <c r="D42" i="25"/>
  <c r="J42" i="25" s="1"/>
  <c r="G40" i="25"/>
  <c r="D41" i="25"/>
  <c r="J41" i="25" s="1"/>
  <c r="D57" i="25"/>
  <c r="D46" i="25"/>
  <c r="J46" i="25" s="1"/>
  <c r="D44" i="25"/>
  <c r="D43" i="25"/>
  <c r="D52" i="25"/>
  <c r="J52" i="25" s="1"/>
  <c r="D51" i="25"/>
  <c r="J51" i="25" s="1"/>
  <c r="D50" i="25"/>
  <c r="J50" i="25" s="1"/>
  <c r="D49" i="25"/>
  <c r="J49" i="25" s="1"/>
  <c r="D48" i="25"/>
  <c r="D55" i="25"/>
  <c r="J55" i="25" s="1"/>
  <c r="D47" i="25"/>
  <c r="D54" i="25"/>
  <c r="G42" i="25"/>
  <c r="G43" i="25"/>
  <c r="G44" i="25"/>
  <c r="E43" i="25"/>
  <c r="G48" i="25"/>
  <c r="D40" i="25"/>
  <c r="J40" i="25" s="1"/>
  <c r="G46" i="25"/>
  <c r="J19" i="25"/>
  <c r="K31" i="20"/>
  <c r="L31" i="20"/>
  <c r="S18" i="20"/>
  <c r="M18" i="20"/>
  <c r="K35" i="14"/>
  <c r="L35" i="14"/>
  <c r="K19" i="20"/>
  <c r="L19" i="20"/>
  <c r="K22" i="23"/>
  <c r="L22" i="23"/>
  <c r="K20" i="25"/>
  <c r="L20" i="25"/>
  <c r="K35" i="20"/>
  <c r="L35" i="20"/>
  <c r="T17" i="19"/>
  <c r="V17" i="19" s="1"/>
  <c r="X17" i="19" s="1"/>
  <c r="U17" i="19"/>
  <c r="W17" i="19" s="1"/>
  <c r="K22" i="20"/>
  <c r="L22" i="20"/>
  <c r="J26" i="23"/>
  <c r="K28" i="25"/>
  <c r="L28" i="25"/>
  <c r="K33" i="25"/>
  <c r="L33" i="25"/>
  <c r="L21" i="25"/>
  <c r="K21" i="25"/>
  <c r="J40" i="14"/>
  <c r="S22" i="14"/>
  <c r="M22" i="14"/>
  <c r="S13" i="17"/>
  <c r="M13" i="17"/>
  <c r="S19" i="16"/>
  <c r="M19" i="16"/>
  <c r="K22" i="25"/>
  <c r="L22" i="25"/>
  <c r="J32" i="20"/>
  <c r="J37" i="22"/>
  <c r="L44" i="22"/>
  <c r="K44" i="22"/>
  <c r="J36" i="22"/>
  <c r="L42" i="22"/>
  <c r="K42" i="22"/>
  <c r="L12" i="16"/>
  <c r="K12" i="16"/>
  <c r="M10" i="16"/>
  <c r="S10" i="16"/>
  <c r="M31" i="26"/>
  <c r="U31" i="26"/>
  <c r="M16" i="26"/>
  <c r="U16" i="26"/>
  <c r="K37" i="13"/>
  <c r="L37" i="13"/>
  <c r="J34" i="16"/>
  <c r="J31" i="16"/>
  <c r="J40" i="16"/>
  <c r="K21" i="14"/>
  <c r="L21" i="14"/>
  <c r="J59" i="26"/>
  <c r="J56" i="26"/>
  <c r="J46" i="26"/>
  <c r="M28" i="26"/>
  <c r="U28" i="26"/>
  <c r="S12" i="14"/>
  <c r="M12" i="14"/>
  <c r="L14" i="20"/>
  <c r="K14" i="20"/>
  <c r="L40" i="17"/>
  <c r="K40" i="17"/>
  <c r="L30" i="17"/>
  <c r="K30" i="17"/>
  <c r="L38" i="17"/>
  <c r="K38" i="17"/>
  <c r="S23" i="22"/>
  <c r="M23" i="22"/>
  <c r="G46" i="23"/>
  <c r="E35" i="23"/>
  <c r="G36" i="23"/>
  <c r="F35" i="23"/>
  <c r="D45" i="23"/>
  <c r="J45" i="23" s="1"/>
  <c r="D32" i="23"/>
  <c r="E41" i="23"/>
  <c r="D46" i="23"/>
  <c r="D41" i="23"/>
  <c r="F41" i="23"/>
  <c r="D36" i="23"/>
  <c r="J36" i="23" s="1"/>
  <c r="D40" i="23"/>
  <c r="J40" i="23" s="1"/>
  <c r="D42" i="23"/>
  <c r="J42" i="23" s="1"/>
  <c r="G37" i="23"/>
  <c r="D33" i="23"/>
  <c r="E33" i="23"/>
  <c r="D39" i="23"/>
  <c r="E36" i="23"/>
  <c r="E46" i="23"/>
  <c r="E37" i="23"/>
  <c r="F46" i="23"/>
  <c r="D38" i="23"/>
  <c r="D37" i="23"/>
  <c r="D44" i="23"/>
  <c r="J44" i="23" s="1"/>
  <c r="F36" i="23"/>
  <c r="D35" i="23"/>
  <c r="J35" i="23" s="1"/>
  <c r="D34" i="23"/>
  <c r="J34" i="23" s="1"/>
  <c r="F33" i="23"/>
  <c r="G33" i="23"/>
  <c r="G41" i="23"/>
  <c r="D47" i="23"/>
  <c r="G35" i="23"/>
  <c r="D43" i="23"/>
  <c r="F37" i="23"/>
  <c r="L17" i="25"/>
  <c r="K17" i="25"/>
  <c r="H32" i="23"/>
  <c r="H41" i="23"/>
  <c r="H46" i="23"/>
  <c r="H40" i="23"/>
  <c r="H42" i="23"/>
  <c r="H45" i="23"/>
  <c r="H38" i="23"/>
  <c r="H36" i="23"/>
  <c r="I33" i="23"/>
  <c r="H34" i="23"/>
  <c r="H44" i="23"/>
  <c r="H37" i="23"/>
  <c r="H39" i="23"/>
  <c r="H33" i="23"/>
  <c r="H43" i="23"/>
  <c r="H35" i="23"/>
  <c r="H47" i="23"/>
  <c r="L11" i="25"/>
  <c r="K11" i="25"/>
  <c r="S31" i="13"/>
  <c r="M31" i="13"/>
  <c r="L43" i="22"/>
  <c r="M43" i="22" s="1"/>
  <c r="K43" i="22"/>
  <c r="L34" i="13"/>
  <c r="K34" i="13"/>
  <c r="L12" i="23"/>
  <c r="K12" i="23"/>
  <c r="K30" i="25"/>
  <c r="L30" i="25"/>
  <c r="K32" i="25"/>
  <c r="L32" i="25"/>
  <c r="J29" i="20"/>
  <c r="M16" i="13"/>
  <c r="S16" i="13"/>
  <c r="M18" i="16"/>
  <c r="S18" i="16"/>
  <c r="J30" i="14"/>
  <c r="L19" i="22"/>
  <c r="M19" i="22" s="1"/>
  <c r="S19" i="22" s="1"/>
  <c r="K19" i="22"/>
  <c r="K38" i="22"/>
  <c r="L38" i="22"/>
  <c r="K36" i="19"/>
  <c r="L36" i="19"/>
  <c r="M14" i="19"/>
  <c r="S14" i="19"/>
  <c r="T12" i="19"/>
  <c r="V12" i="19" s="1"/>
  <c r="X12" i="19" s="1"/>
  <c r="U12" i="19"/>
  <c r="W12" i="19" s="1"/>
  <c r="S13" i="19"/>
  <c r="M13" i="19"/>
  <c r="L23" i="14"/>
  <c r="K23" i="14"/>
  <c r="L16" i="16"/>
  <c r="K16" i="16"/>
  <c r="M11" i="13"/>
  <c r="S11" i="13"/>
  <c r="L38" i="19"/>
  <c r="K38" i="19"/>
  <c r="M18" i="22"/>
  <c r="S18" i="22"/>
  <c r="M13" i="26"/>
  <c r="U13" i="26"/>
  <c r="L13" i="20"/>
  <c r="K13" i="20"/>
  <c r="K16" i="23"/>
  <c r="L16" i="23"/>
  <c r="L21" i="17"/>
  <c r="K21" i="17"/>
  <c r="J14" i="25"/>
  <c r="J29" i="14"/>
  <c r="J19" i="23"/>
  <c r="M20" i="20"/>
  <c r="S20" i="20"/>
  <c r="L35" i="13"/>
  <c r="K35" i="13"/>
  <c r="K16" i="14"/>
  <c r="L16" i="14"/>
  <c r="K39" i="20"/>
  <c r="L39" i="20"/>
  <c r="K47" i="22"/>
  <c r="L47" i="22"/>
  <c r="M47" i="22" s="1"/>
  <c r="K14" i="23"/>
  <c r="L14" i="23"/>
  <c r="L27" i="25"/>
  <c r="K27" i="25"/>
  <c r="L30" i="20"/>
  <c r="K30" i="20"/>
  <c r="S12" i="20"/>
  <c r="M12" i="20"/>
  <c r="J31" i="14"/>
  <c r="K39" i="22"/>
  <c r="L39" i="22"/>
  <c r="U18" i="19"/>
  <c r="W18" i="19" s="1"/>
  <c r="T18" i="19"/>
  <c r="V18" i="19" s="1"/>
  <c r="X18" i="19" s="1"/>
  <c r="K21" i="16"/>
  <c r="L21" i="16"/>
  <c r="K12" i="25"/>
  <c r="L12" i="25"/>
  <c r="J41" i="20"/>
  <c r="L14" i="14"/>
  <c r="K14" i="14"/>
  <c r="L15" i="20"/>
  <c r="K15" i="20"/>
  <c r="L19" i="14"/>
  <c r="K19" i="14"/>
  <c r="M27" i="26"/>
  <c r="U27" i="26"/>
  <c r="M22" i="22"/>
  <c r="S22" i="22"/>
  <c r="L20" i="23"/>
  <c r="K20" i="23"/>
  <c r="J13" i="25"/>
  <c r="L28" i="20"/>
  <c r="K28" i="20"/>
  <c r="M19" i="26"/>
  <c r="U19" i="26"/>
  <c r="K34" i="22"/>
  <c r="L34" i="22"/>
  <c r="K14" i="16"/>
  <c r="L14" i="16"/>
  <c r="M22" i="26"/>
  <c r="U22" i="26"/>
  <c r="J33" i="16"/>
  <c r="K31" i="29"/>
  <c r="L24" i="26"/>
  <c r="K24" i="26"/>
  <c r="J15" i="23"/>
  <c r="K41" i="13"/>
  <c r="L41" i="13"/>
  <c r="J37" i="20"/>
  <c r="S29" i="19"/>
  <c r="M29" i="19"/>
  <c r="U20" i="13"/>
  <c r="W20" i="13" s="1"/>
  <c r="T20" i="13"/>
  <c r="V20" i="13" s="1"/>
  <c r="X20" i="13" s="1"/>
  <c r="M34" i="26"/>
  <c r="U34" i="26"/>
  <c r="K16" i="20"/>
  <c r="L16" i="20"/>
  <c r="K27" i="23"/>
  <c r="L27" i="23"/>
  <c r="K21" i="23"/>
  <c r="L21" i="23"/>
  <c r="M21" i="23" s="1"/>
  <c r="T20" i="19"/>
  <c r="V20" i="19" s="1"/>
  <c r="X20" i="19" s="1"/>
  <c r="U20" i="19"/>
  <c r="W20" i="19" s="1"/>
  <c r="J31" i="25"/>
  <c r="J15" i="25"/>
  <c r="L23" i="25"/>
  <c r="K23" i="25"/>
  <c r="L33" i="13"/>
  <c r="K33" i="13"/>
  <c r="J38" i="20"/>
  <c r="J36" i="20"/>
  <c r="L30" i="13"/>
  <c r="K30" i="13"/>
  <c r="L11" i="14"/>
  <c r="K11" i="14"/>
  <c r="J34" i="14"/>
  <c r="J37" i="14"/>
  <c r="J40" i="22"/>
  <c r="S20" i="22"/>
  <c r="M20" i="22"/>
  <c r="L17" i="16"/>
  <c r="K17" i="16"/>
  <c r="M18" i="26"/>
  <c r="U18" i="26"/>
  <c r="S12" i="13"/>
  <c r="M12" i="13"/>
  <c r="M36" i="13"/>
  <c r="S36" i="13"/>
  <c r="S11" i="19"/>
  <c r="M11" i="19"/>
  <c r="S15" i="17"/>
  <c r="M15" i="17"/>
  <c r="M17" i="20"/>
  <c r="S17" i="20"/>
  <c r="M19" i="19"/>
  <c r="S19" i="19"/>
  <c r="J58" i="26"/>
  <c r="J48" i="26"/>
  <c r="J39" i="26"/>
  <c r="K54" i="26"/>
  <c r="L54" i="26"/>
  <c r="S21" i="22"/>
  <c r="U21" i="22" s="1"/>
  <c r="W21" i="22" s="1"/>
  <c r="T21" i="22"/>
  <c r="V21" i="22" s="1"/>
  <c r="X21" i="22" s="1"/>
  <c r="T15" i="13"/>
  <c r="V15" i="13" s="1"/>
  <c r="X15" i="13" s="1"/>
  <c r="U15" i="13"/>
  <c r="W15" i="13" s="1"/>
  <c r="U22" i="19"/>
  <c r="W22" i="19" s="1"/>
  <c r="T22" i="19"/>
  <c r="V22" i="19" s="1"/>
  <c r="X22" i="19" s="1"/>
  <c r="S30" i="19"/>
  <c r="M30" i="19"/>
  <c r="J31" i="17"/>
  <c r="M10" i="22"/>
  <c r="S10" i="22"/>
  <c r="L35" i="19"/>
  <c r="K35" i="19"/>
  <c r="J11" i="23"/>
  <c r="L10" i="23"/>
  <c r="K10" i="23"/>
  <c r="J24" i="23"/>
  <c r="K18" i="23"/>
  <c r="L18" i="23"/>
  <c r="K29" i="25"/>
  <c r="L29" i="25"/>
  <c r="K16" i="25"/>
  <c r="L16" i="25"/>
  <c r="J24" i="25"/>
  <c r="J40" i="20"/>
  <c r="K24" i="22"/>
  <c r="L24" i="22"/>
  <c r="M29" i="26"/>
  <c r="U29" i="26"/>
  <c r="M33" i="19"/>
  <c r="S33" i="19"/>
  <c r="J32" i="14"/>
  <c r="M23" i="26"/>
  <c r="U23" i="26"/>
  <c r="J33" i="22"/>
  <c r="J32" i="22"/>
  <c r="K14" i="17"/>
  <c r="L14" i="17"/>
  <c r="S17" i="22"/>
  <c r="M17" i="22"/>
  <c r="M10" i="17"/>
  <c r="S10" i="17"/>
  <c r="S38" i="13"/>
  <c r="M38" i="13"/>
  <c r="L39" i="13"/>
  <c r="K39" i="13"/>
  <c r="S40" i="13"/>
  <c r="M40" i="13"/>
  <c r="M21" i="20"/>
  <c r="S21" i="20"/>
  <c r="T16" i="19"/>
  <c r="V16" i="19" s="1"/>
  <c r="X16" i="19" s="1"/>
  <c r="U16" i="19"/>
  <c r="W16" i="19" s="1"/>
  <c r="S27" i="22"/>
  <c r="M27" i="22"/>
  <c r="S17" i="14"/>
  <c r="M17" i="14"/>
  <c r="J37" i="16"/>
  <c r="J35" i="16"/>
  <c r="J41" i="16"/>
  <c r="S16" i="17"/>
  <c r="M16" i="17"/>
  <c r="M21" i="26"/>
  <c r="U21" i="26"/>
  <c r="J61" i="26"/>
  <c r="J49" i="26"/>
  <c r="J57" i="26"/>
  <c r="L29" i="13"/>
  <c r="K29" i="13"/>
  <c r="K15" i="16"/>
  <c r="L15" i="16"/>
  <c r="U21" i="19"/>
  <c r="W21" i="19" s="1"/>
  <c r="T21" i="19"/>
  <c r="V21" i="19" s="1"/>
  <c r="X21" i="19" s="1"/>
  <c r="J39" i="17"/>
  <c r="J33" i="17"/>
  <c r="S28" i="19"/>
  <c r="M28" i="19"/>
  <c r="K12" i="29"/>
  <c r="J46" i="29"/>
  <c r="J53" i="29"/>
  <c r="J63" i="28"/>
  <c r="K63" i="28" s="1"/>
  <c r="J63" i="29"/>
  <c r="L63" i="29" s="1"/>
  <c r="L21" i="29"/>
  <c r="M21" i="29" s="1"/>
  <c r="M34" i="29"/>
  <c r="U34" i="29"/>
  <c r="M35" i="29"/>
  <c r="U35" i="29"/>
  <c r="J64" i="29"/>
  <c r="J64" i="28"/>
  <c r="L64" i="28" s="1"/>
  <c r="J62" i="29"/>
  <c r="L62" i="29" s="1"/>
  <c r="K12" i="28"/>
  <c r="K21" i="28"/>
  <c r="M34" i="28"/>
  <c r="U34" i="28"/>
  <c r="M35" i="28"/>
  <c r="U35" i="28"/>
  <c r="J55" i="28"/>
  <c r="L55" i="28" s="1"/>
  <c r="J43" i="29"/>
  <c r="L43" i="29" s="1"/>
  <c r="J42" i="29"/>
  <c r="L42" i="29" s="1"/>
  <c r="J51" i="29"/>
  <c r="L51" i="29" s="1"/>
  <c r="J48" i="29"/>
  <c r="L48" i="29" s="1"/>
  <c r="J54" i="28"/>
  <c r="K54" i="28" s="1"/>
  <c r="J48" i="28"/>
  <c r="L48" i="28" s="1"/>
  <c r="J47" i="28"/>
  <c r="K47" i="28" s="1"/>
  <c r="J45" i="29"/>
  <c r="L45" i="29" s="1"/>
  <c r="J47" i="29"/>
  <c r="K47" i="29" s="1"/>
  <c r="J61" i="29"/>
  <c r="K61" i="29" s="1"/>
  <c r="J46" i="28"/>
  <c r="K46" i="28" s="1"/>
  <c r="J53" i="28"/>
  <c r="K53" i="28" s="1"/>
  <c r="J58" i="28"/>
  <c r="K58" i="28" s="1"/>
  <c r="J49" i="28"/>
  <c r="K49" i="28" s="1"/>
  <c r="J51" i="28"/>
  <c r="K51" i="28" s="1"/>
  <c r="J42" i="28"/>
  <c r="K42" i="28" s="1"/>
  <c r="J61" i="28"/>
  <c r="L61" i="28" s="1"/>
  <c r="J40" i="28"/>
  <c r="K40" i="28" s="1"/>
  <c r="J54" i="29"/>
  <c r="M31" i="29"/>
  <c r="U31" i="29"/>
  <c r="M23" i="29"/>
  <c r="U23" i="29"/>
  <c r="J58" i="29"/>
  <c r="K51" i="29"/>
  <c r="M30" i="29"/>
  <c r="U30" i="29"/>
  <c r="M10" i="29"/>
  <c r="U10" i="29"/>
  <c r="J40" i="29"/>
  <c r="J49" i="29"/>
  <c r="J44" i="29"/>
  <c r="J52" i="29"/>
  <c r="M33" i="29"/>
  <c r="U33" i="29"/>
  <c r="M25" i="29"/>
  <c r="U25" i="29"/>
  <c r="M20" i="29"/>
  <c r="U20" i="29"/>
  <c r="M12" i="29"/>
  <c r="U12" i="29"/>
  <c r="M27" i="29"/>
  <c r="U27" i="29"/>
  <c r="M15" i="29"/>
  <c r="U15" i="29"/>
  <c r="J41" i="29"/>
  <c r="L53" i="29"/>
  <c r="K53" i="29"/>
  <c r="J50" i="29"/>
  <c r="J59" i="29"/>
  <c r="J56" i="29"/>
  <c r="M28" i="29"/>
  <c r="U28" i="29"/>
  <c r="L11" i="29"/>
  <c r="K11" i="29"/>
  <c r="M26" i="29"/>
  <c r="U26" i="29"/>
  <c r="K46" i="29"/>
  <c r="L46" i="29"/>
  <c r="M29" i="29"/>
  <c r="U29" i="29"/>
  <c r="M16" i="29"/>
  <c r="U16" i="29"/>
  <c r="K17" i="29"/>
  <c r="L17" i="29"/>
  <c r="M32" i="29"/>
  <c r="U32" i="29"/>
  <c r="M22" i="29"/>
  <c r="U22" i="29"/>
  <c r="L19" i="29"/>
  <c r="K19" i="29"/>
  <c r="M18" i="29"/>
  <c r="U18" i="29"/>
  <c r="J60" i="29"/>
  <c r="L24" i="29"/>
  <c r="K24" i="29"/>
  <c r="J57" i="29"/>
  <c r="J55" i="29"/>
  <c r="K13" i="29"/>
  <c r="L13" i="29"/>
  <c r="L14" i="29"/>
  <c r="K14" i="29"/>
  <c r="L13" i="28"/>
  <c r="K13" i="28"/>
  <c r="M14" i="28"/>
  <c r="U14" i="28"/>
  <c r="J62" i="28"/>
  <c r="J44" i="28"/>
  <c r="M28" i="28"/>
  <c r="U28" i="28"/>
  <c r="M10" i="28"/>
  <c r="U10" i="28"/>
  <c r="L11" i="28"/>
  <c r="K11" i="28"/>
  <c r="M23" i="28"/>
  <c r="U23" i="28"/>
  <c r="J45" i="28"/>
  <c r="J57" i="28"/>
  <c r="J50" i="28"/>
  <c r="J59" i="28"/>
  <c r="J56" i="28"/>
  <c r="M22" i="28"/>
  <c r="U22" i="28"/>
  <c r="L24" i="28"/>
  <c r="K24" i="28"/>
  <c r="L17" i="28"/>
  <c r="K17" i="28"/>
  <c r="M30" i="28"/>
  <c r="U30" i="28"/>
  <c r="J41" i="28"/>
  <c r="J60" i="28"/>
  <c r="M33" i="28"/>
  <c r="U33" i="28"/>
  <c r="M25" i="28"/>
  <c r="U25" i="28"/>
  <c r="M21" i="28"/>
  <c r="U21" i="28"/>
  <c r="M32" i="28"/>
  <c r="U32" i="28"/>
  <c r="L31" i="28"/>
  <c r="K31" i="28"/>
  <c r="M26" i="28"/>
  <c r="U26" i="28"/>
  <c r="L19" i="28"/>
  <c r="K19" i="28"/>
  <c r="M27" i="28"/>
  <c r="U27" i="28"/>
  <c r="M15" i="28"/>
  <c r="U15" i="28"/>
  <c r="J43" i="28"/>
  <c r="M20" i="28"/>
  <c r="U20" i="28"/>
  <c r="J52" i="28"/>
  <c r="M29" i="28"/>
  <c r="U29" i="28"/>
  <c r="M18" i="28"/>
  <c r="U18" i="28"/>
  <c r="M12" i="28"/>
  <c r="U12" i="28"/>
  <c r="M16" i="28"/>
  <c r="U16" i="28"/>
  <c r="M47" i="35" l="1"/>
  <c r="U47" i="35"/>
  <c r="M46" i="35"/>
  <c r="U46" i="35"/>
  <c r="M45" i="35"/>
  <c r="U45" i="35"/>
  <c r="M44" i="35"/>
  <c r="U44" i="35"/>
  <c r="M46" i="34"/>
  <c r="U46" i="34"/>
  <c r="U35" i="34"/>
  <c r="W35" i="34" s="1"/>
  <c r="Y35" i="34" s="1"/>
  <c r="M44" i="34"/>
  <c r="U44" i="34"/>
  <c r="M45" i="34"/>
  <c r="U45" i="34"/>
  <c r="M47" i="34"/>
  <c r="U47" i="34"/>
  <c r="U36" i="34"/>
  <c r="W36" i="34" s="1"/>
  <c r="Y36" i="34" s="1"/>
  <c r="U33" i="35"/>
  <c r="U41" i="34"/>
  <c r="V41" i="34" s="1"/>
  <c r="X41" i="34" s="1"/>
  <c r="Z41" i="34" s="1"/>
  <c r="W36" i="35"/>
  <c r="Y36" i="35" s="1"/>
  <c r="V36" i="35"/>
  <c r="X36" i="35" s="1"/>
  <c r="Z36" i="35" s="1"/>
  <c r="W34" i="35"/>
  <c r="Y34" i="35" s="1"/>
  <c r="V34" i="35"/>
  <c r="X34" i="35" s="1"/>
  <c r="Z34" i="35" s="1"/>
  <c r="W18" i="35"/>
  <c r="Y18" i="35" s="1"/>
  <c r="V18" i="35"/>
  <c r="X18" i="35" s="1"/>
  <c r="Z18" i="35" s="1"/>
  <c r="W33" i="35"/>
  <c r="Y33" i="35" s="1"/>
  <c r="V33" i="35"/>
  <c r="X33" i="35" s="1"/>
  <c r="Z33" i="35" s="1"/>
  <c r="W35" i="35"/>
  <c r="Y35" i="35" s="1"/>
  <c r="V35" i="35"/>
  <c r="X35" i="35" s="1"/>
  <c r="Z35" i="35" s="1"/>
  <c r="M42" i="35"/>
  <c r="U42" i="35"/>
  <c r="W12" i="35"/>
  <c r="Y12" i="35" s="1"/>
  <c r="V12" i="35"/>
  <c r="X12" i="35" s="1"/>
  <c r="Z12" i="35" s="1"/>
  <c r="W39" i="35"/>
  <c r="Y39" i="35" s="1"/>
  <c r="V39" i="35"/>
  <c r="X39" i="35" s="1"/>
  <c r="Z39" i="35" s="1"/>
  <c r="M43" i="35"/>
  <c r="U43" i="35"/>
  <c r="W37" i="35"/>
  <c r="Y37" i="35" s="1"/>
  <c r="V37" i="35"/>
  <c r="X37" i="35" s="1"/>
  <c r="Z37" i="35" s="1"/>
  <c r="W41" i="35"/>
  <c r="Y41" i="35" s="1"/>
  <c r="V41" i="35"/>
  <c r="X41" i="35" s="1"/>
  <c r="Z41" i="35" s="1"/>
  <c r="M32" i="35"/>
  <c r="U32" i="35"/>
  <c r="M38" i="35"/>
  <c r="U38" i="35"/>
  <c r="W31" i="35"/>
  <c r="Y31" i="35" s="1"/>
  <c r="V31" i="35"/>
  <c r="X31" i="35" s="1"/>
  <c r="Z31" i="35" s="1"/>
  <c r="W15" i="35"/>
  <c r="Y15" i="35" s="1"/>
  <c r="V15" i="35"/>
  <c r="X15" i="35" s="1"/>
  <c r="Z15" i="35" s="1"/>
  <c r="M40" i="35"/>
  <c r="U40" i="35"/>
  <c r="W43" i="34"/>
  <c r="Y43" i="34" s="1"/>
  <c r="V43" i="34"/>
  <c r="X43" i="34" s="1"/>
  <c r="Z43" i="34" s="1"/>
  <c r="W15" i="34"/>
  <c r="Y15" i="34" s="1"/>
  <c r="V15" i="34"/>
  <c r="X15" i="34" s="1"/>
  <c r="Z15" i="34" s="1"/>
  <c r="W40" i="34"/>
  <c r="Y40" i="34" s="1"/>
  <c r="V40" i="34"/>
  <c r="X40" i="34" s="1"/>
  <c r="Z40" i="34" s="1"/>
  <c r="W32" i="34"/>
  <c r="Y32" i="34" s="1"/>
  <c r="V32" i="34"/>
  <c r="X32" i="34" s="1"/>
  <c r="Z32" i="34" s="1"/>
  <c r="V35" i="34"/>
  <c r="X35" i="34" s="1"/>
  <c r="Z35" i="34" s="1"/>
  <c r="W39" i="34"/>
  <c r="Y39" i="34" s="1"/>
  <c r="V39" i="34"/>
  <c r="X39" i="34" s="1"/>
  <c r="Z39" i="34" s="1"/>
  <c r="W12" i="34"/>
  <c r="Y12" i="34" s="1"/>
  <c r="V12" i="34"/>
  <c r="X12" i="34" s="1"/>
  <c r="Z12" i="34" s="1"/>
  <c r="W18" i="34"/>
  <c r="Y18" i="34" s="1"/>
  <c r="V18" i="34"/>
  <c r="X18" i="34" s="1"/>
  <c r="Z18" i="34" s="1"/>
  <c r="M34" i="34"/>
  <c r="U34" i="34"/>
  <c r="M38" i="34"/>
  <c r="U38" i="34"/>
  <c r="M42" i="34"/>
  <c r="U42" i="34"/>
  <c r="M33" i="34"/>
  <c r="U33" i="34"/>
  <c r="W21" i="34"/>
  <c r="Y21" i="34" s="1"/>
  <c r="V21" i="34"/>
  <c r="X21" i="34" s="1"/>
  <c r="Z21" i="34" s="1"/>
  <c r="M31" i="34"/>
  <c r="U31" i="34"/>
  <c r="M37" i="34"/>
  <c r="U37" i="34"/>
  <c r="J38" i="32"/>
  <c r="J33" i="32"/>
  <c r="J40" i="32"/>
  <c r="J34" i="32"/>
  <c r="L34" i="31"/>
  <c r="U34" i="31" s="1"/>
  <c r="J30" i="32"/>
  <c r="K41" i="31"/>
  <c r="K33" i="31"/>
  <c r="K43" i="31"/>
  <c r="L39" i="32"/>
  <c r="K39" i="32"/>
  <c r="M19" i="32"/>
  <c r="U19" i="32"/>
  <c r="L30" i="32"/>
  <c r="K30" i="32"/>
  <c r="M16" i="32"/>
  <c r="U16" i="32"/>
  <c r="J29" i="32"/>
  <c r="L40" i="32"/>
  <c r="K40" i="32"/>
  <c r="J42" i="32"/>
  <c r="M24" i="32"/>
  <c r="U24" i="32"/>
  <c r="L17" i="32"/>
  <c r="K17" i="32"/>
  <c r="K11" i="32"/>
  <c r="L11" i="32"/>
  <c r="L43" i="32"/>
  <c r="K43" i="32"/>
  <c r="J32" i="32"/>
  <c r="M23" i="32"/>
  <c r="U23" i="32"/>
  <c r="M18" i="32"/>
  <c r="U18" i="32"/>
  <c r="M13" i="32"/>
  <c r="U13" i="32"/>
  <c r="L38" i="32"/>
  <c r="K38" i="32"/>
  <c r="M20" i="32"/>
  <c r="U20" i="32"/>
  <c r="M22" i="32"/>
  <c r="U22" i="32"/>
  <c r="J36" i="32"/>
  <c r="L21" i="32"/>
  <c r="K21" i="32"/>
  <c r="L41" i="32"/>
  <c r="K41" i="32"/>
  <c r="M14" i="32"/>
  <c r="U14" i="32"/>
  <c r="M15" i="32"/>
  <c r="U15" i="32"/>
  <c r="L33" i="32"/>
  <c r="K33" i="32"/>
  <c r="J31" i="32"/>
  <c r="L34" i="32"/>
  <c r="K34" i="32"/>
  <c r="J35" i="32"/>
  <c r="J37" i="32"/>
  <c r="M10" i="32"/>
  <c r="U10" i="32"/>
  <c r="L12" i="32"/>
  <c r="K12" i="32"/>
  <c r="M21" i="31"/>
  <c r="U21" i="31"/>
  <c r="W10" i="31"/>
  <c r="Y10" i="31" s="1"/>
  <c r="V10" i="31"/>
  <c r="X10" i="31" s="1"/>
  <c r="Z10" i="31" s="1"/>
  <c r="K32" i="31"/>
  <c r="L32" i="31"/>
  <c r="L29" i="31"/>
  <c r="K29" i="31"/>
  <c r="M12" i="31"/>
  <c r="U12" i="31"/>
  <c r="W15" i="31"/>
  <c r="Y15" i="31" s="1"/>
  <c r="V15" i="31"/>
  <c r="X15" i="31" s="1"/>
  <c r="Z15" i="31" s="1"/>
  <c r="L38" i="31"/>
  <c r="K38" i="31"/>
  <c r="L39" i="31"/>
  <c r="K39" i="31"/>
  <c r="W18" i="31"/>
  <c r="Y18" i="31" s="1"/>
  <c r="V18" i="31"/>
  <c r="X18" i="31" s="1"/>
  <c r="Z18" i="31" s="1"/>
  <c r="W19" i="31"/>
  <c r="Y19" i="31" s="1"/>
  <c r="V19" i="31"/>
  <c r="X19" i="31" s="1"/>
  <c r="Z19" i="31" s="1"/>
  <c r="M33" i="31"/>
  <c r="U33" i="31"/>
  <c r="W16" i="31"/>
  <c r="Y16" i="31" s="1"/>
  <c r="V16" i="31"/>
  <c r="X16" i="31" s="1"/>
  <c r="Z16" i="31" s="1"/>
  <c r="M42" i="31"/>
  <c r="U42" i="31"/>
  <c r="W13" i="31"/>
  <c r="Y13" i="31" s="1"/>
  <c r="V13" i="31"/>
  <c r="X13" i="31" s="1"/>
  <c r="Z13" i="31" s="1"/>
  <c r="K36" i="31"/>
  <c r="L36" i="31"/>
  <c r="L35" i="31"/>
  <c r="K35" i="31"/>
  <c r="M11" i="31"/>
  <c r="U11" i="31"/>
  <c r="W22" i="31"/>
  <c r="Y22" i="31" s="1"/>
  <c r="V22" i="31"/>
  <c r="X22" i="31" s="1"/>
  <c r="Z22" i="31" s="1"/>
  <c r="K40" i="31"/>
  <c r="L40" i="31"/>
  <c r="W24" i="31"/>
  <c r="Y24" i="31" s="1"/>
  <c r="V24" i="31"/>
  <c r="X24" i="31" s="1"/>
  <c r="Z24" i="31" s="1"/>
  <c r="L30" i="31"/>
  <c r="K30" i="31"/>
  <c r="W20" i="31"/>
  <c r="Y20" i="31" s="1"/>
  <c r="V20" i="31"/>
  <c r="X20" i="31" s="1"/>
  <c r="Z20" i="31" s="1"/>
  <c r="W23" i="31"/>
  <c r="Y23" i="31" s="1"/>
  <c r="V23" i="31"/>
  <c r="X23" i="31" s="1"/>
  <c r="Z23" i="31" s="1"/>
  <c r="M41" i="31"/>
  <c r="U41" i="31"/>
  <c r="L31" i="31"/>
  <c r="K31" i="31"/>
  <c r="M17" i="31"/>
  <c r="U17" i="31"/>
  <c r="L37" i="31"/>
  <c r="K37" i="31"/>
  <c r="W14" i="31"/>
  <c r="Y14" i="31" s="1"/>
  <c r="V14" i="31"/>
  <c r="X14" i="31" s="1"/>
  <c r="Z14" i="31" s="1"/>
  <c r="M43" i="31"/>
  <c r="U43" i="31"/>
  <c r="T11" i="19"/>
  <c r="V11" i="19" s="1"/>
  <c r="X11" i="19" s="1"/>
  <c r="U11" i="19"/>
  <c r="W11" i="19" s="1"/>
  <c r="W22" i="26"/>
  <c r="Y22" i="26" s="1"/>
  <c r="V22" i="26"/>
  <c r="X22" i="26" s="1"/>
  <c r="Z22" i="26" s="1"/>
  <c r="M12" i="25"/>
  <c r="U12" i="25"/>
  <c r="L31" i="14"/>
  <c r="K31" i="14"/>
  <c r="M35" i="13"/>
  <c r="S35" i="13"/>
  <c r="S16" i="23"/>
  <c r="M16" i="23"/>
  <c r="S38" i="22"/>
  <c r="M38" i="22"/>
  <c r="K42" i="23"/>
  <c r="L42" i="23"/>
  <c r="K45" i="23"/>
  <c r="L45" i="23"/>
  <c r="M38" i="17"/>
  <c r="S38" i="17"/>
  <c r="U12" i="14"/>
  <c r="W12" i="14" s="1"/>
  <c r="T12" i="14"/>
  <c r="V12" i="14" s="1"/>
  <c r="X12" i="14" s="1"/>
  <c r="L40" i="16"/>
  <c r="K40" i="16"/>
  <c r="S35" i="20"/>
  <c r="M35" i="20"/>
  <c r="M35" i="14"/>
  <c r="S35" i="14"/>
  <c r="L40" i="25"/>
  <c r="K40" i="25"/>
  <c r="K55" i="25"/>
  <c r="L55" i="25"/>
  <c r="L46" i="25"/>
  <c r="K46" i="25"/>
  <c r="K56" i="25"/>
  <c r="L56" i="25"/>
  <c r="T16" i="22"/>
  <c r="V16" i="22" s="1"/>
  <c r="X16" i="22" s="1"/>
  <c r="U16" i="22"/>
  <c r="W16" i="22" s="1"/>
  <c r="L34" i="17"/>
  <c r="K34" i="17"/>
  <c r="S28" i="17"/>
  <c r="M28" i="17"/>
  <c r="W32" i="26"/>
  <c r="Y32" i="26" s="1"/>
  <c r="V32" i="26"/>
  <c r="X32" i="26" s="1"/>
  <c r="Z32" i="26" s="1"/>
  <c r="K29" i="16"/>
  <c r="L29" i="16"/>
  <c r="U23" i="16"/>
  <c r="W23" i="16" s="1"/>
  <c r="T23" i="16"/>
  <c r="V23" i="16" s="1"/>
  <c r="X23" i="16" s="1"/>
  <c r="U23" i="20"/>
  <c r="W23" i="20" s="1"/>
  <c r="T23" i="20"/>
  <c r="V23" i="20" s="1"/>
  <c r="X23" i="20" s="1"/>
  <c r="M18" i="25"/>
  <c r="U18" i="25"/>
  <c r="S25" i="23"/>
  <c r="U25" i="23" s="1"/>
  <c r="W25" i="23" s="1"/>
  <c r="T25" i="23"/>
  <c r="V25" i="23" s="1"/>
  <c r="X25" i="23" s="1"/>
  <c r="S15" i="22"/>
  <c r="M15" i="22"/>
  <c r="L36" i="16"/>
  <c r="K36" i="16"/>
  <c r="T28" i="19"/>
  <c r="V28" i="19" s="1"/>
  <c r="X28" i="19" s="1"/>
  <c r="U28" i="19"/>
  <c r="W28" i="19" s="1"/>
  <c r="M29" i="13"/>
  <c r="S29" i="13"/>
  <c r="K41" i="16"/>
  <c r="L41" i="16"/>
  <c r="U38" i="13"/>
  <c r="W38" i="13" s="1"/>
  <c r="T38" i="13"/>
  <c r="V38" i="13" s="1"/>
  <c r="X38" i="13" s="1"/>
  <c r="L33" i="22"/>
  <c r="K33" i="22"/>
  <c r="S24" i="22"/>
  <c r="M24" i="22"/>
  <c r="M18" i="23"/>
  <c r="S18" i="23"/>
  <c r="U10" i="22"/>
  <c r="W10" i="22" s="1"/>
  <c r="T10" i="22"/>
  <c r="V10" i="22" s="1"/>
  <c r="X10" i="22" s="1"/>
  <c r="U19" i="19"/>
  <c r="W19" i="19" s="1"/>
  <c r="T19" i="19"/>
  <c r="V19" i="19" s="1"/>
  <c r="X19" i="19" s="1"/>
  <c r="T36" i="13"/>
  <c r="V36" i="13" s="1"/>
  <c r="X36" i="13" s="1"/>
  <c r="U36" i="13"/>
  <c r="W36" i="13" s="1"/>
  <c r="S30" i="13"/>
  <c r="M30" i="13"/>
  <c r="K31" i="25"/>
  <c r="L31" i="25"/>
  <c r="M41" i="13"/>
  <c r="S41" i="13"/>
  <c r="S28" i="20"/>
  <c r="M28" i="20"/>
  <c r="T47" i="22"/>
  <c r="V47" i="22" s="1"/>
  <c r="X47" i="22" s="1"/>
  <c r="S47" i="22"/>
  <c r="U47" i="22" s="1"/>
  <c r="W47" i="22" s="1"/>
  <c r="T20" i="20"/>
  <c r="V20" i="20" s="1"/>
  <c r="X20" i="20" s="1"/>
  <c r="U20" i="20"/>
  <c r="W20" i="20" s="1"/>
  <c r="M38" i="19"/>
  <c r="S38" i="19"/>
  <c r="T13" i="19"/>
  <c r="V13" i="19" s="1"/>
  <c r="X13" i="19" s="1"/>
  <c r="U13" i="19"/>
  <c r="W13" i="19" s="1"/>
  <c r="L29" i="20"/>
  <c r="K29" i="20"/>
  <c r="S34" i="13"/>
  <c r="M34" i="13"/>
  <c r="K40" i="23"/>
  <c r="L40" i="23"/>
  <c r="W28" i="26"/>
  <c r="Y28" i="26" s="1"/>
  <c r="V28" i="26"/>
  <c r="X28" i="26" s="1"/>
  <c r="Z28" i="26" s="1"/>
  <c r="L31" i="16"/>
  <c r="K31" i="16"/>
  <c r="T10" i="16"/>
  <c r="V10" i="16" s="1"/>
  <c r="X10" i="16" s="1"/>
  <c r="U10" i="16"/>
  <c r="W10" i="16" s="1"/>
  <c r="S44" i="22"/>
  <c r="M44" i="22"/>
  <c r="T13" i="17"/>
  <c r="V13" i="17" s="1"/>
  <c r="X13" i="17" s="1"/>
  <c r="U13" i="17"/>
  <c r="W13" i="17" s="1"/>
  <c r="M28" i="25"/>
  <c r="U28" i="25"/>
  <c r="J48" i="25"/>
  <c r="J57" i="25"/>
  <c r="L45" i="25"/>
  <c r="K45" i="25"/>
  <c r="M34" i="25"/>
  <c r="U34" i="25"/>
  <c r="W10" i="26"/>
  <c r="Y10" i="26" s="1"/>
  <c r="V10" i="26"/>
  <c r="X10" i="26" s="1"/>
  <c r="Z10" i="26" s="1"/>
  <c r="W12" i="26"/>
  <c r="Y12" i="26" s="1"/>
  <c r="V12" i="26"/>
  <c r="X12" i="26" s="1"/>
  <c r="Z12" i="26" s="1"/>
  <c r="L36" i="17"/>
  <c r="K36" i="17"/>
  <c r="W25" i="26"/>
  <c r="Y25" i="26" s="1"/>
  <c r="V25" i="26"/>
  <c r="X25" i="26" s="1"/>
  <c r="Z25" i="26" s="1"/>
  <c r="W17" i="26"/>
  <c r="Y17" i="26" s="1"/>
  <c r="V17" i="26"/>
  <c r="X17" i="26" s="1"/>
  <c r="Z17" i="26" s="1"/>
  <c r="M32" i="16"/>
  <c r="S32" i="16"/>
  <c r="T12" i="22"/>
  <c r="V12" i="22" s="1"/>
  <c r="X12" i="22" s="1"/>
  <c r="U12" i="22"/>
  <c r="W12" i="22" s="1"/>
  <c r="M46" i="22"/>
  <c r="S46" i="22"/>
  <c r="T17" i="17"/>
  <c r="V17" i="17" s="1"/>
  <c r="X17" i="17" s="1"/>
  <c r="U17" i="17"/>
  <c r="W17" i="17" s="1"/>
  <c r="M12" i="17"/>
  <c r="S12" i="17"/>
  <c r="M31" i="19"/>
  <c r="S31" i="19"/>
  <c r="S22" i="16"/>
  <c r="M22" i="16"/>
  <c r="L39" i="16"/>
  <c r="K39" i="16"/>
  <c r="S11" i="17"/>
  <c r="M11" i="17"/>
  <c r="U41" i="22"/>
  <c r="W41" i="22" s="1"/>
  <c r="T41" i="22"/>
  <c r="V41" i="22" s="1"/>
  <c r="X41" i="22" s="1"/>
  <c r="M13" i="20"/>
  <c r="S13" i="20"/>
  <c r="S37" i="19"/>
  <c r="M37" i="19"/>
  <c r="K37" i="17"/>
  <c r="L37" i="17"/>
  <c r="K60" i="26"/>
  <c r="L60" i="26"/>
  <c r="S11" i="20"/>
  <c r="M11" i="20"/>
  <c r="S28" i="13"/>
  <c r="M28" i="13"/>
  <c r="M19" i="17"/>
  <c r="S19" i="17"/>
  <c r="L36" i="14"/>
  <c r="K36" i="14"/>
  <c r="L33" i="20"/>
  <c r="K33" i="20"/>
  <c r="W30" i="26"/>
  <c r="Y30" i="26" s="1"/>
  <c r="V30" i="26"/>
  <c r="X30" i="26" s="1"/>
  <c r="Z30" i="26" s="1"/>
  <c r="M45" i="26"/>
  <c r="U45" i="26"/>
  <c r="M25" i="25"/>
  <c r="U25" i="25"/>
  <c r="K60" i="25"/>
  <c r="L60" i="25"/>
  <c r="K29" i="17"/>
  <c r="L29" i="17"/>
  <c r="S23" i="23"/>
  <c r="M23" i="23"/>
  <c r="K47" i="26"/>
  <c r="L47" i="26"/>
  <c r="L28" i="16"/>
  <c r="K28" i="16"/>
  <c r="S28" i="14"/>
  <c r="M28" i="14"/>
  <c r="S13" i="22"/>
  <c r="M13" i="22"/>
  <c r="M38" i="14"/>
  <c r="S38" i="14"/>
  <c r="L32" i="22"/>
  <c r="K32" i="22"/>
  <c r="S16" i="20"/>
  <c r="M16" i="20"/>
  <c r="W23" i="26"/>
  <c r="Y23" i="26" s="1"/>
  <c r="V23" i="26"/>
  <c r="X23" i="26" s="1"/>
  <c r="Z23" i="26" s="1"/>
  <c r="W34" i="26"/>
  <c r="Y34" i="26" s="1"/>
  <c r="V34" i="26"/>
  <c r="X34" i="26" s="1"/>
  <c r="Z34" i="26" s="1"/>
  <c r="S19" i="14"/>
  <c r="M19" i="14"/>
  <c r="T11" i="13"/>
  <c r="V11" i="13" s="1"/>
  <c r="X11" i="13" s="1"/>
  <c r="U11" i="13"/>
  <c r="W11" i="13" s="1"/>
  <c r="M32" i="25"/>
  <c r="U32" i="25"/>
  <c r="L36" i="23"/>
  <c r="K36" i="23"/>
  <c r="K37" i="22"/>
  <c r="L37" i="22"/>
  <c r="M20" i="25"/>
  <c r="U20" i="25"/>
  <c r="K53" i="25"/>
  <c r="L53" i="25"/>
  <c r="T13" i="13"/>
  <c r="V13" i="13" s="1"/>
  <c r="X13" i="13" s="1"/>
  <c r="U13" i="13"/>
  <c r="W13" i="13" s="1"/>
  <c r="M10" i="25"/>
  <c r="U10" i="25"/>
  <c r="T20" i="14"/>
  <c r="V20" i="14" s="1"/>
  <c r="X20" i="14" s="1"/>
  <c r="U20" i="14"/>
  <c r="W20" i="14" s="1"/>
  <c r="L37" i="16"/>
  <c r="K37" i="16"/>
  <c r="K40" i="20"/>
  <c r="L40" i="20"/>
  <c r="K31" i="17"/>
  <c r="L31" i="17"/>
  <c r="U17" i="20"/>
  <c r="W17" i="20" s="1"/>
  <c r="T17" i="20"/>
  <c r="V17" i="20" s="1"/>
  <c r="X17" i="20" s="1"/>
  <c r="K40" i="22"/>
  <c r="L40" i="22"/>
  <c r="S43" i="22"/>
  <c r="U43" i="22" s="1"/>
  <c r="W43" i="22" s="1"/>
  <c r="T43" i="22"/>
  <c r="V43" i="22" s="1"/>
  <c r="X43" i="22" s="1"/>
  <c r="K35" i="23"/>
  <c r="L35" i="23"/>
  <c r="M37" i="13"/>
  <c r="S37" i="13"/>
  <c r="K26" i="23"/>
  <c r="L26" i="23"/>
  <c r="T18" i="20"/>
  <c r="V18" i="20" s="1"/>
  <c r="X18" i="20" s="1"/>
  <c r="U18" i="20"/>
  <c r="W18" i="20" s="1"/>
  <c r="J62" i="25"/>
  <c r="S39" i="14"/>
  <c r="M39" i="14"/>
  <c r="L61" i="26"/>
  <c r="K61" i="26"/>
  <c r="L24" i="25"/>
  <c r="K24" i="25"/>
  <c r="K37" i="14"/>
  <c r="L37" i="14"/>
  <c r="M30" i="25"/>
  <c r="U30" i="25"/>
  <c r="J43" i="23"/>
  <c r="J39" i="23"/>
  <c r="M40" i="17"/>
  <c r="S40" i="17"/>
  <c r="M12" i="16"/>
  <c r="S12" i="16"/>
  <c r="M22" i="25"/>
  <c r="U22" i="25"/>
  <c r="M22" i="23"/>
  <c r="S22" i="23"/>
  <c r="S31" i="20"/>
  <c r="M31" i="20"/>
  <c r="L51" i="25"/>
  <c r="K51" i="25"/>
  <c r="M15" i="26"/>
  <c r="U15" i="26"/>
  <c r="T17" i="22"/>
  <c r="V17" i="22" s="1"/>
  <c r="X17" i="22" s="1"/>
  <c r="U17" i="22"/>
  <c r="W17" i="22" s="1"/>
  <c r="M10" i="23"/>
  <c r="S10" i="23"/>
  <c r="S33" i="13"/>
  <c r="M33" i="13"/>
  <c r="U31" i="13"/>
  <c r="W31" i="13" s="1"/>
  <c r="T31" i="13"/>
  <c r="V31" i="13" s="1"/>
  <c r="X31" i="13" s="1"/>
  <c r="K44" i="23"/>
  <c r="L44" i="23"/>
  <c r="J46" i="23"/>
  <c r="K59" i="26"/>
  <c r="L59" i="26"/>
  <c r="W16" i="26"/>
  <c r="Y16" i="26" s="1"/>
  <c r="V16" i="26"/>
  <c r="X16" i="26" s="1"/>
  <c r="Z16" i="26" s="1"/>
  <c r="L52" i="25"/>
  <c r="K52" i="25"/>
  <c r="U32" i="13"/>
  <c r="W32" i="13" s="1"/>
  <c r="T32" i="13"/>
  <c r="V32" i="13" s="1"/>
  <c r="X32" i="13" s="1"/>
  <c r="T10" i="14"/>
  <c r="V10" i="14" s="1"/>
  <c r="X10" i="14" s="1"/>
  <c r="U10" i="14"/>
  <c r="W10" i="14" s="1"/>
  <c r="K30" i="16"/>
  <c r="L30" i="16"/>
  <c r="M18" i="14"/>
  <c r="S18" i="14"/>
  <c r="K43" i="26"/>
  <c r="L43" i="26"/>
  <c r="L32" i="17"/>
  <c r="K32" i="17"/>
  <c r="K53" i="26"/>
  <c r="L53" i="26"/>
  <c r="U18" i="17"/>
  <c r="W18" i="17" s="1"/>
  <c r="T18" i="17"/>
  <c r="V18" i="17" s="1"/>
  <c r="X18" i="17" s="1"/>
  <c r="T20" i="17"/>
  <c r="V20" i="17" s="1"/>
  <c r="X20" i="17" s="1"/>
  <c r="U20" i="17"/>
  <c r="W20" i="17" s="1"/>
  <c r="M17" i="23"/>
  <c r="S17" i="23"/>
  <c r="W20" i="26"/>
  <c r="Y20" i="26" s="1"/>
  <c r="V20" i="26"/>
  <c r="X20" i="26" s="1"/>
  <c r="Z20" i="26" s="1"/>
  <c r="T11" i="22"/>
  <c r="V11" i="22" s="1"/>
  <c r="X11" i="22" s="1"/>
  <c r="U11" i="22"/>
  <c r="W11" i="22" s="1"/>
  <c r="M13" i="23"/>
  <c r="S13" i="23"/>
  <c r="T16" i="17"/>
  <c r="V16" i="17" s="1"/>
  <c r="X16" i="17" s="1"/>
  <c r="U16" i="17"/>
  <c r="W16" i="17" s="1"/>
  <c r="S35" i="19"/>
  <c r="M35" i="19"/>
  <c r="M17" i="16"/>
  <c r="S17" i="16"/>
  <c r="K37" i="20"/>
  <c r="L37" i="20"/>
  <c r="L57" i="26"/>
  <c r="K57" i="26"/>
  <c r="U10" i="17"/>
  <c r="W10" i="17" s="1"/>
  <c r="T10" i="17"/>
  <c r="V10" i="17" s="1"/>
  <c r="X10" i="17" s="1"/>
  <c r="T20" i="22"/>
  <c r="V20" i="22" s="1"/>
  <c r="X20" i="22" s="1"/>
  <c r="U20" i="22"/>
  <c r="W20" i="22" s="1"/>
  <c r="M14" i="16"/>
  <c r="S14" i="16"/>
  <c r="S21" i="16"/>
  <c r="M21" i="16"/>
  <c r="K34" i="23"/>
  <c r="L34" i="23"/>
  <c r="L34" i="16"/>
  <c r="K34" i="16"/>
  <c r="L41" i="25"/>
  <c r="K41" i="25"/>
  <c r="W33" i="26"/>
  <c r="Y33" i="26" s="1"/>
  <c r="V33" i="26"/>
  <c r="X33" i="26" s="1"/>
  <c r="Z33" i="26" s="1"/>
  <c r="S38" i="16"/>
  <c r="M38" i="16"/>
  <c r="K33" i="14"/>
  <c r="L33" i="14"/>
  <c r="L39" i="17"/>
  <c r="K39" i="17"/>
  <c r="K19" i="23"/>
  <c r="L19" i="23"/>
  <c r="M19" i="23" s="1"/>
  <c r="S19" i="23" s="1"/>
  <c r="L46" i="26"/>
  <c r="K46" i="26"/>
  <c r="L32" i="20"/>
  <c r="K32" i="20"/>
  <c r="L50" i="25"/>
  <c r="K50" i="25"/>
  <c r="W13" i="26"/>
  <c r="Y13" i="26" s="1"/>
  <c r="V13" i="26"/>
  <c r="X13" i="26" s="1"/>
  <c r="Z13" i="26" s="1"/>
  <c r="L30" i="14"/>
  <c r="K30" i="14"/>
  <c r="J41" i="23"/>
  <c r="K56" i="26"/>
  <c r="L56" i="26"/>
  <c r="K40" i="14"/>
  <c r="L40" i="14"/>
  <c r="K62" i="26"/>
  <c r="L62" i="26"/>
  <c r="W18" i="26"/>
  <c r="Y18" i="26" s="1"/>
  <c r="V18" i="26"/>
  <c r="X18" i="26" s="1"/>
  <c r="Z18" i="26" s="1"/>
  <c r="L14" i="25"/>
  <c r="K14" i="25"/>
  <c r="T18" i="16"/>
  <c r="V18" i="16" s="1"/>
  <c r="X18" i="16" s="1"/>
  <c r="U18" i="16"/>
  <c r="W18" i="16" s="1"/>
  <c r="L35" i="17"/>
  <c r="K35" i="17"/>
  <c r="K58" i="26"/>
  <c r="L58" i="26"/>
  <c r="L15" i="25"/>
  <c r="K15" i="25"/>
  <c r="L33" i="17"/>
  <c r="K33" i="17"/>
  <c r="K35" i="16"/>
  <c r="L35" i="16"/>
  <c r="T21" i="20"/>
  <c r="V21" i="20" s="1"/>
  <c r="X21" i="20" s="1"/>
  <c r="U21" i="20"/>
  <c r="W21" i="20" s="1"/>
  <c r="K36" i="20"/>
  <c r="L36" i="20"/>
  <c r="L13" i="25"/>
  <c r="K13" i="25"/>
  <c r="T12" i="20"/>
  <c r="V12" i="20" s="1"/>
  <c r="X12" i="20" s="1"/>
  <c r="U12" i="20"/>
  <c r="W12" i="20" s="1"/>
  <c r="M17" i="25"/>
  <c r="U17" i="25"/>
  <c r="S30" i="17"/>
  <c r="M30" i="17"/>
  <c r="K49" i="25"/>
  <c r="L49" i="25"/>
  <c r="M14" i="26"/>
  <c r="U14" i="26"/>
  <c r="L34" i="20"/>
  <c r="K34" i="20"/>
  <c r="K49" i="26"/>
  <c r="L49" i="26"/>
  <c r="L24" i="23"/>
  <c r="K24" i="23"/>
  <c r="K38" i="20"/>
  <c r="L38" i="20"/>
  <c r="L15" i="23"/>
  <c r="K15" i="23"/>
  <c r="S39" i="20"/>
  <c r="M39" i="20"/>
  <c r="U19" i="22"/>
  <c r="W19" i="22" s="1"/>
  <c r="T19" i="22"/>
  <c r="V19" i="22" s="1"/>
  <c r="X19" i="22" s="1"/>
  <c r="U22" i="14"/>
  <c r="W22" i="14" s="1"/>
  <c r="T22" i="14"/>
  <c r="V22" i="14" s="1"/>
  <c r="X22" i="14" s="1"/>
  <c r="L32" i="14"/>
  <c r="K32" i="14"/>
  <c r="M54" i="26"/>
  <c r="U54" i="26"/>
  <c r="T12" i="13"/>
  <c r="V12" i="13" s="1"/>
  <c r="X12" i="13" s="1"/>
  <c r="U12" i="13"/>
  <c r="W12" i="13" s="1"/>
  <c r="S21" i="23"/>
  <c r="U21" i="23" s="1"/>
  <c r="W21" i="23" s="1"/>
  <c r="T21" i="23"/>
  <c r="V21" i="23" s="1"/>
  <c r="X21" i="23" s="1"/>
  <c r="S34" i="22"/>
  <c r="M34" i="22"/>
  <c r="S20" i="23"/>
  <c r="M20" i="23"/>
  <c r="S15" i="20"/>
  <c r="M15" i="20"/>
  <c r="S30" i="20"/>
  <c r="M30" i="20"/>
  <c r="K29" i="14"/>
  <c r="L29" i="14"/>
  <c r="T14" i="19"/>
  <c r="V14" i="19" s="1"/>
  <c r="X14" i="19" s="1"/>
  <c r="U14" i="19"/>
  <c r="W14" i="19" s="1"/>
  <c r="S22" i="20"/>
  <c r="M22" i="20"/>
  <c r="L42" i="25"/>
  <c r="K42" i="25"/>
  <c r="M51" i="26"/>
  <c r="U51" i="26"/>
  <c r="L40" i="26"/>
  <c r="K40" i="26"/>
  <c r="W21" i="26"/>
  <c r="Y21" i="26" s="1"/>
  <c r="V21" i="26"/>
  <c r="X21" i="26" s="1"/>
  <c r="Z21" i="26" s="1"/>
  <c r="T17" i="14"/>
  <c r="V17" i="14" s="1"/>
  <c r="X17" i="14" s="1"/>
  <c r="U17" i="14"/>
  <c r="W17" i="14" s="1"/>
  <c r="T40" i="13"/>
  <c r="V40" i="13" s="1"/>
  <c r="X40" i="13" s="1"/>
  <c r="U40" i="13"/>
  <c r="W40" i="13" s="1"/>
  <c r="T33" i="19"/>
  <c r="V33" i="19" s="1"/>
  <c r="X33" i="19" s="1"/>
  <c r="U33" i="19"/>
  <c r="W33" i="19" s="1"/>
  <c r="M16" i="25"/>
  <c r="U16" i="25"/>
  <c r="T30" i="19"/>
  <c r="V30" i="19" s="1"/>
  <c r="X30" i="19" s="1"/>
  <c r="U30" i="19"/>
  <c r="W30" i="19" s="1"/>
  <c r="K34" i="14"/>
  <c r="L34" i="14"/>
  <c r="M24" i="26"/>
  <c r="U24" i="26"/>
  <c r="T22" i="22"/>
  <c r="V22" i="22" s="1"/>
  <c r="X22" i="22" s="1"/>
  <c r="U22" i="22"/>
  <c r="W22" i="22" s="1"/>
  <c r="M16" i="14"/>
  <c r="S16" i="14"/>
  <c r="M16" i="16"/>
  <c r="S16" i="16"/>
  <c r="M15" i="16"/>
  <c r="S15" i="16"/>
  <c r="M14" i="17"/>
  <c r="S14" i="17"/>
  <c r="L11" i="23"/>
  <c r="K11" i="23"/>
  <c r="K39" i="26"/>
  <c r="L39" i="26"/>
  <c r="T15" i="17"/>
  <c r="V15" i="17" s="1"/>
  <c r="X15" i="17" s="1"/>
  <c r="U15" i="17"/>
  <c r="W15" i="17" s="1"/>
  <c r="S27" i="23"/>
  <c r="M27" i="23"/>
  <c r="W19" i="26"/>
  <c r="Y19" i="26" s="1"/>
  <c r="V19" i="26"/>
  <c r="X19" i="26" s="1"/>
  <c r="Z19" i="26" s="1"/>
  <c r="M14" i="14"/>
  <c r="S14" i="14"/>
  <c r="S39" i="22"/>
  <c r="M39" i="22"/>
  <c r="M27" i="25"/>
  <c r="U27" i="25"/>
  <c r="U18" i="22"/>
  <c r="W18" i="22" s="1"/>
  <c r="T18" i="22"/>
  <c r="V18" i="22" s="1"/>
  <c r="X18" i="22" s="1"/>
  <c r="M36" i="19"/>
  <c r="S36" i="19"/>
  <c r="J47" i="23"/>
  <c r="J37" i="23"/>
  <c r="J33" i="23"/>
  <c r="T23" i="22"/>
  <c r="V23" i="22" s="1"/>
  <c r="X23" i="22" s="1"/>
  <c r="U23" i="22"/>
  <c r="W23" i="22" s="1"/>
  <c r="S14" i="20"/>
  <c r="M14" i="20"/>
  <c r="M21" i="14"/>
  <c r="S21" i="14"/>
  <c r="S42" i="22"/>
  <c r="M42" i="22"/>
  <c r="M21" i="25"/>
  <c r="U21" i="25"/>
  <c r="S19" i="20"/>
  <c r="M19" i="20"/>
  <c r="L19" i="25"/>
  <c r="K19" i="25"/>
  <c r="J54" i="25"/>
  <c r="J43" i="25"/>
  <c r="J59" i="25"/>
  <c r="J58" i="25"/>
  <c r="T14" i="22"/>
  <c r="V14" i="22" s="1"/>
  <c r="X14" i="22" s="1"/>
  <c r="U14" i="22"/>
  <c r="W14" i="22" s="1"/>
  <c r="S41" i="19"/>
  <c r="M41" i="19"/>
  <c r="M41" i="26"/>
  <c r="U41" i="26"/>
  <c r="T10" i="20"/>
  <c r="V10" i="20" s="1"/>
  <c r="X10" i="20" s="1"/>
  <c r="U10" i="20"/>
  <c r="W10" i="20" s="1"/>
  <c r="K42" i="26"/>
  <c r="L42" i="26"/>
  <c r="U20" i="16"/>
  <c r="W20" i="16" s="1"/>
  <c r="T20" i="16"/>
  <c r="V20" i="16" s="1"/>
  <c r="X20" i="16" s="1"/>
  <c r="S11" i="16"/>
  <c r="M11" i="16"/>
  <c r="W26" i="26"/>
  <c r="Y26" i="26" s="1"/>
  <c r="V26" i="26"/>
  <c r="X26" i="26" s="1"/>
  <c r="Z26" i="26" s="1"/>
  <c r="U55" i="26"/>
  <c r="M55" i="26"/>
  <c r="T26" i="22"/>
  <c r="V26" i="22" s="1"/>
  <c r="X26" i="22" s="1"/>
  <c r="U26" i="22"/>
  <c r="W26" i="22" s="1"/>
  <c r="S45" i="22"/>
  <c r="M45" i="22"/>
  <c r="M26" i="25"/>
  <c r="U26" i="25"/>
  <c r="M15" i="14"/>
  <c r="S15" i="14"/>
  <c r="U50" i="26"/>
  <c r="M50" i="26"/>
  <c r="M22" i="17"/>
  <c r="S22" i="17"/>
  <c r="T27" i="22"/>
  <c r="V27" i="22" s="1"/>
  <c r="X27" i="22" s="1"/>
  <c r="U27" i="22"/>
  <c r="W27" i="22" s="1"/>
  <c r="M39" i="13"/>
  <c r="S39" i="13"/>
  <c r="W29" i="26"/>
  <c r="Y29" i="26" s="1"/>
  <c r="V29" i="26"/>
  <c r="X29" i="26" s="1"/>
  <c r="Z29" i="26" s="1"/>
  <c r="M29" i="25"/>
  <c r="U29" i="25"/>
  <c r="K48" i="26"/>
  <c r="L48" i="26"/>
  <c r="S11" i="14"/>
  <c r="M11" i="14"/>
  <c r="M23" i="25"/>
  <c r="U23" i="25"/>
  <c r="U29" i="19"/>
  <c r="W29" i="19" s="1"/>
  <c r="T29" i="19"/>
  <c r="V29" i="19" s="1"/>
  <c r="X29" i="19" s="1"/>
  <c r="L33" i="16"/>
  <c r="K33" i="16"/>
  <c r="W27" i="26"/>
  <c r="Y27" i="26" s="1"/>
  <c r="V27" i="26"/>
  <c r="X27" i="26" s="1"/>
  <c r="Z27" i="26" s="1"/>
  <c r="L41" i="20"/>
  <c r="K41" i="20"/>
  <c r="M14" i="23"/>
  <c r="S14" i="23"/>
  <c r="S21" i="17"/>
  <c r="M21" i="17"/>
  <c r="S23" i="14"/>
  <c r="M23" i="14"/>
  <c r="U16" i="13"/>
  <c r="W16" i="13" s="1"/>
  <c r="T16" i="13"/>
  <c r="V16" i="13" s="1"/>
  <c r="X16" i="13" s="1"/>
  <c r="S12" i="23"/>
  <c r="M12" i="23"/>
  <c r="M11" i="25"/>
  <c r="U11" i="25"/>
  <c r="J38" i="23"/>
  <c r="J32" i="23"/>
  <c r="W31" i="26"/>
  <c r="Y31" i="26" s="1"/>
  <c r="V31" i="26"/>
  <c r="X31" i="26" s="1"/>
  <c r="Z31" i="26" s="1"/>
  <c r="K36" i="22"/>
  <c r="L36" i="22"/>
  <c r="U19" i="16"/>
  <c r="W19" i="16" s="1"/>
  <c r="T19" i="16"/>
  <c r="V19" i="16" s="1"/>
  <c r="X19" i="16" s="1"/>
  <c r="M33" i="25"/>
  <c r="U33" i="25"/>
  <c r="J47" i="25"/>
  <c r="J44" i="25"/>
  <c r="J39" i="25"/>
  <c r="J61" i="25"/>
  <c r="K41" i="17"/>
  <c r="L41" i="17"/>
  <c r="U13" i="14"/>
  <c r="W13" i="14" s="1"/>
  <c r="T13" i="14"/>
  <c r="V13" i="14" s="1"/>
  <c r="X13" i="14" s="1"/>
  <c r="W11" i="26"/>
  <c r="Y11" i="26" s="1"/>
  <c r="V11" i="26"/>
  <c r="X11" i="26" s="1"/>
  <c r="Z11" i="26" s="1"/>
  <c r="K44" i="26"/>
  <c r="L44" i="26"/>
  <c r="T13" i="16"/>
  <c r="V13" i="16" s="1"/>
  <c r="X13" i="16" s="1"/>
  <c r="U13" i="16"/>
  <c r="W13" i="16" s="1"/>
  <c r="M39" i="19"/>
  <c r="S39" i="19"/>
  <c r="S40" i="19"/>
  <c r="M40" i="19"/>
  <c r="K35" i="22"/>
  <c r="L35" i="22"/>
  <c r="T23" i="17"/>
  <c r="V23" i="17" s="1"/>
  <c r="X23" i="17" s="1"/>
  <c r="U23" i="17"/>
  <c r="W23" i="17" s="1"/>
  <c r="S34" i="19"/>
  <c r="M34" i="19"/>
  <c r="L52" i="26"/>
  <c r="K52" i="26"/>
  <c r="S41" i="14"/>
  <c r="M41" i="14"/>
  <c r="S32" i="19"/>
  <c r="M32" i="19"/>
  <c r="U21" i="29"/>
  <c r="K63" i="29"/>
  <c r="L63" i="28"/>
  <c r="M63" i="28" s="1"/>
  <c r="K64" i="28"/>
  <c r="U64" i="28" s="1"/>
  <c r="K62" i="29"/>
  <c r="K42" i="29"/>
  <c r="K43" i="29"/>
  <c r="K64" i="29"/>
  <c r="L64" i="29"/>
  <c r="V35" i="29"/>
  <c r="X35" i="29" s="1"/>
  <c r="Z35" i="29" s="1"/>
  <c r="W35" i="29"/>
  <c r="Y35" i="29" s="1"/>
  <c r="W34" i="29"/>
  <c r="Y34" i="29" s="1"/>
  <c r="V34" i="29"/>
  <c r="X34" i="29" s="1"/>
  <c r="Z34" i="29" s="1"/>
  <c r="M63" i="29"/>
  <c r="U63" i="29"/>
  <c r="L46" i="28"/>
  <c r="U46" i="28" s="1"/>
  <c r="K48" i="29"/>
  <c r="L47" i="29"/>
  <c r="M47" i="29" s="1"/>
  <c r="K45" i="29"/>
  <c r="K55" i="28"/>
  <c r="L54" i="28"/>
  <c r="U54" i="28" s="1"/>
  <c r="K48" i="28"/>
  <c r="W35" i="28"/>
  <c r="Y35" i="28" s="1"/>
  <c r="V35" i="28"/>
  <c r="X35" i="28" s="1"/>
  <c r="Z35" i="28" s="1"/>
  <c r="W34" i="28"/>
  <c r="Y34" i="28" s="1"/>
  <c r="V34" i="28"/>
  <c r="X34" i="28" s="1"/>
  <c r="Z34" i="28" s="1"/>
  <c r="M64" i="28"/>
  <c r="L61" i="29"/>
  <c r="U61" i="29" s="1"/>
  <c r="L47" i="28"/>
  <c r="M47" i="28" s="1"/>
  <c r="L53" i="28"/>
  <c r="M53" i="28" s="1"/>
  <c r="L40" i="28"/>
  <c r="M40" i="28" s="1"/>
  <c r="L49" i="28"/>
  <c r="M49" i="28" s="1"/>
  <c r="K61" i="28"/>
  <c r="L58" i="28"/>
  <c r="M58" i="28" s="1"/>
  <c r="L51" i="28"/>
  <c r="U51" i="28" s="1"/>
  <c r="L42" i="28"/>
  <c r="M42" i="28" s="1"/>
  <c r="M24" i="29"/>
  <c r="U24" i="29"/>
  <c r="M14" i="29"/>
  <c r="U14" i="29"/>
  <c r="M17" i="29"/>
  <c r="U17" i="29"/>
  <c r="W16" i="29"/>
  <c r="Y16" i="29" s="1"/>
  <c r="V16" i="29"/>
  <c r="X16" i="29" s="1"/>
  <c r="Z16" i="29" s="1"/>
  <c r="W26" i="29"/>
  <c r="Y26" i="29" s="1"/>
  <c r="V26" i="29"/>
  <c r="X26" i="29" s="1"/>
  <c r="Z26" i="29" s="1"/>
  <c r="W28" i="29"/>
  <c r="Y28" i="29" s="1"/>
  <c r="V28" i="29"/>
  <c r="X28" i="29" s="1"/>
  <c r="Z28" i="29" s="1"/>
  <c r="K50" i="29"/>
  <c r="L50" i="29"/>
  <c r="W15" i="29"/>
  <c r="Y15" i="29" s="1"/>
  <c r="V15" i="29"/>
  <c r="X15" i="29" s="1"/>
  <c r="Z15" i="29" s="1"/>
  <c r="W12" i="29"/>
  <c r="Y12" i="29" s="1"/>
  <c r="V12" i="29"/>
  <c r="X12" i="29" s="1"/>
  <c r="Z12" i="29" s="1"/>
  <c r="W25" i="29"/>
  <c r="Y25" i="29" s="1"/>
  <c r="V25" i="29"/>
  <c r="X25" i="29" s="1"/>
  <c r="Z25" i="29" s="1"/>
  <c r="L52" i="29"/>
  <c r="K52" i="29"/>
  <c r="W10" i="29"/>
  <c r="Y10" i="29" s="1"/>
  <c r="V10" i="29"/>
  <c r="X10" i="29" s="1"/>
  <c r="Z10" i="29" s="1"/>
  <c r="K58" i="29"/>
  <c r="L58" i="29"/>
  <c r="M48" i="29"/>
  <c r="U48" i="29"/>
  <c r="M13" i="29"/>
  <c r="U13" i="29"/>
  <c r="M42" i="29"/>
  <c r="U42" i="29"/>
  <c r="L60" i="29"/>
  <c r="K60" i="29"/>
  <c r="M19" i="29"/>
  <c r="U19" i="29"/>
  <c r="M43" i="29"/>
  <c r="U43" i="29"/>
  <c r="L44" i="29"/>
  <c r="K44" i="29"/>
  <c r="W23" i="29"/>
  <c r="Y23" i="29" s="1"/>
  <c r="V23" i="29"/>
  <c r="X23" i="29" s="1"/>
  <c r="Z23" i="29" s="1"/>
  <c r="W21" i="29"/>
  <c r="Y21" i="29" s="1"/>
  <c r="V21" i="29"/>
  <c r="X21" i="29" s="1"/>
  <c r="Z21" i="29" s="1"/>
  <c r="L57" i="29"/>
  <c r="K57" i="29"/>
  <c r="W18" i="29"/>
  <c r="Y18" i="29" s="1"/>
  <c r="V18" i="29"/>
  <c r="X18" i="29" s="1"/>
  <c r="Z18" i="29" s="1"/>
  <c r="W22" i="29"/>
  <c r="Y22" i="29" s="1"/>
  <c r="V22" i="29"/>
  <c r="X22" i="29" s="1"/>
  <c r="Z22" i="29" s="1"/>
  <c r="W32" i="29"/>
  <c r="Y32" i="29" s="1"/>
  <c r="V32" i="29"/>
  <c r="X32" i="29" s="1"/>
  <c r="Z32" i="29" s="1"/>
  <c r="W29" i="29"/>
  <c r="Y29" i="29" s="1"/>
  <c r="V29" i="29"/>
  <c r="X29" i="29" s="1"/>
  <c r="Z29" i="29" s="1"/>
  <c r="M46" i="29"/>
  <c r="U46" i="29"/>
  <c r="L56" i="29"/>
  <c r="K56" i="29"/>
  <c r="M53" i="29"/>
  <c r="U53" i="29"/>
  <c r="W27" i="29"/>
  <c r="Y27" i="29" s="1"/>
  <c r="V27" i="29"/>
  <c r="X27" i="29" s="1"/>
  <c r="Z27" i="29" s="1"/>
  <c r="W20" i="29"/>
  <c r="Y20" i="29" s="1"/>
  <c r="V20" i="29"/>
  <c r="X20" i="29" s="1"/>
  <c r="Z20" i="29" s="1"/>
  <c r="W33" i="29"/>
  <c r="Y33" i="29" s="1"/>
  <c r="V33" i="29"/>
  <c r="X33" i="29" s="1"/>
  <c r="Z33" i="29" s="1"/>
  <c r="M62" i="29"/>
  <c r="U62" i="29"/>
  <c r="L49" i="29"/>
  <c r="K49" i="29"/>
  <c r="W30" i="29"/>
  <c r="Y30" i="29" s="1"/>
  <c r="V30" i="29"/>
  <c r="X30" i="29" s="1"/>
  <c r="Z30" i="29" s="1"/>
  <c r="L55" i="29"/>
  <c r="K55" i="29"/>
  <c r="M45" i="29"/>
  <c r="U45" i="29"/>
  <c r="M11" i="29"/>
  <c r="U11" i="29"/>
  <c r="L59" i="29"/>
  <c r="K59" i="29"/>
  <c r="K41" i="29"/>
  <c r="L41" i="29"/>
  <c r="L40" i="29"/>
  <c r="K40" i="29"/>
  <c r="M51" i="29"/>
  <c r="U51" i="29"/>
  <c r="W31" i="29"/>
  <c r="Y31" i="29" s="1"/>
  <c r="V31" i="29"/>
  <c r="X31" i="29" s="1"/>
  <c r="Z31" i="29" s="1"/>
  <c r="K54" i="29"/>
  <c r="L54" i="29"/>
  <c r="L57" i="28"/>
  <c r="K57" i="28"/>
  <c r="W20" i="28"/>
  <c r="Y20" i="28" s="1"/>
  <c r="V20" i="28"/>
  <c r="X20" i="28" s="1"/>
  <c r="Z20" i="28" s="1"/>
  <c r="L43" i="28"/>
  <c r="K43" i="28"/>
  <c r="M17" i="28"/>
  <c r="U17" i="28"/>
  <c r="W14" i="28"/>
  <c r="Y14" i="28" s="1"/>
  <c r="V14" i="28"/>
  <c r="X14" i="28" s="1"/>
  <c r="Z14" i="28" s="1"/>
  <c r="W18" i="28"/>
  <c r="Y18" i="28" s="1"/>
  <c r="V18" i="28"/>
  <c r="X18" i="28" s="1"/>
  <c r="Z18" i="28" s="1"/>
  <c r="L52" i="28"/>
  <c r="K52" i="28"/>
  <c r="W25" i="28"/>
  <c r="Y25" i="28" s="1"/>
  <c r="V25" i="28"/>
  <c r="X25" i="28" s="1"/>
  <c r="Z25" i="28" s="1"/>
  <c r="L60" i="28"/>
  <c r="K60" i="28"/>
  <c r="M61" i="28"/>
  <c r="U61" i="28"/>
  <c r="L56" i="28"/>
  <c r="K56" i="28"/>
  <c r="M19" i="28"/>
  <c r="U19" i="28"/>
  <c r="W10" i="28"/>
  <c r="Y10" i="28" s="1"/>
  <c r="V10" i="28"/>
  <c r="X10" i="28" s="1"/>
  <c r="Z10" i="28" s="1"/>
  <c r="L44" i="28"/>
  <c r="K44" i="28"/>
  <c r="L41" i="28"/>
  <c r="K41" i="28"/>
  <c r="W28" i="28"/>
  <c r="Y28" i="28" s="1"/>
  <c r="V28" i="28"/>
  <c r="X28" i="28" s="1"/>
  <c r="Z28" i="28" s="1"/>
  <c r="W16" i="28"/>
  <c r="Y16" i="28" s="1"/>
  <c r="V16" i="28"/>
  <c r="X16" i="28" s="1"/>
  <c r="Z16" i="28" s="1"/>
  <c r="W15" i="28"/>
  <c r="Y15" i="28" s="1"/>
  <c r="V15" i="28"/>
  <c r="X15" i="28" s="1"/>
  <c r="Z15" i="28" s="1"/>
  <c r="W30" i="28"/>
  <c r="Y30" i="28" s="1"/>
  <c r="V30" i="28"/>
  <c r="X30" i="28" s="1"/>
  <c r="Z30" i="28" s="1"/>
  <c r="M11" i="28"/>
  <c r="U11" i="28"/>
  <c r="M31" i="28"/>
  <c r="U31" i="28"/>
  <c r="M24" i="28"/>
  <c r="U24" i="28"/>
  <c r="L59" i="28"/>
  <c r="K59" i="28"/>
  <c r="W23" i="28"/>
  <c r="Y23" i="28" s="1"/>
  <c r="V23" i="28"/>
  <c r="X23" i="28" s="1"/>
  <c r="Z23" i="28" s="1"/>
  <c r="W12" i="28"/>
  <c r="Y12" i="28" s="1"/>
  <c r="V12" i="28"/>
  <c r="X12" i="28" s="1"/>
  <c r="Z12" i="28" s="1"/>
  <c r="W29" i="28"/>
  <c r="Y29" i="28" s="1"/>
  <c r="V29" i="28"/>
  <c r="X29" i="28" s="1"/>
  <c r="Z29" i="28" s="1"/>
  <c r="M55" i="28"/>
  <c r="U55" i="28"/>
  <c r="W27" i="28"/>
  <c r="Y27" i="28" s="1"/>
  <c r="V27" i="28"/>
  <c r="X27" i="28" s="1"/>
  <c r="Z27" i="28" s="1"/>
  <c r="W26" i="28"/>
  <c r="Y26" i="28" s="1"/>
  <c r="V26" i="28"/>
  <c r="X26" i="28" s="1"/>
  <c r="Z26" i="28" s="1"/>
  <c r="W32" i="28"/>
  <c r="Y32" i="28" s="1"/>
  <c r="V32" i="28"/>
  <c r="X32" i="28" s="1"/>
  <c r="Z32" i="28" s="1"/>
  <c r="W21" i="28"/>
  <c r="Y21" i="28" s="1"/>
  <c r="V21" i="28"/>
  <c r="X21" i="28" s="1"/>
  <c r="Z21" i="28" s="1"/>
  <c r="W33" i="28"/>
  <c r="Y33" i="28" s="1"/>
  <c r="V33" i="28"/>
  <c r="X33" i="28" s="1"/>
  <c r="Z33" i="28" s="1"/>
  <c r="M48" i="28"/>
  <c r="U48" i="28"/>
  <c r="W22" i="28"/>
  <c r="Y22" i="28" s="1"/>
  <c r="V22" i="28"/>
  <c r="X22" i="28" s="1"/>
  <c r="Z22" i="28" s="1"/>
  <c r="K50" i="28"/>
  <c r="L50" i="28"/>
  <c r="L45" i="28"/>
  <c r="K45" i="28"/>
  <c r="K62" i="28"/>
  <c r="L62" i="28"/>
  <c r="M13" i="28"/>
  <c r="U13" i="28"/>
  <c r="V36" i="34" l="1"/>
  <c r="X36" i="34" s="1"/>
  <c r="Z36" i="34" s="1"/>
  <c r="W41" i="34"/>
  <c r="Y41" i="34" s="1"/>
  <c r="W44" i="35"/>
  <c r="Y44" i="35" s="1"/>
  <c r="V44" i="35"/>
  <c r="X44" i="35" s="1"/>
  <c r="Z44" i="35" s="1"/>
  <c r="W45" i="35"/>
  <c r="Y45" i="35" s="1"/>
  <c r="V45" i="35"/>
  <c r="X45" i="35" s="1"/>
  <c r="Z45" i="35" s="1"/>
  <c r="W46" i="35"/>
  <c r="Y46" i="35" s="1"/>
  <c r="V46" i="35"/>
  <c r="X46" i="35" s="1"/>
  <c r="Z46" i="35" s="1"/>
  <c r="W47" i="35"/>
  <c r="Y47" i="35" s="1"/>
  <c r="V47" i="35"/>
  <c r="X47" i="35" s="1"/>
  <c r="Z47" i="35" s="1"/>
  <c r="W45" i="34"/>
  <c r="Y45" i="34" s="1"/>
  <c r="V45" i="34"/>
  <c r="X45" i="34" s="1"/>
  <c r="Z45" i="34" s="1"/>
  <c r="W44" i="34"/>
  <c r="Y44" i="34" s="1"/>
  <c r="V44" i="34"/>
  <c r="X44" i="34" s="1"/>
  <c r="Z44" i="34" s="1"/>
  <c r="W46" i="34"/>
  <c r="Y46" i="34" s="1"/>
  <c r="V46" i="34"/>
  <c r="X46" i="34" s="1"/>
  <c r="Z46" i="34" s="1"/>
  <c r="V47" i="34"/>
  <c r="X47" i="34" s="1"/>
  <c r="Z47" i="34" s="1"/>
  <c r="W47" i="34"/>
  <c r="Y47" i="34" s="1"/>
  <c r="W42" i="35"/>
  <c r="Y42" i="35" s="1"/>
  <c r="V42" i="35"/>
  <c r="X42" i="35" s="1"/>
  <c r="Z42" i="35" s="1"/>
  <c r="W43" i="35"/>
  <c r="Y43" i="35" s="1"/>
  <c r="V43" i="35"/>
  <c r="X43" i="35" s="1"/>
  <c r="Z43" i="35" s="1"/>
  <c r="W38" i="35"/>
  <c r="Y38" i="35" s="1"/>
  <c r="V38" i="35"/>
  <c r="X38" i="35" s="1"/>
  <c r="Z38" i="35" s="1"/>
  <c r="W40" i="35"/>
  <c r="Y40" i="35" s="1"/>
  <c r="V40" i="35"/>
  <c r="X40" i="35" s="1"/>
  <c r="Z40" i="35" s="1"/>
  <c r="W32" i="35"/>
  <c r="Y32" i="35" s="1"/>
  <c r="V32" i="35"/>
  <c r="X32" i="35" s="1"/>
  <c r="Z32" i="35" s="1"/>
  <c r="W33" i="34"/>
  <c r="Y33" i="34" s="1"/>
  <c r="V33" i="34"/>
  <c r="X33" i="34" s="1"/>
  <c r="Z33" i="34" s="1"/>
  <c r="W34" i="34"/>
  <c r="Y34" i="34" s="1"/>
  <c r="V34" i="34"/>
  <c r="X34" i="34" s="1"/>
  <c r="Z34" i="34" s="1"/>
  <c r="W37" i="34"/>
  <c r="Y37" i="34" s="1"/>
  <c r="V37" i="34"/>
  <c r="X37" i="34" s="1"/>
  <c r="Z37" i="34" s="1"/>
  <c r="W31" i="34"/>
  <c r="Y31" i="34" s="1"/>
  <c r="V31" i="34"/>
  <c r="X31" i="34" s="1"/>
  <c r="Z31" i="34" s="1"/>
  <c r="W42" i="34"/>
  <c r="Y42" i="34" s="1"/>
  <c r="V42" i="34"/>
  <c r="X42" i="34" s="1"/>
  <c r="Z42" i="34" s="1"/>
  <c r="W38" i="34"/>
  <c r="Y38" i="34" s="1"/>
  <c r="V38" i="34"/>
  <c r="X38" i="34" s="1"/>
  <c r="Z38" i="34" s="1"/>
  <c r="M34" i="31"/>
  <c r="M12" i="32"/>
  <c r="U12" i="32"/>
  <c r="K35" i="32"/>
  <c r="L35" i="32"/>
  <c r="W14" i="32"/>
  <c r="Y14" i="32" s="1"/>
  <c r="V14" i="32"/>
  <c r="X14" i="32" s="1"/>
  <c r="Z14" i="32" s="1"/>
  <c r="W10" i="32"/>
  <c r="Y10" i="32" s="1"/>
  <c r="V10" i="32"/>
  <c r="X10" i="32" s="1"/>
  <c r="Z10" i="32" s="1"/>
  <c r="L42" i="32"/>
  <c r="K42" i="32"/>
  <c r="M30" i="32"/>
  <c r="U30" i="32"/>
  <c r="W18" i="32"/>
  <c r="Y18" i="32" s="1"/>
  <c r="V18" i="32"/>
  <c r="X18" i="32" s="1"/>
  <c r="Z18" i="32" s="1"/>
  <c r="M43" i="32"/>
  <c r="U43" i="32"/>
  <c r="M34" i="32"/>
  <c r="U34" i="32"/>
  <c r="W19" i="32"/>
  <c r="Y19" i="32" s="1"/>
  <c r="V19" i="32"/>
  <c r="X19" i="32" s="1"/>
  <c r="Z19" i="32" s="1"/>
  <c r="M40" i="32"/>
  <c r="U40" i="32"/>
  <c r="L37" i="32"/>
  <c r="K37" i="32"/>
  <c r="M33" i="32"/>
  <c r="U33" i="32"/>
  <c r="M21" i="32"/>
  <c r="U21" i="32"/>
  <c r="L29" i="32"/>
  <c r="K29" i="32"/>
  <c r="W13" i="32"/>
  <c r="Y13" i="32" s="1"/>
  <c r="V13" i="32"/>
  <c r="X13" i="32" s="1"/>
  <c r="Z13" i="32" s="1"/>
  <c r="M41" i="32"/>
  <c r="U41" i="32"/>
  <c r="W20" i="32"/>
  <c r="Y20" i="32" s="1"/>
  <c r="V20" i="32"/>
  <c r="X20" i="32" s="1"/>
  <c r="Z20" i="32" s="1"/>
  <c r="W15" i="32"/>
  <c r="Y15" i="32" s="1"/>
  <c r="V15" i="32"/>
  <c r="X15" i="32" s="1"/>
  <c r="Z15" i="32" s="1"/>
  <c r="K36" i="32"/>
  <c r="L36" i="32"/>
  <c r="W23" i="32"/>
  <c r="Y23" i="32" s="1"/>
  <c r="V23" i="32"/>
  <c r="X23" i="32" s="1"/>
  <c r="Z23" i="32" s="1"/>
  <c r="M17" i="32"/>
  <c r="U17" i="32"/>
  <c r="W16" i="32"/>
  <c r="Y16" i="32" s="1"/>
  <c r="V16" i="32"/>
  <c r="X16" i="32" s="1"/>
  <c r="Z16" i="32" s="1"/>
  <c r="M11" i="32"/>
  <c r="U11" i="32"/>
  <c r="L32" i="32"/>
  <c r="K32" i="32"/>
  <c r="L31" i="32"/>
  <c r="K31" i="32"/>
  <c r="W22" i="32"/>
  <c r="Y22" i="32" s="1"/>
  <c r="V22" i="32"/>
  <c r="X22" i="32" s="1"/>
  <c r="Z22" i="32" s="1"/>
  <c r="M38" i="32"/>
  <c r="U38" i="32"/>
  <c r="W24" i="32"/>
  <c r="Y24" i="32" s="1"/>
  <c r="V24" i="32"/>
  <c r="X24" i="32" s="1"/>
  <c r="Z24" i="32" s="1"/>
  <c r="M39" i="32"/>
  <c r="U39" i="32"/>
  <c r="W34" i="31"/>
  <c r="Y34" i="31" s="1"/>
  <c r="V34" i="31"/>
  <c r="X34" i="31" s="1"/>
  <c r="Z34" i="31" s="1"/>
  <c r="M39" i="31"/>
  <c r="U39" i="31"/>
  <c r="W43" i="31"/>
  <c r="Y43" i="31" s="1"/>
  <c r="V43" i="31"/>
  <c r="X43" i="31" s="1"/>
  <c r="Z43" i="31" s="1"/>
  <c r="W11" i="31"/>
  <c r="Y11" i="31" s="1"/>
  <c r="V11" i="31"/>
  <c r="X11" i="31" s="1"/>
  <c r="Z11" i="31" s="1"/>
  <c r="W33" i="31"/>
  <c r="Y33" i="31" s="1"/>
  <c r="V33" i="31"/>
  <c r="X33" i="31" s="1"/>
  <c r="Z33" i="31" s="1"/>
  <c r="W12" i="31"/>
  <c r="Y12" i="31" s="1"/>
  <c r="V12" i="31"/>
  <c r="X12" i="31" s="1"/>
  <c r="Z12" i="31" s="1"/>
  <c r="M32" i="31"/>
  <c r="U32" i="31"/>
  <c r="M37" i="31"/>
  <c r="U37" i="31"/>
  <c r="M30" i="31"/>
  <c r="U30" i="31"/>
  <c r="M38" i="31"/>
  <c r="U38" i="31"/>
  <c r="W42" i="31"/>
  <c r="Y42" i="31" s="1"/>
  <c r="V42" i="31"/>
  <c r="X42" i="31" s="1"/>
  <c r="Z42" i="31" s="1"/>
  <c r="W21" i="31"/>
  <c r="Y21" i="31" s="1"/>
  <c r="V21" i="31"/>
  <c r="X21" i="31" s="1"/>
  <c r="Z21" i="31" s="1"/>
  <c r="M31" i="31"/>
  <c r="U31" i="31"/>
  <c r="M35" i="31"/>
  <c r="U35" i="31"/>
  <c r="M29" i="31"/>
  <c r="U29" i="31"/>
  <c r="W17" i="31"/>
  <c r="Y17" i="31" s="1"/>
  <c r="V17" i="31"/>
  <c r="X17" i="31" s="1"/>
  <c r="Z17" i="31" s="1"/>
  <c r="W41" i="31"/>
  <c r="Y41" i="31" s="1"/>
  <c r="V41" i="31"/>
  <c r="X41" i="31" s="1"/>
  <c r="Z41" i="31" s="1"/>
  <c r="M40" i="31"/>
  <c r="U40" i="31"/>
  <c r="M36" i="31"/>
  <c r="U36" i="31"/>
  <c r="T39" i="20"/>
  <c r="V39" i="20" s="1"/>
  <c r="X39" i="20" s="1"/>
  <c r="U39" i="20"/>
  <c r="W39" i="20" s="1"/>
  <c r="M15" i="25"/>
  <c r="U15" i="25"/>
  <c r="S33" i="14"/>
  <c r="M33" i="14"/>
  <c r="W50" i="26"/>
  <c r="Y50" i="26" s="1"/>
  <c r="V50" i="26"/>
  <c r="X50" i="26" s="1"/>
  <c r="Z50" i="26" s="1"/>
  <c r="W51" i="26"/>
  <c r="Y51" i="26" s="1"/>
  <c r="V51" i="26"/>
  <c r="X51" i="26" s="1"/>
  <c r="Z51" i="26" s="1"/>
  <c r="M32" i="20"/>
  <c r="S32" i="20"/>
  <c r="W22" i="25"/>
  <c r="Y22" i="25" s="1"/>
  <c r="V22" i="25"/>
  <c r="X22" i="25" s="1"/>
  <c r="Z22" i="25" s="1"/>
  <c r="U37" i="19"/>
  <c r="W37" i="19" s="1"/>
  <c r="T37" i="19"/>
  <c r="V37" i="19" s="1"/>
  <c r="X37" i="19" s="1"/>
  <c r="M29" i="20"/>
  <c r="S29" i="20"/>
  <c r="M34" i="17"/>
  <c r="S34" i="17"/>
  <c r="U15" i="14"/>
  <c r="W15" i="14" s="1"/>
  <c r="T15" i="14"/>
  <c r="V15" i="14" s="1"/>
  <c r="X15" i="14" s="1"/>
  <c r="U34" i="22"/>
  <c r="W34" i="22" s="1"/>
  <c r="T34" i="22"/>
  <c r="V34" i="22" s="1"/>
  <c r="X34" i="22" s="1"/>
  <c r="S32" i="14"/>
  <c r="M32" i="14"/>
  <c r="S34" i="20"/>
  <c r="M34" i="20"/>
  <c r="T39" i="14"/>
  <c r="V39" i="14" s="1"/>
  <c r="X39" i="14" s="1"/>
  <c r="U39" i="14"/>
  <c r="W39" i="14" s="1"/>
  <c r="S35" i="23"/>
  <c r="M35" i="23"/>
  <c r="M31" i="17"/>
  <c r="S31" i="17"/>
  <c r="W10" i="25"/>
  <c r="Y10" i="25" s="1"/>
  <c r="V10" i="25"/>
  <c r="X10" i="25" s="1"/>
  <c r="Z10" i="25" s="1"/>
  <c r="M37" i="22"/>
  <c r="S37" i="22"/>
  <c r="M60" i="25"/>
  <c r="U60" i="25"/>
  <c r="T13" i="20"/>
  <c r="V13" i="20" s="1"/>
  <c r="X13" i="20" s="1"/>
  <c r="U13" i="20"/>
  <c r="W13" i="20" s="1"/>
  <c r="W34" i="25"/>
  <c r="Y34" i="25" s="1"/>
  <c r="V34" i="25"/>
  <c r="X34" i="25" s="1"/>
  <c r="Z34" i="25" s="1"/>
  <c r="T29" i="13"/>
  <c r="V29" i="13" s="1"/>
  <c r="X29" i="13" s="1"/>
  <c r="U29" i="13"/>
  <c r="W29" i="13" s="1"/>
  <c r="S29" i="16"/>
  <c r="M29" i="16"/>
  <c r="W12" i="25"/>
  <c r="Y12" i="25" s="1"/>
  <c r="V12" i="25"/>
  <c r="X12" i="25" s="1"/>
  <c r="Z12" i="25" s="1"/>
  <c r="U34" i="19"/>
  <c r="W34" i="19" s="1"/>
  <c r="T34" i="19"/>
  <c r="V34" i="19" s="1"/>
  <c r="X34" i="19" s="1"/>
  <c r="L38" i="23"/>
  <c r="K38" i="23"/>
  <c r="U23" i="14"/>
  <c r="W23" i="14" s="1"/>
  <c r="T23" i="14"/>
  <c r="V23" i="14" s="1"/>
  <c r="X23" i="14" s="1"/>
  <c r="T11" i="14"/>
  <c r="V11" i="14" s="1"/>
  <c r="X11" i="14" s="1"/>
  <c r="U11" i="14"/>
  <c r="W11" i="14" s="1"/>
  <c r="W55" i="26"/>
  <c r="Y55" i="26" s="1"/>
  <c r="V55" i="26"/>
  <c r="X55" i="26" s="1"/>
  <c r="Z55" i="26" s="1"/>
  <c r="U19" i="20"/>
  <c r="W19" i="20" s="1"/>
  <c r="T19" i="20"/>
  <c r="V19" i="20" s="1"/>
  <c r="X19" i="20" s="1"/>
  <c r="U14" i="20"/>
  <c r="W14" i="20" s="1"/>
  <c r="T14" i="20"/>
  <c r="V14" i="20" s="1"/>
  <c r="X14" i="20" s="1"/>
  <c r="U16" i="14"/>
  <c r="W16" i="14" s="1"/>
  <c r="T16" i="14"/>
  <c r="V16" i="14" s="1"/>
  <c r="X16" i="14" s="1"/>
  <c r="M38" i="20"/>
  <c r="S38" i="20"/>
  <c r="W14" i="26"/>
  <c r="Y14" i="26" s="1"/>
  <c r="V14" i="26"/>
  <c r="X14" i="26" s="1"/>
  <c r="Z14" i="26" s="1"/>
  <c r="S35" i="16"/>
  <c r="M35" i="16"/>
  <c r="M62" i="26"/>
  <c r="U62" i="26"/>
  <c r="M30" i="14"/>
  <c r="S30" i="14"/>
  <c r="U46" i="26"/>
  <c r="M46" i="26"/>
  <c r="U38" i="16"/>
  <c r="W38" i="16" s="1"/>
  <c r="T38" i="16"/>
  <c r="V38" i="16" s="1"/>
  <c r="X38" i="16" s="1"/>
  <c r="T35" i="19"/>
  <c r="V35" i="19" s="1"/>
  <c r="X35" i="19" s="1"/>
  <c r="U35" i="19"/>
  <c r="W35" i="19" s="1"/>
  <c r="T12" i="16"/>
  <c r="V12" i="16" s="1"/>
  <c r="X12" i="16" s="1"/>
  <c r="U12" i="16"/>
  <c r="W12" i="16" s="1"/>
  <c r="S37" i="14"/>
  <c r="M37" i="14"/>
  <c r="K62" i="25"/>
  <c r="L62" i="25"/>
  <c r="U19" i="14"/>
  <c r="W19" i="14" s="1"/>
  <c r="T19" i="14"/>
  <c r="V19" i="14" s="1"/>
  <c r="X19" i="14" s="1"/>
  <c r="S32" i="22"/>
  <c r="M32" i="22"/>
  <c r="S28" i="16"/>
  <c r="M28" i="16"/>
  <c r="M33" i="20"/>
  <c r="S33" i="20"/>
  <c r="U11" i="20"/>
  <c r="W11" i="20" s="1"/>
  <c r="T11" i="20"/>
  <c r="V11" i="20" s="1"/>
  <c r="X11" i="20" s="1"/>
  <c r="U22" i="16"/>
  <c r="W22" i="16" s="1"/>
  <c r="T22" i="16"/>
  <c r="V22" i="16" s="1"/>
  <c r="X22" i="16" s="1"/>
  <c r="U28" i="20"/>
  <c r="W28" i="20" s="1"/>
  <c r="T28" i="20"/>
  <c r="V28" i="20" s="1"/>
  <c r="X28" i="20" s="1"/>
  <c r="U24" i="22"/>
  <c r="W24" i="22" s="1"/>
  <c r="T24" i="22"/>
  <c r="V24" i="22" s="1"/>
  <c r="X24" i="22" s="1"/>
  <c r="M40" i="25"/>
  <c r="U40" i="25"/>
  <c r="U38" i="22"/>
  <c r="W38" i="22" s="1"/>
  <c r="T38" i="22"/>
  <c r="V38" i="22" s="1"/>
  <c r="X38" i="22" s="1"/>
  <c r="K47" i="23"/>
  <c r="L47" i="23"/>
  <c r="M47" i="23" s="1"/>
  <c r="U40" i="26"/>
  <c r="M40" i="26"/>
  <c r="U18" i="14"/>
  <c r="W18" i="14" s="1"/>
  <c r="T18" i="14"/>
  <c r="V18" i="14" s="1"/>
  <c r="X18" i="14" s="1"/>
  <c r="W20" i="25"/>
  <c r="Y20" i="25" s="1"/>
  <c r="V20" i="25"/>
  <c r="X20" i="25" s="1"/>
  <c r="Z20" i="25" s="1"/>
  <c r="M29" i="17"/>
  <c r="S29" i="17"/>
  <c r="W28" i="25"/>
  <c r="Y28" i="25" s="1"/>
  <c r="V28" i="25"/>
  <c r="X28" i="25" s="1"/>
  <c r="Z28" i="25" s="1"/>
  <c r="S42" i="23"/>
  <c r="M42" i="23"/>
  <c r="M19" i="25"/>
  <c r="U19" i="25"/>
  <c r="U14" i="14"/>
  <c r="W14" i="14" s="1"/>
  <c r="T14" i="14"/>
  <c r="V14" i="14" s="1"/>
  <c r="X14" i="14" s="1"/>
  <c r="M39" i="26"/>
  <c r="U39" i="26"/>
  <c r="M34" i="14"/>
  <c r="S34" i="14"/>
  <c r="S29" i="14"/>
  <c r="M29" i="14"/>
  <c r="M58" i="26"/>
  <c r="U58" i="26"/>
  <c r="W15" i="26"/>
  <c r="Y15" i="26" s="1"/>
  <c r="V15" i="26"/>
  <c r="X15" i="26" s="1"/>
  <c r="Z15" i="26" s="1"/>
  <c r="T16" i="20"/>
  <c r="V16" i="20" s="1"/>
  <c r="X16" i="20" s="1"/>
  <c r="U16" i="20"/>
  <c r="W16" i="20" s="1"/>
  <c r="U28" i="14"/>
  <c r="W28" i="14" s="1"/>
  <c r="T28" i="14"/>
  <c r="V28" i="14" s="1"/>
  <c r="X28" i="14" s="1"/>
  <c r="S39" i="16"/>
  <c r="M39" i="16"/>
  <c r="T15" i="22"/>
  <c r="V15" i="22" s="1"/>
  <c r="X15" i="22" s="1"/>
  <c r="U15" i="22"/>
  <c r="W15" i="22" s="1"/>
  <c r="S40" i="16"/>
  <c r="M40" i="16"/>
  <c r="T39" i="19"/>
  <c r="V39" i="19" s="1"/>
  <c r="X39" i="19" s="1"/>
  <c r="U39" i="19"/>
  <c r="W39" i="19" s="1"/>
  <c r="K32" i="23"/>
  <c r="L32" i="23"/>
  <c r="U42" i="26"/>
  <c r="M42" i="26"/>
  <c r="S15" i="23"/>
  <c r="M15" i="23"/>
  <c r="M34" i="23"/>
  <c r="S34" i="23"/>
  <c r="M53" i="26"/>
  <c r="U53" i="26"/>
  <c r="M30" i="16"/>
  <c r="S30" i="16"/>
  <c r="U46" i="22"/>
  <c r="W46" i="22" s="1"/>
  <c r="T46" i="22"/>
  <c r="V46" i="22" s="1"/>
  <c r="X46" i="22" s="1"/>
  <c r="S41" i="17"/>
  <c r="M41" i="17"/>
  <c r="W11" i="25"/>
  <c r="Y11" i="25" s="1"/>
  <c r="V11" i="25"/>
  <c r="X11" i="25" s="1"/>
  <c r="Z11" i="25" s="1"/>
  <c r="M48" i="26"/>
  <c r="U48" i="26"/>
  <c r="W26" i="25"/>
  <c r="Y26" i="25" s="1"/>
  <c r="V26" i="25"/>
  <c r="X26" i="25" s="1"/>
  <c r="Z26" i="25" s="1"/>
  <c r="K58" i="25"/>
  <c r="L58" i="25"/>
  <c r="W21" i="25"/>
  <c r="Y21" i="25" s="1"/>
  <c r="V21" i="25"/>
  <c r="X21" i="25" s="1"/>
  <c r="Z21" i="25" s="1"/>
  <c r="S11" i="23"/>
  <c r="M11" i="23"/>
  <c r="M42" i="25"/>
  <c r="U42" i="25"/>
  <c r="T30" i="20"/>
  <c r="V30" i="20" s="1"/>
  <c r="X30" i="20" s="1"/>
  <c r="U30" i="20"/>
  <c r="W30" i="20" s="1"/>
  <c r="S35" i="17"/>
  <c r="M35" i="17"/>
  <c r="T19" i="23"/>
  <c r="V19" i="23" s="1"/>
  <c r="X19" i="23" s="1"/>
  <c r="U19" i="23"/>
  <c r="W19" i="23" s="1"/>
  <c r="T17" i="23"/>
  <c r="V17" i="23" s="1"/>
  <c r="X17" i="23" s="1"/>
  <c r="U17" i="23"/>
  <c r="W17" i="23" s="1"/>
  <c r="M59" i="26"/>
  <c r="U59" i="26"/>
  <c r="U33" i="13"/>
  <c r="W33" i="13" s="1"/>
  <c r="T33" i="13"/>
  <c r="V33" i="13" s="1"/>
  <c r="X33" i="13" s="1"/>
  <c r="M51" i="25"/>
  <c r="U51" i="25"/>
  <c r="M40" i="20"/>
  <c r="S40" i="20"/>
  <c r="U38" i="14"/>
  <c r="W38" i="14" s="1"/>
  <c r="T38" i="14"/>
  <c r="V38" i="14" s="1"/>
  <c r="X38" i="14" s="1"/>
  <c r="M47" i="26"/>
  <c r="U47" i="26"/>
  <c r="W25" i="25"/>
  <c r="Y25" i="25" s="1"/>
  <c r="V25" i="25"/>
  <c r="X25" i="25" s="1"/>
  <c r="Z25" i="25" s="1"/>
  <c r="M60" i="26"/>
  <c r="U60" i="26"/>
  <c r="T31" i="19"/>
  <c r="V31" i="19" s="1"/>
  <c r="X31" i="19" s="1"/>
  <c r="U31" i="19"/>
  <c r="W31" i="19" s="1"/>
  <c r="M40" i="23"/>
  <c r="S40" i="23"/>
  <c r="U38" i="19"/>
  <c r="W38" i="19" s="1"/>
  <c r="T38" i="19"/>
  <c r="V38" i="19" s="1"/>
  <c r="X38" i="19" s="1"/>
  <c r="T41" i="13"/>
  <c r="V41" i="13" s="1"/>
  <c r="X41" i="13" s="1"/>
  <c r="U41" i="13"/>
  <c r="W41" i="13" s="1"/>
  <c r="W18" i="25"/>
  <c r="Y18" i="25" s="1"/>
  <c r="V18" i="25"/>
  <c r="X18" i="25" s="1"/>
  <c r="Z18" i="25" s="1"/>
  <c r="M56" i="25"/>
  <c r="U56" i="25"/>
  <c r="U35" i="14"/>
  <c r="W35" i="14" s="1"/>
  <c r="T35" i="14"/>
  <c r="V35" i="14" s="1"/>
  <c r="X35" i="14" s="1"/>
  <c r="U38" i="17"/>
  <c r="W38" i="17" s="1"/>
  <c r="T38" i="17"/>
  <c r="V38" i="17" s="1"/>
  <c r="X38" i="17" s="1"/>
  <c r="L44" i="25"/>
  <c r="K44" i="25"/>
  <c r="U21" i="14"/>
  <c r="W21" i="14" s="1"/>
  <c r="T21" i="14"/>
  <c r="V21" i="14" s="1"/>
  <c r="X21" i="14" s="1"/>
  <c r="M14" i="25"/>
  <c r="U14" i="25"/>
  <c r="T17" i="16"/>
  <c r="V17" i="16" s="1"/>
  <c r="X17" i="16" s="1"/>
  <c r="U17" i="16"/>
  <c r="W17" i="16" s="1"/>
  <c r="L43" i="23"/>
  <c r="M43" i="23" s="1"/>
  <c r="K43" i="23"/>
  <c r="U37" i="13"/>
  <c r="W37" i="13" s="1"/>
  <c r="T37" i="13"/>
  <c r="V37" i="13" s="1"/>
  <c r="X37" i="13" s="1"/>
  <c r="U18" i="23"/>
  <c r="W18" i="23" s="1"/>
  <c r="T18" i="23"/>
  <c r="V18" i="23" s="1"/>
  <c r="X18" i="23" s="1"/>
  <c r="M55" i="25"/>
  <c r="U55" i="25"/>
  <c r="U40" i="19"/>
  <c r="W40" i="19" s="1"/>
  <c r="T40" i="19"/>
  <c r="V40" i="19" s="1"/>
  <c r="X40" i="19" s="1"/>
  <c r="U41" i="19"/>
  <c r="W41" i="19" s="1"/>
  <c r="T41" i="19"/>
  <c r="V41" i="19" s="1"/>
  <c r="X41" i="19" s="1"/>
  <c r="U36" i="19"/>
  <c r="W36" i="19" s="1"/>
  <c r="T36" i="19"/>
  <c r="V36" i="19" s="1"/>
  <c r="X36" i="19" s="1"/>
  <c r="U16" i="16"/>
  <c r="W16" i="16" s="1"/>
  <c r="T16" i="16"/>
  <c r="V16" i="16" s="1"/>
  <c r="X16" i="16" s="1"/>
  <c r="W17" i="25"/>
  <c r="Y17" i="25" s="1"/>
  <c r="V17" i="25"/>
  <c r="X17" i="25" s="1"/>
  <c r="Z17" i="25" s="1"/>
  <c r="L41" i="23"/>
  <c r="M41" i="23" s="1"/>
  <c r="S41" i="23" s="1"/>
  <c r="K41" i="23"/>
  <c r="M34" i="16"/>
  <c r="S34" i="16"/>
  <c r="T30" i="13"/>
  <c r="V30" i="13" s="1"/>
  <c r="X30" i="13" s="1"/>
  <c r="U30" i="13"/>
  <c r="W30" i="13" s="1"/>
  <c r="W33" i="25"/>
  <c r="Y33" i="25" s="1"/>
  <c r="V33" i="25"/>
  <c r="X33" i="25" s="1"/>
  <c r="Z33" i="25" s="1"/>
  <c r="T39" i="13"/>
  <c r="V39" i="13" s="1"/>
  <c r="X39" i="13" s="1"/>
  <c r="U39" i="13"/>
  <c r="W39" i="13" s="1"/>
  <c r="U21" i="17"/>
  <c r="W21" i="17" s="1"/>
  <c r="T21" i="17"/>
  <c r="V21" i="17" s="1"/>
  <c r="X21" i="17" s="1"/>
  <c r="K59" i="25"/>
  <c r="L59" i="25"/>
  <c r="W16" i="25"/>
  <c r="Y16" i="25" s="1"/>
  <c r="V16" i="25"/>
  <c r="X16" i="25" s="1"/>
  <c r="Z16" i="25" s="1"/>
  <c r="S40" i="14"/>
  <c r="M40" i="14"/>
  <c r="M32" i="17"/>
  <c r="S32" i="17"/>
  <c r="S36" i="23"/>
  <c r="M36" i="23"/>
  <c r="M36" i="14"/>
  <c r="S36" i="14"/>
  <c r="S36" i="17"/>
  <c r="M36" i="17"/>
  <c r="U44" i="22"/>
  <c r="W44" i="22" s="1"/>
  <c r="T44" i="22"/>
  <c r="V44" i="22" s="1"/>
  <c r="X44" i="22" s="1"/>
  <c r="M33" i="22"/>
  <c r="S33" i="22"/>
  <c r="T16" i="23"/>
  <c r="V16" i="23" s="1"/>
  <c r="X16" i="23" s="1"/>
  <c r="U16" i="23"/>
  <c r="W16" i="23" s="1"/>
  <c r="L61" i="25"/>
  <c r="K61" i="25"/>
  <c r="W41" i="26"/>
  <c r="Y41" i="26" s="1"/>
  <c r="V41" i="26"/>
  <c r="X41" i="26" s="1"/>
  <c r="Z41" i="26" s="1"/>
  <c r="U15" i="20"/>
  <c r="W15" i="20" s="1"/>
  <c r="T15" i="20"/>
  <c r="V15" i="20" s="1"/>
  <c r="X15" i="20" s="1"/>
  <c r="M24" i="23"/>
  <c r="S24" i="23"/>
  <c r="M37" i="20"/>
  <c r="S37" i="20"/>
  <c r="M40" i="22"/>
  <c r="S40" i="22"/>
  <c r="M53" i="25"/>
  <c r="U53" i="25"/>
  <c r="W45" i="26"/>
  <c r="Y45" i="26" s="1"/>
  <c r="V45" i="26"/>
  <c r="X45" i="26" s="1"/>
  <c r="Z45" i="26" s="1"/>
  <c r="T19" i="17"/>
  <c r="V19" i="17" s="1"/>
  <c r="X19" i="17" s="1"/>
  <c r="U19" i="17"/>
  <c r="W19" i="17" s="1"/>
  <c r="S37" i="17"/>
  <c r="M37" i="17"/>
  <c r="T12" i="17"/>
  <c r="V12" i="17" s="1"/>
  <c r="X12" i="17" s="1"/>
  <c r="U12" i="17"/>
  <c r="W12" i="17" s="1"/>
  <c r="L57" i="25"/>
  <c r="K57" i="25"/>
  <c r="M31" i="25"/>
  <c r="U31" i="25"/>
  <c r="S45" i="23"/>
  <c r="M45" i="23"/>
  <c r="U35" i="13"/>
  <c r="W35" i="13" s="1"/>
  <c r="T35" i="13"/>
  <c r="V35" i="13" s="1"/>
  <c r="X35" i="13" s="1"/>
  <c r="W23" i="25"/>
  <c r="Y23" i="25" s="1"/>
  <c r="V23" i="25"/>
  <c r="X23" i="25" s="1"/>
  <c r="Z23" i="25" s="1"/>
  <c r="U39" i="22"/>
  <c r="W39" i="22" s="1"/>
  <c r="T39" i="22"/>
  <c r="V39" i="22" s="1"/>
  <c r="X39" i="22" s="1"/>
  <c r="U20" i="23"/>
  <c r="W20" i="23" s="1"/>
  <c r="T20" i="23"/>
  <c r="V20" i="23" s="1"/>
  <c r="X20" i="23" s="1"/>
  <c r="U30" i="17"/>
  <c r="W30" i="17" s="1"/>
  <c r="T30" i="17"/>
  <c r="V30" i="17" s="1"/>
  <c r="X30" i="17" s="1"/>
  <c r="U61" i="26"/>
  <c r="M61" i="26"/>
  <c r="M41" i="16"/>
  <c r="S41" i="16"/>
  <c r="M52" i="26"/>
  <c r="U52" i="26"/>
  <c r="K47" i="25"/>
  <c r="L47" i="25"/>
  <c r="S41" i="20"/>
  <c r="M41" i="20"/>
  <c r="M52" i="25"/>
  <c r="U52" i="25"/>
  <c r="W30" i="25"/>
  <c r="Y30" i="25" s="1"/>
  <c r="V30" i="25"/>
  <c r="X30" i="25" s="1"/>
  <c r="Z30" i="25" s="1"/>
  <c r="T28" i="13"/>
  <c r="V28" i="13" s="1"/>
  <c r="X28" i="13" s="1"/>
  <c r="U28" i="13"/>
  <c r="W28" i="13" s="1"/>
  <c r="S31" i="16"/>
  <c r="M31" i="16"/>
  <c r="S31" i="14"/>
  <c r="M31" i="14"/>
  <c r="T32" i="19"/>
  <c r="V32" i="19" s="1"/>
  <c r="X32" i="19" s="1"/>
  <c r="U32" i="19"/>
  <c r="W32" i="19" s="1"/>
  <c r="S33" i="16"/>
  <c r="M33" i="16"/>
  <c r="W27" i="25"/>
  <c r="Y27" i="25" s="1"/>
  <c r="V27" i="25"/>
  <c r="X27" i="25" s="1"/>
  <c r="Z27" i="25" s="1"/>
  <c r="T14" i="17"/>
  <c r="V14" i="17" s="1"/>
  <c r="X14" i="17" s="1"/>
  <c r="U14" i="17"/>
  <c r="W14" i="17" s="1"/>
  <c r="M49" i="25"/>
  <c r="U49" i="25"/>
  <c r="T21" i="16"/>
  <c r="V21" i="16" s="1"/>
  <c r="X21" i="16" s="1"/>
  <c r="U21" i="16"/>
  <c r="W21" i="16" s="1"/>
  <c r="M57" i="26"/>
  <c r="U57" i="26"/>
  <c r="U10" i="23"/>
  <c r="W10" i="23" s="1"/>
  <c r="T10" i="23"/>
  <c r="V10" i="23" s="1"/>
  <c r="X10" i="23" s="1"/>
  <c r="T40" i="17"/>
  <c r="V40" i="17" s="1"/>
  <c r="X40" i="17" s="1"/>
  <c r="U40" i="17"/>
  <c r="W40" i="17" s="1"/>
  <c r="M45" i="25"/>
  <c r="U45" i="25"/>
  <c r="M35" i="22"/>
  <c r="S35" i="22"/>
  <c r="M44" i="26"/>
  <c r="U44" i="26"/>
  <c r="M36" i="22"/>
  <c r="S36" i="22"/>
  <c r="T14" i="23"/>
  <c r="V14" i="23" s="1"/>
  <c r="X14" i="23" s="1"/>
  <c r="U14" i="23"/>
  <c r="W14" i="23" s="1"/>
  <c r="W29" i="25"/>
  <c r="Y29" i="25" s="1"/>
  <c r="V29" i="25"/>
  <c r="X29" i="25" s="1"/>
  <c r="Z29" i="25" s="1"/>
  <c r="U22" i="17"/>
  <c r="W22" i="17" s="1"/>
  <c r="T22" i="17"/>
  <c r="V22" i="17" s="1"/>
  <c r="X22" i="17" s="1"/>
  <c r="K43" i="25"/>
  <c r="L43" i="25"/>
  <c r="L33" i="23"/>
  <c r="K33" i="23"/>
  <c r="U27" i="23"/>
  <c r="W27" i="23" s="1"/>
  <c r="T27" i="23"/>
  <c r="V27" i="23" s="1"/>
  <c r="X27" i="23" s="1"/>
  <c r="U22" i="20"/>
  <c r="W22" i="20" s="1"/>
  <c r="T22" i="20"/>
  <c r="V22" i="20" s="1"/>
  <c r="X22" i="20" s="1"/>
  <c r="M13" i="25"/>
  <c r="U13" i="25"/>
  <c r="M33" i="17"/>
  <c r="S33" i="17"/>
  <c r="T14" i="16"/>
  <c r="V14" i="16" s="1"/>
  <c r="X14" i="16" s="1"/>
  <c r="U14" i="16"/>
  <c r="W14" i="16" s="1"/>
  <c r="U13" i="23"/>
  <c r="W13" i="23" s="1"/>
  <c r="T13" i="23"/>
  <c r="V13" i="23" s="1"/>
  <c r="X13" i="23" s="1"/>
  <c r="M43" i="26"/>
  <c r="U43" i="26"/>
  <c r="L46" i="23"/>
  <c r="K46" i="23"/>
  <c r="U31" i="20"/>
  <c r="W31" i="20" s="1"/>
  <c r="T31" i="20"/>
  <c r="V31" i="20" s="1"/>
  <c r="X31" i="20" s="1"/>
  <c r="M24" i="25"/>
  <c r="U24" i="25"/>
  <c r="S26" i="23"/>
  <c r="M26" i="23"/>
  <c r="W32" i="25"/>
  <c r="Y32" i="25" s="1"/>
  <c r="V32" i="25"/>
  <c r="X32" i="25" s="1"/>
  <c r="Z32" i="25" s="1"/>
  <c r="U32" i="16"/>
  <c r="W32" i="16" s="1"/>
  <c r="T32" i="16"/>
  <c r="V32" i="16" s="1"/>
  <c r="X32" i="16" s="1"/>
  <c r="U41" i="14"/>
  <c r="W41" i="14" s="1"/>
  <c r="T41" i="14"/>
  <c r="V41" i="14" s="1"/>
  <c r="X41" i="14" s="1"/>
  <c r="L39" i="25"/>
  <c r="K39" i="25"/>
  <c r="U12" i="23"/>
  <c r="W12" i="23" s="1"/>
  <c r="T12" i="23"/>
  <c r="V12" i="23" s="1"/>
  <c r="X12" i="23" s="1"/>
  <c r="U45" i="22"/>
  <c r="W45" i="22" s="1"/>
  <c r="T45" i="22"/>
  <c r="V45" i="22" s="1"/>
  <c r="X45" i="22" s="1"/>
  <c r="U11" i="16"/>
  <c r="W11" i="16" s="1"/>
  <c r="T11" i="16"/>
  <c r="V11" i="16" s="1"/>
  <c r="X11" i="16" s="1"/>
  <c r="L54" i="25"/>
  <c r="K54" i="25"/>
  <c r="T42" i="22"/>
  <c r="V42" i="22" s="1"/>
  <c r="X42" i="22" s="1"/>
  <c r="U42" i="22"/>
  <c r="W42" i="22" s="1"/>
  <c r="K37" i="23"/>
  <c r="L37" i="23"/>
  <c r="U15" i="16"/>
  <c r="W15" i="16" s="1"/>
  <c r="T15" i="16"/>
  <c r="V15" i="16" s="1"/>
  <c r="X15" i="16" s="1"/>
  <c r="W24" i="26"/>
  <c r="Y24" i="26" s="1"/>
  <c r="V24" i="26"/>
  <c r="X24" i="26" s="1"/>
  <c r="Z24" i="26" s="1"/>
  <c r="W54" i="26"/>
  <c r="Y54" i="26" s="1"/>
  <c r="V54" i="26"/>
  <c r="X54" i="26" s="1"/>
  <c r="Z54" i="26" s="1"/>
  <c r="M49" i="26"/>
  <c r="U49" i="26"/>
  <c r="S36" i="20"/>
  <c r="M36" i="20"/>
  <c r="M56" i="26"/>
  <c r="U56" i="26"/>
  <c r="M50" i="25"/>
  <c r="U50" i="25"/>
  <c r="M39" i="17"/>
  <c r="S39" i="17"/>
  <c r="M41" i="25"/>
  <c r="U41" i="25"/>
  <c r="S44" i="23"/>
  <c r="M44" i="23"/>
  <c r="U22" i="23"/>
  <c r="W22" i="23" s="1"/>
  <c r="T22" i="23"/>
  <c r="V22" i="23" s="1"/>
  <c r="X22" i="23" s="1"/>
  <c r="L39" i="23"/>
  <c r="K39" i="23"/>
  <c r="S37" i="16"/>
  <c r="M37" i="16"/>
  <c r="T13" i="22"/>
  <c r="V13" i="22" s="1"/>
  <c r="X13" i="22" s="1"/>
  <c r="U13" i="22"/>
  <c r="W13" i="22" s="1"/>
  <c r="U23" i="23"/>
  <c r="W23" i="23" s="1"/>
  <c r="T23" i="23"/>
  <c r="V23" i="23" s="1"/>
  <c r="X23" i="23" s="1"/>
  <c r="U11" i="17"/>
  <c r="W11" i="17" s="1"/>
  <c r="T11" i="17"/>
  <c r="V11" i="17" s="1"/>
  <c r="X11" i="17" s="1"/>
  <c r="L48" i="25"/>
  <c r="K48" i="25"/>
  <c r="T34" i="13"/>
  <c r="V34" i="13" s="1"/>
  <c r="X34" i="13" s="1"/>
  <c r="U34" i="13"/>
  <c r="W34" i="13" s="1"/>
  <c r="M36" i="16"/>
  <c r="S36" i="16"/>
  <c r="U28" i="17"/>
  <c r="W28" i="17" s="1"/>
  <c r="T28" i="17"/>
  <c r="V28" i="17" s="1"/>
  <c r="X28" i="17" s="1"/>
  <c r="M46" i="25"/>
  <c r="U46" i="25"/>
  <c r="T35" i="20"/>
  <c r="V35" i="20" s="1"/>
  <c r="X35" i="20" s="1"/>
  <c r="U35" i="20"/>
  <c r="W35" i="20" s="1"/>
  <c r="U42" i="28"/>
  <c r="U63" i="28"/>
  <c r="V63" i="28" s="1"/>
  <c r="X63" i="28" s="1"/>
  <c r="Z63" i="28" s="1"/>
  <c r="M54" i="28"/>
  <c r="U53" i="28"/>
  <c r="W53" i="28" s="1"/>
  <c r="Y53" i="28" s="1"/>
  <c r="U47" i="29"/>
  <c r="W47" i="29" s="1"/>
  <c r="Y47" i="29" s="1"/>
  <c r="M46" i="28"/>
  <c r="U47" i="28"/>
  <c r="V47" i="28" s="1"/>
  <c r="X47" i="28" s="1"/>
  <c r="Z47" i="28" s="1"/>
  <c r="W63" i="29"/>
  <c r="Y63" i="29" s="1"/>
  <c r="V63" i="29"/>
  <c r="X63" i="29" s="1"/>
  <c r="Z63" i="29" s="1"/>
  <c r="M64" i="29"/>
  <c r="U64" i="29"/>
  <c r="M61" i="29"/>
  <c r="U49" i="28"/>
  <c r="V49" i="28" s="1"/>
  <c r="X49" i="28" s="1"/>
  <c r="Z49" i="28" s="1"/>
  <c r="M51" i="28"/>
  <c r="W63" i="28"/>
  <c r="Y63" i="28" s="1"/>
  <c r="W64" i="28"/>
  <c r="Y64" i="28" s="1"/>
  <c r="V64" i="28"/>
  <c r="X64" i="28" s="1"/>
  <c r="Z64" i="28" s="1"/>
  <c r="U40" i="28"/>
  <c r="W40" i="28" s="1"/>
  <c r="Y40" i="28" s="1"/>
  <c r="U58" i="28"/>
  <c r="V58" i="28" s="1"/>
  <c r="X58" i="28" s="1"/>
  <c r="Z58" i="28" s="1"/>
  <c r="M56" i="29"/>
  <c r="U56" i="29"/>
  <c r="W61" i="29"/>
  <c r="Y61" i="29" s="1"/>
  <c r="V61" i="29"/>
  <c r="X61" i="29" s="1"/>
  <c r="Z61" i="29" s="1"/>
  <c r="W14" i="29"/>
  <c r="Y14" i="29" s="1"/>
  <c r="V14" i="29"/>
  <c r="X14" i="29" s="1"/>
  <c r="Z14" i="29" s="1"/>
  <c r="M59" i="29"/>
  <c r="U59" i="29"/>
  <c r="M57" i="29"/>
  <c r="U57" i="29"/>
  <c r="M54" i="29"/>
  <c r="U54" i="29"/>
  <c r="W11" i="29"/>
  <c r="Y11" i="29" s="1"/>
  <c r="V11" i="29"/>
  <c r="X11" i="29" s="1"/>
  <c r="Z11" i="29" s="1"/>
  <c r="W45" i="29"/>
  <c r="Y45" i="29" s="1"/>
  <c r="V45" i="29"/>
  <c r="X45" i="29" s="1"/>
  <c r="Z45" i="29" s="1"/>
  <c r="W43" i="29"/>
  <c r="Y43" i="29" s="1"/>
  <c r="V43" i="29"/>
  <c r="X43" i="29" s="1"/>
  <c r="Z43" i="29" s="1"/>
  <c r="W13" i="29"/>
  <c r="Y13" i="29" s="1"/>
  <c r="V13" i="29"/>
  <c r="X13" i="29" s="1"/>
  <c r="Z13" i="29" s="1"/>
  <c r="M58" i="29"/>
  <c r="U58" i="29"/>
  <c r="M50" i="29"/>
  <c r="U50" i="29"/>
  <c r="W17" i="29"/>
  <c r="Y17" i="29" s="1"/>
  <c r="V17" i="29"/>
  <c r="X17" i="29" s="1"/>
  <c r="Z17" i="29" s="1"/>
  <c r="M40" i="29"/>
  <c r="U40" i="29"/>
  <c r="M49" i="29"/>
  <c r="U49" i="29"/>
  <c r="M60" i="29"/>
  <c r="U60" i="29"/>
  <c r="M52" i="29"/>
  <c r="U52" i="29"/>
  <c r="W51" i="29"/>
  <c r="Y51" i="29" s="1"/>
  <c r="V51" i="29"/>
  <c r="X51" i="29" s="1"/>
  <c r="Z51" i="29" s="1"/>
  <c r="M41" i="29"/>
  <c r="U41" i="29"/>
  <c r="W62" i="29"/>
  <c r="Y62" i="29" s="1"/>
  <c r="V62" i="29"/>
  <c r="X62" i="29" s="1"/>
  <c r="Z62" i="29" s="1"/>
  <c r="W53" i="29"/>
  <c r="Y53" i="29" s="1"/>
  <c r="V53" i="29"/>
  <c r="X53" i="29" s="1"/>
  <c r="Z53" i="29" s="1"/>
  <c r="W46" i="29"/>
  <c r="Y46" i="29" s="1"/>
  <c r="V46" i="29"/>
  <c r="X46" i="29" s="1"/>
  <c r="Z46" i="29" s="1"/>
  <c r="W19" i="29"/>
  <c r="Y19" i="29" s="1"/>
  <c r="V19" i="29"/>
  <c r="X19" i="29" s="1"/>
  <c r="Z19" i="29" s="1"/>
  <c r="W42" i="29"/>
  <c r="Y42" i="29" s="1"/>
  <c r="V42" i="29"/>
  <c r="X42" i="29" s="1"/>
  <c r="Z42" i="29" s="1"/>
  <c r="W48" i="29"/>
  <c r="Y48" i="29" s="1"/>
  <c r="V48" i="29"/>
  <c r="X48" i="29" s="1"/>
  <c r="Z48" i="29" s="1"/>
  <c r="W24" i="29"/>
  <c r="Y24" i="29" s="1"/>
  <c r="V24" i="29"/>
  <c r="X24" i="29" s="1"/>
  <c r="Z24" i="29" s="1"/>
  <c r="M55" i="29"/>
  <c r="U55" i="29"/>
  <c r="M44" i="29"/>
  <c r="U44" i="29"/>
  <c r="M62" i="28"/>
  <c r="U62" i="28"/>
  <c r="M50" i="28"/>
  <c r="U50" i="28"/>
  <c r="W46" i="28"/>
  <c r="Y46" i="28" s="1"/>
  <c r="V46" i="28"/>
  <c r="X46" i="28" s="1"/>
  <c r="Z46" i="28" s="1"/>
  <c r="W54" i="28"/>
  <c r="Y54" i="28" s="1"/>
  <c r="V54" i="28"/>
  <c r="X54" i="28" s="1"/>
  <c r="Z54" i="28" s="1"/>
  <c r="W17" i="28"/>
  <c r="Y17" i="28" s="1"/>
  <c r="V17" i="28"/>
  <c r="X17" i="28" s="1"/>
  <c r="Z17" i="28" s="1"/>
  <c r="M59" i="28"/>
  <c r="U59" i="28"/>
  <c r="M56" i="28"/>
  <c r="U56" i="28"/>
  <c r="M52" i="28"/>
  <c r="U52" i="28"/>
  <c r="W13" i="28"/>
  <c r="Y13" i="28" s="1"/>
  <c r="V13" i="28"/>
  <c r="X13" i="28" s="1"/>
  <c r="Z13" i="28" s="1"/>
  <c r="W48" i="28"/>
  <c r="Y48" i="28" s="1"/>
  <c r="V48" i="28"/>
  <c r="X48" i="28" s="1"/>
  <c r="Z48" i="28" s="1"/>
  <c r="W55" i="28"/>
  <c r="Y55" i="28" s="1"/>
  <c r="V55" i="28"/>
  <c r="X55" i="28" s="1"/>
  <c r="Z55" i="28" s="1"/>
  <c r="W42" i="28"/>
  <c r="Y42" i="28" s="1"/>
  <c r="V42" i="28"/>
  <c r="X42" i="28" s="1"/>
  <c r="Z42" i="28" s="1"/>
  <c r="W24" i="28"/>
  <c r="Y24" i="28" s="1"/>
  <c r="V24" i="28"/>
  <c r="X24" i="28" s="1"/>
  <c r="Z24" i="28" s="1"/>
  <c r="W31" i="28"/>
  <c r="Y31" i="28" s="1"/>
  <c r="V31" i="28"/>
  <c r="X31" i="28" s="1"/>
  <c r="Z31" i="28" s="1"/>
  <c r="W11" i="28"/>
  <c r="Y11" i="28" s="1"/>
  <c r="V11" i="28"/>
  <c r="X11" i="28" s="1"/>
  <c r="Z11" i="28" s="1"/>
  <c r="W19" i="28"/>
  <c r="Y19" i="28" s="1"/>
  <c r="V19" i="28"/>
  <c r="X19" i="28" s="1"/>
  <c r="Z19" i="28" s="1"/>
  <c r="W61" i="28"/>
  <c r="Y61" i="28" s="1"/>
  <c r="V61" i="28"/>
  <c r="X61" i="28" s="1"/>
  <c r="Z61" i="28" s="1"/>
  <c r="W51" i="28"/>
  <c r="Y51" i="28" s="1"/>
  <c r="V51" i="28"/>
  <c r="X51" i="28" s="1"/>
  <c r="Z51" i="28" s="1"/>
  <c r="M45" i="28"/>
  <c r="U45" i="28"/>
  <c r="M41" i="28"/>
  <c r="U41" i="28"/>
  <c r="M44" i="28"/>
  <c r="U44" i="28"/>
  <c r="M60" i="28"/>
  <c r="U60" i="28"/>
  <c r="M43" i="28"/>
  <c r="U43" i="28"/>
  <c r="M57" i="28"/>
  <c r="U57" i="28"/>
  <c r="M37" i="32" l="1"/>
  <c r="U37" i="32"/>
  <c r="W17" i="32"/>
  <c r="Y17" i="32" s="1"/>
  <c r="V17" i="32"/>
  <c r="X17" i="32" s="1"/>
  <c r="Z17" i="32" s="1"/>
  <c r="V33" i="32"/>
  <c r="X33" i="32" s="1"/>
  <c r="Z33" i="32" s="1"/>
  <c r="W33" i="32"/>
  <c r="Y33" i="32" s="1"/>
  <c r="W40" i="32"/>
  <c r="Y40" i="32" s="1"/>
  <c r="V40" i="32"/>
  <c r="X40" i="32" s="1"/>
  <c r="Z40" i="32" s="1"/>
  <c r="W12" i="32"/>
  <c r="Y12" i="32" s="1"/>
  <c r="V12" i="32"/>
  <c r="X12" i="32" s="1"/>
  <c r="Z12" i="32" s="1"/>
  <c r="W41" i="32"/>
  <c r="Y41" i="32" s="1"/>
  <c r="V41" i="32"/>
  <c r="X41" i="32" s="1"/>
  <c r="Z41" i="32" s="1"/>
  <c r="W39" i="32"/>
  <c r="Y39" i="32" s="1"/>
  <c r="V39" i="32"/>
  <c r="X39" i="32" s="1"/>
  <c r="Z39" i="32" s="1"/>
  <c r="M35" i="32"/>
  <c r="U35" i="32"/>
  <c r="M31" i="32"/>
  <c r="U31" i="32"/>
  <c r="M42" i="32"/>
  <c r="U42" i="32"/>
  <c r="W34" i="32"/>
  <c r="Y34" i="32" s="1"/>
  <c r="V34" i="32"/>
  <c r="X34" i="32" s="1"/>
  <c r="Z34" i="32" s="1"/>
  <c r="W11" i="32"/>
  <c r="Y11" i="32" s="1"/>
  <c r="V11" i="32"/>
  <c r="X11" i="32" s="1"/>
  <c r="Z11" i="32" s="1"/>
  <c r="M36" i="32"/>
  <c r="U36" i="32"/>
  <c r="W21" i="32"/>
  <c r="Y21" i="32" s="1"/>
  <c r="V21" i="32"/>
  <c r="X21" i="32" s="1"/>
  <c r="Z21" i="32" s="1"/>
  <c r="W38" i="32"/>
  <c r="Y38" i="32" s="1"/>
  <c r="V38" i="32"/>
  <c r="X38" i="32" s="1"/>
  <c r="Z38" i="32" s="1"/>
  <c r="W43" i="32"/>
  <c r="Y43" i="32" s="1"/>
  <c r="V43" i="32"/>
  <c r="X43" i="32" s="1"/>
  <c r="Z43" i="32" s="1"/>
  <c r="W30" i="32"/>
  <c r="Y30" i="32" s="1"/>
  <c r="V30" i="32"/>
  <c r="X30" i="32" s="1"/>
  <c r="Z30" i="32" s="1"/>
  <c r="M32" i="32"/>
  <c r="U32" i="32"/>
  <c r="M29" i="32"/>
  <c r="U29" i="32"/>
  <c r="W29" i="31"/>
  <c r="Y29" i="31" s="1"/>
  <c r="V29" i="31"/>
  <c r="X29" i="31" s="1"/>
  <c r="Z29" i="31" s="1"/>
  <c r="W31" i="31"/>
  <c r="Y31" i="31" s="1"/>
  <c r="V31" i="31"/>
  <c r="X31" i="31" s="1"/>
  <c r="Z31" i="31" s="1"/>
  <c r="W37" i="31"/>
  <c r="Y37" i="31" s="1"/>
  <c r="V37" i="31"/>
  <c r="X37" i="31" s="1"/>
  <c r="Z37" i="31" s="1"/>
  <c r="W36" i="31"/>
  <c r="Y36" i="31" s="1"/>
  <c r="V36" i="31"/>
  <c r="X36" i="31" s="1"/>
  <c r="Z36" i="31" s="1"/>
  <c r="W32" i="31"/>
  <c r="Y32" i="31" s="1"/>
  <c r="V32" i="31"/>
  <c r="X32" i="31" s="1"/>
  <c r="Z32" i="31" s="1"/>
  <c r="W40" i="31"/>
  <c r="Y40" i="31" s="1"/>
  <c r="V40" i="31"/>
  <c r="X40" i="31" s="1"/>
  <c r="Z40" i="31" s="1"/>
  <c r="W38" i="31"/>
  <c r="Y38" i="31" s="1"/>
  <c r="V38" i="31"/>
  <c r="X38" i="31" s="1"/>
  <c r="Z38" i="31" s="1"/>
  <c r="W35" i="31"/>
  <c r="Y35" i="31" s="1"/>
  <c r="V35" i="31"/>
  <c r="X35" i="31" s="1"/>
  <c r="Z35" i="31" s="1"/>
  <c r="W30" i="31"/>
  <c r="Y30" i="31" s="1"/>
  <c r="V30" i="31"/>
  <c r="X30" i="31" s="1"/>
  <c r="Z30" i="31" s="1"/>
  <c r="W39" i="31"/>
  <c r="Y39" i="31" s="1"/>
  <c r="V39" i="31"/>
  <c r="X39" i="31" s="1"/>
  <c r="Z39" i="31" s="1"/>
  <c r="M39" i="25"/>
  <c r="U39" i="25"/>
  <c r="W52" i="25"/>
  <c r="Y52" i="25" s="1"/>
  <c r="V52" i="25"/>
  <c r="X52" i="25" s="1"/>
  <c r="Z52" i="25" s="1"/>
  <c r="U37" i="20"/>
  <c r="W37" i="20" s="1"/>
  <c r="T37" i="20"/>
  <c r="V37" i="20" s="1"/>
  <c r="X37" i="20" s="1"/>
  <c r="W56" i="26"/>
  <c r="Y56" i="26" s="1"/>
  <c r="V56" i="26"/>
  <c r="X56" i="26" s="1"/>
  <c r="Z56" i="26" s="1"/>
  <c r="W43" i="26"/>
  <c r="Y43" i="26" s="1"/>
  <c r="V43" i="26"/>
  <c r="X43" i="26" s="1"/>
  <c r="Z43" i="26" s="1"/>
  <c r="W13" i="25"/>
  <c r="Y13" i="25" s="1"/>
  <c r="V13" i="25"/>
  <c r="X13" i="25" s="1"/>
  <c r="Z13" i="25" s="1"/>
  <c r="M43" i="25"/>
  <c r="U43" i="25"/>
  <c r="U36" i="22"/>
  <c r="W36" i="22" s="1"/>
  <c r="T36" i="22"/>
  <c r="V36" i="22" s="1"/>
  <c r="X36" i="22" s="1"/>
  <c r="W49" i="25"/>
  <c r="Y49" i="25" s="1"/>
  <c r="V49" i="25"/>
  <c r="X49" i="25" s="1"/>
  <c r="Z49" i="25" s="1"/>
  <c r="W52" i="26"/>
  <c r="Y52" i="26" s="1"/>
  <c r="V52" i="26"/>
  <c r="X52" i="26" s="1"/>
  <c r="Z52" i="26" s="1"/>
  <c r="T40" i="22"/>
  <c r="V40" i="22" s="1"/>
  <c r="X40" i="22" s="1"/>
  <c r="U40" i="22"/>
  <c r="W40" i="22" s="1"/>
  <c r="U32" i="17"/>
  <c r="W32" i="17" s="1"/>
  <c r="T32" i="17"/>
  <c r="V32" i="17" s="1"/>
  <c r="X32" i="17" s="1"/>
  <c r="T34" i="16"/>
  <c r="V34" i="16" s="1"/>
  <c r="X34" i="16" s="1"/>
  <c r="U34" i="16"/>
  <c r="W34" i="16" s="1"/>
  <c r="W14" i="25"/>
  <c r="Y14" i="25" s="1"/>
  <c r="V14" i="25"/>
  <c r="X14" i="25" s="1"/>
  <c r="Z14" i="25" s="1"/>
  <c r="W51" i="25"/>
  <c r="Y51" i="25" s="1"/>
  <c r="V51" i="25"/>
  <c r="X51" i="25" s="1"/>
  <c r="Z51" i="25" s="1"/>
  <c r="W48" i="26"/>
  <c r="Y48" i="26" s="1"/>
  <c r="V48" i="26"/>
  <c r="X48" i="26" s="1"/>
  <c r="Z48" i="26" s="1"/>
  <c r="U30" i="16"/>
  <c r="W30" i="16" s="1"/>
  <c r="T30" i="16"/>
  <c r="V30" i="16" s="1"/>
  <c r="X30" i="16" s="1"/>
  <c r="W39" i="26"/>
  <c r="Y39" i="26" s="1"/>
  <c r="V39" i="26"/>
  <c r="X39" i="26" s="1"/>
  <c r="Z39" i="26" s="1"/>
  <c r="U33" i="20"/>
  <c r="W33" i="20" s="1"/>
  <c r="T33" i="20"/>
  <c r="V33" i="20" s="1"/>
  <c r="X33" i="20" s="1"/>
  <c r="M62" i="25"/>
  <c r="U62" i="25"/>
  <c r="W60" i="25"/>
  <c r="Y60" i="25" s="1"/>
  <c r="V60" i="25"/>
  <c r="X60" i="25" s="1"/>
  <c r="Z60" i="25" s="1"/>
  <c r="W19" i="25"/>
  <c r="Y19" i="25" s="1"/>
  <c r="V19" i="25"/>
  <c r="X19" i="25" s="1"/>
  <c r="Z19" i="25" s="1"/>
  <c r="U30" i="14"/>
  <c r="W30" i="14" s="1"/>
  <c r="T30" i="14"/>
  <c r="V30" i="14" s="1"/>
  <c r="X30" i="14" s="1"/>
  <c r="U38" i="20"/>
  <c r="W38" i="20" s="1"/>
  <c r="T38" i="20"/>
  <c r="V38" i="20" s="1"/>
  <c r="X38" i="20" s="1"/>
  <c r="T34" i="17"/>
  <c r="V34" i="17" s="1"/>
  <c r="X34" i="17" s="1"/>
  <c r="U34" i="17"/>
  <c r="W34" i="17" s="1"/>
  <c r="U32" i="20"/>
  <c r="W32" i="20" s="1"/>
  <c r="T32" i="20"/>
  <c r="V32" i="20" s="1"/>
  <c r="X32" i="20" s="1"/>
  <c r="W15" i="25"/>
  <c r="Y15" i="25" s="1"/>
  <c r="V15" i="25"/>
  <c r="X15" i="25" s="1"/>
  <c r="Z15" i="25" s="1"/>
  <c r="T44" i="23"/>
  <c r="V44" i="23" s="1"/>
  <c r="X44" i="23" s="1"/>
  <c r="U44" i="23"/>
  <c r="W44" i="23" s="1"/>
  <c r="M54" i="25"/>
  <c r="U54" i="25"/>
  <c r="U37" i="17"/>
  <c r="W37" i="17" s="1"/>
  <c r="T37" i="17"/>
  <c r="V37" i="17" s="1"/>
  <c r="X37" i="17" s="1"/>
  <c r="W40" i="26"/>
  <c r="Y40" i="26" s="1"/>
  <c r="V40" i="26"/>
  <c r="X40" i="26" s="1"/>
  <c r="Z40" i="26" s="1"/>
  <c r="U29" i="16"/>
  <c r="W29" i="16" s="1"/>
  <c r="T29" i="16"/>
  <c r="V29" i="16" s="1"/>
  <c r="X29" i="16" s="1"/>
  <c r="W46" i="25"/>
  <c r="Y46" i="25" s="1"/>
  <c r="V46" i="25"/>
  <c r="X46" i="25" s="1"/>
  <c r="Z46" i="25" s="1"/>
  <c r="W24" i="25"/>
  <c r="Y24" i="25" s="1"/>
  <c r="V24" i="25"/>
  <c r="X24" i="25" s="1"/>
  <c r="Z24" i="25" s="1"/>
  <c r="T40" i="23"/>
  <c r="V40" i="23" s="1"/>
  <c r="X40" i="23" s="1"/>
  <c r="U40" i="23"/>
  <c r="W40" i="23" s="1"/>
  <c r="M32" i="23"/>
  <c r="S32" i="23"/>
  <c r="S47" i="23"/>
  <c r="U47" i="23" s="1"/>
  <c r="W47" i="23" s="1"/>
  <c r="T47" i="23"/>
  <c r="V47" i="23" s="1"/>
  <c r="X47" i="23" s="1"/>
  <c r="T37" i="16"/>
  <c r="V37" i="16" s="1"/>
  <c r="X37" i="16" s="1"/>
  <c r="U37" i="16"/>
  <c r="W37" i="16" s="1"/>
  <c r="M61" i="25"/>
  <c r="U61" i="25"/>
  <c r="U39" i="16"/>
  <c r="W39" i="16" s="1"/>
  <c r="T39" i="16"/>
  <c r="V39" i="16" s="1"/>
  <c r="X39" i="16" s="1"/>
  <c r="W46" i="26"/>
  <c r="Y46" i="26" s="1"/>
  <c r="V46" i="26"/>
  <c r="X46" i="26" s="1"/>
  <c r="Z46" i="26" s="1"/>
  <c r="M38" i="23"/>
  <c r="S38" i="23"/>
  <c r="S37" i="23"/>
  <c r="M37" i="23"/>
  <c r="T35" i="22"/>
  <c r="V35" i="22" s="1"/>
  <c r="X35" i="22" s="1"/>
  <c r="U35" i="22"/>
  <c r="W35" i="22" s="1"/>
  <c r="T24" i="23"/>
  <c r="V24" i="23" s="1"/>
  <c r="X24" i="23" s="1"/>
  <c r="U24" i="23"/>
  <c r="W24" i="23" s="1"/>
  <c r="U36" i="14"/>
  <c r="W36" i="14" s="1"/>
  <c r="T36" i="14"/>
  <c r="V36" i="14" s="1"/>
  <c r="X36" i="14" s="1"/>
  <c r="W59" i="26"/>
  <c r="Y59" i="26" s="1"/>
  <c r="V59" i="26"/>
  <c r="X59" i="26" s="1"/>
  <c r="Z59" i="26" s="1"/>
  <c r="T31" i="16"/>
  <c r="V31" i="16" s="1"/>
  <c r="X31" i="16" s="1"/>
  <c r="U31" i="16"/>
  <c r="W31" i="16" s="1"/>
  <c r="T41" i="20"/>
  <c r="V41" i="20" s="1"/>
  <c r="X41" i="20" s="1"/>
  <c r="U41" i="20"/>
  <c r="W41" i="20" s="1"/>
  <c r="W61" i="26"/>
  <c r="Y61" i="26" s="1"/>
  <c r="V61" i="26"/>
  <c r="X61" i="26" s="1"/>
  <c r="Z61" i="26" s="1"/>
  <c r="M57" i="25"/>
  <c r="U57" i="25"/>
  <c r="S43" i="23"/>
  <c r="U43" i="23" s="1"/>
  <c r="W43" i="23" s="1"/>
  <c r="T43" i="23"/>
  <c r="V43" i="23" s="1"/>
  <c r="X43" i="23" s="1"/>
  <c r="M44" i="25"/>
  <c r="U44" i="25"/>
  <c r="U41" i="17"/>
  <c r="W41" i="17" s="1"/>
  <c r="T41" i="17"/>
  <c r="V41" i="17" s="1"/>
  <c r="X41" i="17" s="1"/>
  <c r="T29" i="14"/>
  <c r="V29" i="14" s="1"/>
  <c r="X29" i="14" s="1"/>
  <c r="U29" i="14"/>
  <c r="W29" i="14" s="1"/>
  <c r="T32" i="22"/>
  <c r="V32" i="22" s="1"/>
  <c r="X32" i="22" s="1"/>
  <c r="U32" i="22"/>
  <c r="W32" i="22" s="1"/>
  <c r="T34" i="20"/>
  <c r="V34" i="20" s="1"/>
  <c r="X34" i="20" s="1"/>
  <c r="U34" i="20"/>
  <c r="W34" i="20" s="1"/>
  <c r="U26" i="23"/>
  <c r="W26" i="23" s="1"/>
  <c r="T26" i="23"/>
  <c r="V26" i="23" s="1"/>
  <c r="X26" i="23" s="1"/>
  <c r="T11" i="23"/>
  <c r="V11" i="23" s="1"/>
  <c r="X11" i="23" s="1"/>
  <c r="U11" i="23"/>
  <c r="W11" i="23" s="1"/>
  <c r="U35" i="16"/>
  <c r="W35" i="16" s="1"/>
  <c r="T35" i="16"/>
  <c r="V35" i="16" s="1"/>
  <c r="X35" i="16" s="1"/>
  <c r="T35" i="23"/>
  <c r="V35" i="23" s="1"/>
  <c r="X35" i="23" s="1"/>
  <c r="U35" i="23"/>
  <c r="W35" i="23" s="1"/>
  <c r="W44" i="26"/>
  <c r="Y44" i="26" s="1"/>
  <c r="V44" i="26"/>
  <c r="X44" i="26" s="1"/>
  <c r="Z44" i="26" s="1"/>
  <c r="T41" i="16"/>
  <c r="V41" i="16" s="1"/>
  <c r="X41" i="16" s="1"/>
  <c r="U41" i="16"/>
  <c r="W41" i="16" s="1"/>
  <c r="W56" i="25"/>
  <c r="Y56" i="25" s="1"/>
  <c r="V56" i="25"/>
  <c r="X56" i="25" s="1"/>
  <c r="Z56" i="25" s="1"/>
  <c r="W58" i="26"/>
  <c r="Y58" i="26" s="1"/>
  <c r="V58" i="26"/>
  <c r="X58" i="26" s="1"/>
  <c r="Z58" i="26" s="1"/>
  <c r="T37" i="22"/>
  <c r="V37" i="22" s="1"/>
  <c r="X37" i="22" s="1"/>
  <c r="U37" i="22"/>
  <c r="W37" i="22" s="1"/>
  <c r="T41" i="23"/>
  <c r="V41" i="23" s="1"/>
  <c r="X41" i="23" s="1"/>
  <c r="U41" i="23"/>
  <c r="W41" i="23" s="1"/>
  <c r="T28" i="16"/>
  <c r="V28" i="16" s="1"/>
  <c r="X28" i="16" s="1"/>
  <c r="U28" i="16"/>
  <c r="W28" i="16" s="1"/>
  <c r="U39" i="17"/>
  <c r="W39" i="17" s="1"/>
  <c r="T39" i="17"/>
  <c r="V39" i="17" s="1"/>
  <c r="X39" i="17" s="1"/>
  <c r="W57" i="26"/>
  <c r="Y57" i="26" s="1"/>
  <c r="V57" i="26"/>
  <c r="X57" i="26" s="1"/>
  <c r="Z57" i="26" s="1"/>
  <c r="M58" i="25"/>
  <c r="U58" i="25"/>
  <c r="T45" i="23"/>
  <c r="V45" i="23" s="1"/>
  <c r="X45" i="23" s="1"/>
  <c r="U45" i="23"/>
  <c r="W45" i="23" s="1"/>
  <c r="W42" i="26"/>
  <c r="Y42" i="26" s="1"/>
  <c r="V42" i="26"/>
  <c r="X42" i="26" s="1"/>
  <c r="Z42" i="26" s="1"/>
  <c r="V41" i="25"/>
  <c r="X41" i="25" s="1"/>
  <c r="Z41" i="25" s="1"/>
  <c r="W41" i="25"/>
  <c r="Y41" i="25" s="1"/>
  <c r="W31" i="25"/>
  <c r="Y31" i="25" s="1"/>
  <c r="V31" i="25"/>
  <c r="X31" i="25" s="1"/>
  <c r="Z31" i="25" s="1"/>
  <c r="W47" i="26"/>
  <c r="Y47" i="26" s="1"/>
  <c r="V47" i="26"/>
  <c r="X47" i="26" s="1"/>
  <c r="Z47" i="26" s="1"/>
  <c r="W53" i="26"/>
  <c r="Y53" i="26" s="1"/>
  <c r="V53" i="26"/>
  <c r="X53" i="26" s="1"/>
  <c r="Z53" i="26" s="1"/>
  <c r="T29" i="17"/>
  <c r="V29" i="17" s="1"/>
  <c r="X29" i="17" s="1"/>
  <c r="U29" i="17"/>
  <c r="W29" i="17" s="1"/>
  <c r="M48" i="25"/>
  <c r="U48" i="25"/>
  <c r="U36" i="20"/>
  <c r="W36" i="20" s="1"/>
  <c r="T36" i="20"/>
  <c r="V36" i="20" s="1"/>
  <c r="X36" i="20" s="1"/>
  <c r="U31" i="14"/>
  <c r="W31" i="14" s="1"/>
  <c r="T31" i="14"/>
  <c r="V31" i="14" s="1"/>
  <c r="X31" i="14" s="1"/>
  <c r="U36" i="17"/>
  <c r="W36" i="17" s="1"/>
  <c r="T36" i="17"/>
  <c r="V36" i="17" s="1"/>
  <c r="X36" i="17" s="1"/>
  <c r="U40" i="14"/>
  <c r="W40" i="14" s="1"/>
  <c r="T40" i="14"/>
  <c r="V40" i="14" s="1"/>
  <c r="X40" i="14" s="1"/>
  <c r="T35" i="17"/>
  <c r="V35" i="17" s="1"/>
  <c r="X35" i="17" s="1"/>
  <c r="U35" i="17"/>
  <c r="W35" i="17" s="1"/>
  <c r="T37" i="14"/>
  <c r="V37" i="14" s="1"/>
  <c r="X37" i="14" s="1"/>
  <c r="U37" i="14"/>
  <c r="W37" i="14" s="1"/>
  <c r="U33" i="14"/>
  <c r="W33" i="14" s="1"/>
  <c r="T33" i="14"/>
  <c r="V33" i="14" s="1"/>
  <c r="X33" i="14" s="1"/>
  <c r="V47" i="29"/>
  <c r="X47" i="29" s="1"/>
  <c r="Z47" i="29" s="1"/>
  <c r="W49" i="26"/>
  <c r="Y49" i="26" s="1"/>
  <c r="V49" i="26"/>
  <c r="X49" i="26" s="1"/>
  <c r="Z49" i="26" s="1"/>
  <c r="U34" i="23"/>
  <c r="W34" i="23" s="1"/>
  <c r="T34" i="23"/>
  <c r="V34" i="23" s="1"/>
  <c r="X34" i="23" s="1"/>
  <c r="M39" i="23"/>
  <c r="S39" i="23"/>
  <c r="U36" i="16"/>
  <c r="W36" i="16" s="1"/>
  <c r="T36" i="16"/>
  <c r="V36" i="16" s="1"/>
  <c r="X36" i="16" s="1"/>
  <c r="V50" i="25"/>
  <c r="X50" i="25" s="1"/>
  <c r="Z50" i="25" s="1"/>
  <c r="W50" i="25"/>
  <c r="Y50" i="25" s="1"/>
  <c r="U33" i="17"/>
  <c r="W33" i="17" s="1"/>
  <c r="T33" i="17"/>
  <c r="V33" i="17" s="1"/>
  <c r="X33" i="17" s="1"/>
  <c r="W45" i="25"/>
  <c r="Y45" i="25" s="1"/>
  <c r="V45" i="25"/>
  <c r="X45" i="25" s="1"/>
  <c r="Z45" i="25" s="1"/>
  <c r="M47" i="25"/>
  <c r="U47" i="25"/>
  <c r="W53" i="25"/>
  <c r="Y53" i="25" s="1"/>
  <c r="V53" i="25"/>
  <c r="X53" i="25" s="1"/>
  <c r="Z53" i="25" s="1"/>
  <c r="U33" i="22"/>
  <c r="W33" i="22" s="1"/>
  <c r="T33" i="22"/>
  <c r="V33" i="22" s="1"/>
  <c r="X33" i="22" s="1"/>
  <c r="M59" i="25"/>
  <c r="U59" i="25"/>
  <c r="W55" i="25"/>
  <c r="Y55" i="25" s="1"/>
  <c r="V55" i="25"/>
  <c r="X55" i="25" s="1"/>
  <c r="Z55" i="25" s="1"/>
  <c r="W60" i="26"/>
  <c r="Y60" i="26" s="1"/>
  <c r="V60" i="26"/>
  <c r="X60" i="26" s="1"/>
  <c r="Z60" i="26" s="1"/>
  <c r="T40" i="20"/>
  <c r="V40" i="20" s="1"/>
  <c r="X40" i="20" s="1"/>
  <c r="U40" i="20"/>
  <c r="W40" i="20" s="1"/>
  <c r="W42" i="25"/>
  <c r="Y42" i="25" s="1"/>
  <c r="V42" i="25"/>
  <c r="X42" i="25" s="1"/>
  <c r="Z42" i="25" s="1"/>
  <c r="T34" i="14"/>
  <c r="V34" i="14" s="1"/>
  <c r="X34" i="14" s="1"/>
  <c r="U34" i="14"/>
  <c r="W34" i="14" s="1"/>
  <c r="W40" i="25"/>
  <c r="Y40" i="25" s="1"/>
  <c r="V40" i="25"/>
  <c r="X40" i="25" s="1"/>
  <c r="Z40" i="25" s="1"/>
  <c r="W62" i="26"/>
  <c r="Y62" i="26" s="1"/>
  <c r="V62" i="26"/>
  <c r="X62" i="26" s="1"/>
  <c r="Z62" i="26" s="1"/>
  <c r="T31" i="17"/>
  <c r="V31" i="17" s="1"/>
  <c r="X31" i="17" s="1"/>
  <c r="U31" i="17"/>
  <c r="W31" i="17" s="1"/>
  <c r="U29" i="20"/>
  <c r="W29" i="20" s="1"/>
  <c r="T29" i="20"/>
  <c r="V29" i="20" s="1"/>
  <c r="X29" i="20" s="1"/>
  <c r="S46" i="23"/>
  <c r="M46" i="23"/>
  <c r="M33" i="23"/>
  <c r="S33" i="23"/>
  <c r="U33" i="16"/>
  <c r="W33" i="16" s="1"/>
  <c r="T33" i="16"/>
  <c r="V33" i="16" s="1"/>
  <c r="X33" i="16" s="1"/>
  <c r="T36" i="23"/>
  <c r="V36" i="23" s="1"/>
  <c r="X36" i="23" s="1"/>
  <c r="U36" i="23"/>
  <c r="W36" i="23" s="1"/>
  <c r="U15" i="23"/>
  <c r="W15" i="23" s="1"/>
  <c r="T15" i="23"/>
  <c r="V15" i="23" s="1"/>
  <c r="X15" i="23" s="1"/>
  <c r="U40" i="16"/>
  <c r="W40" i="16" s="1"/>
  <c r="T40" i="16"/>
  <c r="V40" i="16" s="1"/>
  <c r="X40" i="16" s="1"/>
  <c r="T42" i="23"/>
  <c r="V42" i="23" s="1"/>
  <c r="X42" i="23" s="1"/>
  <c r="U42" i="23"/>
  <c r="W42" i="23" s="1"/>
  <c r="U32" i="14"/>
  <c r="W32" i="14" s="1"/>
  <c r="T32" i="14"/>
  <c r="V32" i="14" s="1"/>
  <c r="X32" i="14" s="1"/>
  <c r="W47" i="28"/>
  <c r="Y47" i="28" s="1"/>
  <c r="V53" i="28"/>
  <c r="X53" i="28" s="1"/>
  <c r="Z53" i="28" s="1"/>
  <c r="W49" i="28"/>
  <c r="Y49" i="28" s="1"/>
  <c r="W64" i="29"/>
  <c r="Y64" i="29" s="1"/>
  <c r="V64" i="29"/>
  <c r="X64" i="29" s="1"/>
  <c r="Z64" i="29" s="1"/>
  <c r="V40" i="28"/>
  <c r="X40" i="28" s="1"/>
  <c r="Z40" i="28" s="1"/>
  <c r="W58" i="28"/>
  <c r="Y58" i="28" s="1"/>
  <c r="W49" i="29"/>
  <c r="Y49" i="29" s="1"/>
  <c r="V49" i="29"/>
  <c r="X49" i="29" s="1"/>
  <c r="Z49" i="29" s="1"/>
  <c r="W44" i="29"/>
  <c r="Y44" i="29" s="1"/>
  <c r="V44" i="29"/>
  <c r="X44" i="29" s="1"/>
  <c r="Z44" i="29" s="1"/>
  <c r="W41" i="29"/>
  <c r="Y41" i="29" s="1"/>
  <c r="V41" i="29"/>
  <c r="X41" i="29" s="1"/>
  <c r="Z41" i="29" s="1"/>
  <c r="W52" i="29"/>
  <c r="Y52" i="29" s="1"/>
  <c r="V52" i="29"/>
  <c r="X52" i="29" s="1"/>
  <c r="Z52" i="29" s="1"/>
  <c r="W58" i="29"/>
  <c r="Y58" i="29" s="1"/>
  <c r="V58" i="29"/>
  <c r="X58" i="29" s="1"/>
  <c r="Z58" i="29" s="1"/>
  <c r="W57" i="29"/>
  <c r="Y57" i="29" s="1"/>
  <c r="V57" i="29"/>
  <c r="X57" i="29" s="1"/>
  <c r="Z57" i="29" s="1"/>
  <c r="W56" i="29"/>
  <c r="Y56" i="29" s="1"/>
  <c r="V56" i="29"/>
  <c r="X56" i="29" s="1"/>
  <c r="Z56" i="29" s="1"/>
  <c r="W55" i="29"/>
  <c r="Y55" i="29" s="1"/>
  <c r="V55" i="29"/>
  <c r="X55" i="29" s="1"/>
  <c r="Z55" i="29" s="1"/>
  <c r="W60" i="29"/>
  <c r="Y60" i="29" s="1"/>
  <c r="V60" i="29"/>
  <c r="X60" i="29" s="1"/>
  <c r="Z60" i="29" s="1"/>
  <c r="W40" i="29"/>
  <c r="Y40" i="29" s="1"/>
  <c r="V40" i="29"/>
  <c r="X40" i="29" s="1"/>
  <c r="Z40" i="29" s="1"/>
  <c r="W50" i="29"/>
  <c r="Y50" i="29" s="1"/>
  <c r="V50" i="29"/>
  <c r="X50" i="29" s="1"/>
  <c r="Z50" i="29" s="1"/>
  <c r="W54" i="29"/>
  <c r="Y54" i="29" s="1"/>
  <c r="V54" i="29"/>
  <c r="X54" i="29" s="1"/>
  <c r="Z54" i="29" s="1"/>
  <c r="W59" i="29"/>
  <c r="Y59" i="29" s="1"/>
  <c r="V59" i="29"/>
  <c r="X59" i="29" s="1"/>
  <c r="Z59" i="29" s="1"/>
  <c r="W41" i="28"/>
  <c r="Y41" i="28" s="1"/>
  <c r="V41" i="28"/>
  <c r="X41" i="28" s="1"/>
  <c r="Z41" i="28" s="1"/>
  <c r="W60" i="28"/>
  <c r="Y60" i="28" s="1"/>
  <c r="V60" i="28"/>
  <c r="X60" i="28" s="1"/>
  <c r="Z60" i="28" s="1"/>
  <c r="W57" i="28"/>
  <c r="Y57" i="28" s="1"/>
  <c r="V57" i="28"/>
  <c r="X57" i="28" s="1"/>
  <c r="Z57" i="28" s="1"/>
  <c r="W52" i="28"/>
  <c r="Y52" i="28" s="1"/>
  <c r="V52" i="28"/>
  <c r="X52" i="28" s="1"/>
  <c r="Z52" i="28" s="1"/>
  <c r="W59" i="28"/>
  <c r="Y59" i="28" s="1"/>
  <c r="V59" i="28"/>
  <c r="X59" i="28" s="1"/>
  <c r="Z59" i="28" s="1"/>
  <c r="W50" i="28"/>
  <c r="Y50" i="28" s="1"/>
  <c r="V50" i="28"/>
  <c r="X50" i="28" s="1"/>
  <c r="Z50" i="28" s="1"/>
  <c r="W43" i="28"/>
  <c r="Y43" i="28" s="1"/>
  <c r="V43" i="28"/>
  <c r="X43" i="28" s="1"/>
  <c r="Z43" i="28" s="1"/>
  <c r="W44" i="28"/>
  <c r="Y44" i="28" s="1"/>
  <c r="V44" i="28"/>
  <c r="X44" i="28" s="1"/>
  <c r="Z44" i="28" s="1"/>
  <c r="W45" i="28"/>
  <c r="Y45" i="28" s="1"/>
  <c r="V45" i="28"/>
  <c r="X45" i="28" s="1"/>
  <c r="Z45" i="28" s="1"/>
  <c r="W56" i="28"/>
  <c r="Y56" i="28" s="1"/>
  <c r="V56" i="28"/>
  <c r="X56" i="28" s="1"/>
  <c r="Z56" i="28" s="1"/>
  <c r="W62" i="28"/>
  <c r="Y62" i="28" s="1"/>
  <c r="V62" i="28"/>
  <c r="X62" i="28" s="1"/>
  <c r="Z62" i="28" s="1"/>
  <c r="W42" i="32" l="1"/>
  <c r="Y42" i="32" s="1"/>
  <c r="V42" i="32"/>
  <c r="X42" i="32" s="1"/>
  <c r="Z42" i="32" s="1"/>
  <c r="W37" i="32"/>
  <c r="Y37" i="32" s="1"/>
  <c r="V37" i="32"/>
  <c r="X37" i="32" s="1"/>
  <c r="Z37" i="32" s="1"/>
  <c r="W32" i="32"/>
  <c r="Y32" i="32" s="1"/>
  <c r="V32" i="32"/>
  <c r="X32" i="32" s="1"/>
  <c r="Z32" i="32" s="1"/>
  <c r="W35" i="32"/>
  <c r="Y35" i="32" s="1"/>
  <c r="V35" i="32"/>
  <c r="X35" i="32" s="1"/>
  <c r="Z35" i="32" s="1"/>
  <c r="W29" i="32"/>
  <c r="Y29" i="32" s="1"/>
  <c r="V29" i="32"/>
  <c r="X29" i="32" s="1"/>
  <c r="Z29" i="32" s="1"/>
  <c r="W36" i="32"/>
  <c r="Y36" i="32" s="1"/>
  <c r="V36" i="32"/>
  <c r="X36" i="32" s="1"/>
  <c r="Z36" i="32" s="1"/>
  <c r="W31" i="32"/>
  <c r="Y31" i="32" s="1"/>
  <c r="V31" i="32"/>
  <c r="X31" i="32" s="1"/>
  <c r="Z31" i="32" s="1"/>
  <c r="U32" i="23"/>
  <c r="W32" i="23" s="1"/>
  <c r="T32" i="23"/>
  <c r="V32" i="23" s="1"/>
  <c r="X32" i="23" s="1"/>
  <c r="W62" i="25"/>
  <c r="Y62" i="25" s="1"/>
  <c r="V62" i="25"/>
  <c r="X62" i="25" s="1"/>
  <c r="Z62" i="25" s="1"/>
  <c r="U46" i="23"/>
  <c r="W46" i="23" s="1"/>
  <c r="T46" i="23"/>
  <c r="V46" i="23" s="1"/>
  <c r="X46" i="23" s="1"/>
  <c r="W57" i="25"/>
  <c r="Y57" i="25" s="1"/>
  <c r="V57" i="25"/>
  <c r="X57" i="25" s="1"/>
  <c r="Z57" i="25" s="1"/>
  <c r="W59" i="25"/>
  <c r="Y59" i="25" s="1"/>
  <c r="V59" i="25"/>
  <c r="X59" i="25" s="1"/>
  <c r="Z59" i="25" s="1"/>
  <c r="U39" i="23"/>
  <c r="W39" i="23" s="1"/>
  <c r="T39" i="23"/>
  <c r="V39" i="23" s="1"/>
  <c r="X39" i="23" s="1"/>
  <c r="W58" i="25"/>
  <c r="Y58" i="25" s="1"/>
  <c r="V58" i="25"/>
  <c r="X58" i="25" s="1"/>
  <c r="Z58" i="25" s="1"/>
  <c r="W61" i="25"/>
  <c r="Y61" i="25" s="1"/>
  <c r="V61" i="25"/>
  <c r="X61" i="25" s="1"/>
  <c r="Z61" i="25" s="1"/>
  <c r="W48" i="25"/>
  <c r="Y48" i="25" s="1"/>
  <c r="V48" i="25"/>
  <c r="X48" i="25" s="1"/>
  <c r="Z48" i="25" s="1"/>
  <c r="W43" i="25"/>
  <c r="Y43" i="25" s="1"/>
  <c r="V43" i="25"/>
  <c r="X43" i="25" s="1"/>
  <c r="Z43" i="25" s="1"/>
  <c r="V47" i="25"/>
  <c r="X47" i="25" s="1"/>
  <c r="Z47" i="25" s="1"/>
  <c r="W47" i="25"/>
  <c r="Y47" i="25" s="1"/>
  <c r="U37" i="23"/>
  <c r="W37" i="23" s="1"/>
  <c r="T37" i="23"/>
  <c r="V37" i="23" s="1"/>
  <c r="X37" i="23" s="1"/>
  <c r="T38" i="23"/>
  <c r="V38" i="23" s="1"/>
  <c r="X38" i="23" s="1"/>
  <c r="U38" i="23"/>
  <c r="W38" i="23" s="1"/>
  <c r="W44" i="25"/>
  <c r="Y44" i="25" s="1"/>
  <c r="V44" i="25"/>
  <c r="X44" i="25" s="1"/>
  <c r="Z44" i="25" s="1"/>
  <c r="W54" i="25"/>
  <c r="Y54" i="25" s="1"/>
  <c r="V54" i="25"/>
  <c r="X54" i="25" s="1"/>
  <c r="Z54" i="25" s="1"/>
  <c r="W39" i="25"/>
  <c r="Y39" i="25" s="1"/>
  <c r="V39" i="25"/>
  <c r="X39" i="25" s="1"/>
  <c r="Z39" i="25" s="1"/>
  <c r="U33" i="23"/>
  <c r="W33" i="23" s="1"/>
  <c r="T33" i="23"/>
  <c r="V33" i="23" s="1"/>
  <c r="X33"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Microsoft Office User</author>
  </authors>
  <commentList>
    <comment ref="G5" authorId="0" shapeId="0" xr:uid="{7B18FC5B-99AE-204B-B726-7C6F4C8F32E5}">
      <text>
        <r>
          <rPr>
            <b/>
            <sz val="9"/>
            <color rgb="FF000000"/>
            <rFont val="Verdana"/>
            <family val="2"/>
          </rPr>
          <t>May Mauseth:</t>
        </r>
        <r>
          <rPr>
            <sz val="9"/>
            <color rgb="FF000000"/>
            <rFont val="Verdana"/>
            <family val="2"/>
          </rPr>
          <t xml:space="preserve">
</t>
        </r>
        <r>
          <rPr>
            <sz val="9"/>
            <color rgb="FF000000"/>
            <rFont val="Verdana"/>
            <family val="2"/>
          </rPr>
          <t>20% 0ff peak</t>
        </r>
      </text>
    </comment>
    <comment ref="R9" authorId="0" shapeId="0" xr:uid="{AD711210-CC9D-2244-8914-E3C7F4F3206B}">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9" authorId="1" shapeId="0" xr:uid="{322C344E-ABD4-2C41-9EBD-5A5A0D61A14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9" authorId="0" shapeId="0" xr:uid="{B6778218-796A-2845-B0DB-3EFC8E653C4D}">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17" authorId="2" shapeId="0" xr:uid="{48534B7A-6D41-AF41-A884-9008A014BC7E}">
      <text>
        <r>
          <rPr>
            <sz val="10"/>
            <color rgb="FF000000"/>
            <rFont val="Verdana"/>
            <family val="2"/>
          </rPr>
          <t xml:space="preserve">Includes membership fee
</t>
        </r>
      </text>
    </comment>
    <comment ref="C20" authorId="0" shapeId="0" xr:uid="{EFACE27B-16CF-3D40-BEC1-EB47A00964E4}">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30" authorId="0" shapeId="0" xr:uid="{C427D532-75EF-1A4C-A9A8-21BDAA26FA5D}">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30" authorId="1" shapeId="0" xr:uid="{6F325285-B49F-5A46-AD1C-01CD9866339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30" authorId="0" shapeId="0" xr:uid="{6F2B37E4-56E9-084B-AF7B-A7F61DC87C8A}">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38" authorId="2" shapeId="0" xr:uid="{6A6CDA02-B70D-DA4A-8E8D-4D42A517CEEB}">
      <text>
        <r>
          <rPr>
            <sz val="10"/>
            <color rgb="FF000000"/>
            <rFont val="Verdana"/>
            <family val="2"/>
          </rPr>
          <t>Includes membership fee</t>
        </r>
        <r>
          <rPr>
            <sz val="10"/>
            <color rgb="FF000000"/>
            <rFont val="Verdana"/>
            <family val="2"/>
          </rPr>
          <t xml:space="preserve">
</t>
        </r>
      </text>
    </comment>
    <comment ref="C41" authorId="0" shapeId="0" xr:uid="{A3E9D68A-826F-744C-8439-12179BEF8E64}">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G5" authorId="0" shapeId="0" xr:uid="{E02A76DF-A14E-E04B-AD57-5195698136FE}">
      <text>
        <r>
          <rPr>
            <b/>
            <sz val="9"/>
            <color indexed="81"/>
            <rFont val="Verdana"/>
            <family val="2"/>
          </rPr>
          <t>May Mauseth:</t>
        </r>
        <r>
          <rPr>
            <sz val="9"/>
            <color indexed="81"/>
            <rFont val="Verdana"/>
            <family val="2"/>
          </rPr>
          <t xml:space="preserve">
20% 0ff peak</t>
        </r>
      </text>
    </comment>
    <comment ref="S19" authorId="0" shapeId="0" xr:uid="{74D7D662-5019-F54D-9BB3-BF7EF940FF69}">
      <text>
        <r>
          <rPr>
            <b/>
            <sz val="10"/>
            <color rgb="FF000000"/>
            <rFont val="Tahoma"/>
            <family val="2"/>
          </rPr>
          <t>May Mauseth:</t>
        </r>
        <r>
          <rPr>
            <sz val="10"/>
            <color rgb="FF000000"/>
            <rFont val="Tahoma"/>
            <family val="2"/>
          </rPr>
          <t xml:space="preserve">
</t>
        </r>
        <r>
          <rPr>
            <sz val="10"/>
            <color rgb="FF000000"/>
            <rFont val="Tahoma"/>
            <family val="2"/>
          </rPr>
          <t>Including GST</t>
        </r>
      </text>
    </comment>
    <comment ref="S21" authorId="0" shapeId="0" xr:uid="{7B149E58-3437-6349-8BA0-9E53FFF404B7}">
      <text>
        <r>
          <rPr>
            <b/>
            <sz val="10"/>
            <color rgb="FF000000"/>
            <rFont val="Tahoma"/>
            <family val="2"/>
          </rPr>
          <t>May Mauseth:</t>
        </r>
        <r>
          <rPr>
            <sz val="10"/>
            <color rgb="FF000000"/>
            <rFont val="Tahoma"/>
            <family val="2"/>
          </rPr>
          <t xml:space="preserve">
</t>
        </r>
        <r>
          <rPr>
            <sz val="10"/>
            <color rgb="FF000000"/>
            <rFont val="Verdana"/>
            <family val="2"/>
          </rPr>
          <t xml:space="preserve">Including GST
</t>
        </r>
      </text>
    </comment>
    <comment ref="S25" authorId="0" shapeId="0" xr:uid="{F0924D74-CE90-8F46-BAD0-9A92145CBA35}">
      <text>
        <r>
          <rPr>
            <b/>
            <sz val="10"/>
            <color rgb="FF000000"/>
            <rFont val="Tahoma"/>
            <family val="2"/>
          </rPr>
          <t>May Mauseth:</t>
        </r>
        <r>
          <rPr>
            <sz val="10"/>
            <color rgb="FF000000"/>
            <rFont val="Tahoma"/>
            <family val="2"/>
          </rPr>
          <t xml:space="preserve">
</t>
        </r>
        <r>
          <rPr>
            <sz val="10"/>
            <color rgb="FF000000"/>
            <rFont val="Verdana"/>
            <family val="2"/>
          </rPr>
          <t xml:space="preserve">Including GST
</t>
        </r>
      </text>
    </comment>
    <comment ref="S41" authorId="0" shapeId="0" xr:uid="{055C0CAF-264A-9A41-954B-766128D0BD18}">
      <text>
        <r>
          <rPr>
            <b/>
            <sz val="10"/>
            <color rgb="FF000000"/>
            <rFont val="Tahoma"/>
            <family val="2"/>
          </rPr>
          <t>May Mauseth:</t>
        </r>
        <r>
          <rPr>
            <sz val="10"/>
            <color rgb="FF000000"/>
            <rFont val="Tahoma"/>
            <family val="2"/>
          </rPr>
          <t xml:space="preserve">
</t>
        </r>
        <r>
          <rPr>
            <sz val="10"/>
            <color rgb="FF000000"/>
            <rFont val="Tahoma"/>
            <family val="2"/>
          </rPr>
          <t>Including GST</t>
        </r>
      </text>
    </comment>
    <comment ref="S43" authorId="0" shapeId="0" xr:uid="{F64C8647-B808-654D-973F-D0074BCFFAAD}">
      <text>
        <r>
          <rPr>
            <b/>
            <sz val="10"/>
            <color rgb="FF000000"/>
            <rFont val="Tahoma"/>
            <family val="2"/>
          </rPr>
          <t>May Mauseth:</t>
        </r>
        <r>
          <rPr>
            <sz val="10"/>
            <color rgb="FF000000"/>
            <rFont val="Tahoma"/>
            <family val="2"/>
          </rPr>
          <t xml:space="preserve">
</t>
        </r>
        <r>
          <rPr>
            <sz val="10"/>
            <color rgb="FF000000"/>
            <rFont val="Verdana"/>
            <family val="2"/>
          </rPr>
          <t xml:space="preserve">Including GST
</t>
        </r>
      </text>
    </comment>
    <comment ref="S47" authorId="0" shapeId="0" xr:uid="{9D80D92D-F624-874B-A1A3-2DB6E8A7987A}">
      <text>
        <r>
          <rPr>
            <b/>
            <sz val="10"/>
            <color rgb="FF000000"/>
            <rFont val="Tahoma"/>
            <family val="2"/>
          </rPr>
          <t>May Mauseth:</t>
        </r>
        <r>
          <rPr>
            <sz val="10"/>
            <color rgb="FF000000"/>
            <rFont val="Tahoma"/>
            <family val="2"/>
          </rPr>
          <t xml:space="preserve">
</t>
        </r>
        <r>
          <rPr>
            <sz val="10"/>
            <color rgb="FF000000"/>
            <rFont val="Verdana"/>
            <family val="2"/>
          </rPr>
          <t xml:space="preserve">Including GST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G5" authorId="0" shapeId="0" xr:uid="{B4F180B0-68FB-ED40-830C-D4F81983A221}">
      <text>
        <r>
          <rPr>
            <b/>
            <sz val="9"/>
            <color indexed="81"/>
            <rFont val="Verdana"/>
            <family val="2"/>
          </rPr>
          <t>May Mauseth:</t>
        </r>
        <r>
          <rPr>
            <sz val="9"/>
            <color indexed="81"/>
            <rFont val="Verdana"/>
            <family val="2"/>
          </rPr>
          <t xml:space="preserve">
20% 0ff peak</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G5" authorId="0" shapeId="0" xr:uid="{40B7DE77-2EA4-B646-89B5-1F77C0AB8BF8}">
      <text>
        <r>
          <rPr>
            <b/>
            <sz val="9"/>
            <color indexed="81"/>
            <rFont val="Verdana"/>
            <family val="2"/>
          </rPr>
          <t>May Mauseth:</t>
        </r>
        <r>
          <rPr>
            <sz val="9"/>
            <color indexed="81"/>
            <rFont val="Verdana"/>
            <family val="2"/>
          </rPr>
          <t xml:space="preserve">
20% 0ff peak</t>
        </r>
      </text>
    </comment>
    <comment ref="B10" authorId="0" shapeId="0" xr:uid="{BDFA6A20-0E7A-7948-821C-1317B5263094}">
      <text>
        <r>
          <rPr>
            <b/>
            <sz val="9"/>
            <color indexed="81"/>
            <rFont val="Verdana"/>
            <family val="2"/>
          </rPr>
          <t>Seasonal tariff: 25% of consumption allocated to 3 summer months and 75% to 9 winter months</t>
        </r>
      </text>
    </comment>
    <comment ref="B28" authorId="0" shapeId="0" xr:uid="{289782A3-F7A5-0741-8B30-21493D1DDCCA}">
      <text>
        <r>
          <rPr>
            <b/>
            <sz val="9"/>
            <color indexed="81"/>
            <rFont val="Verdana"/>
            <family val="2"/>
          </rPr>
          <t>Seasonal tariff: 25% of consumption allocated to 3 summer months and 75% to 9 winter months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G5" authorId="0" shapeId="0" xr:uid="{00000000-0006-0000-0100-000001000000}">
      <text>
        <r>
          <rPr>
            <b/>
            <sz val="9"/>
            <color indexed="81"/>
            <rFont val="Verdana"/>
            <family val="2"/>
          </rPr>
          <t>May Mauseth:</t>
        </r>
        <r>
          <rPr>
            <sz val="9"/>
            <color indexed="81"/>
            <rFont val="Verdana"/>
            <family val="2"/>
          </rPr>
          <t xml:space="preserve">
20% 0ff peak</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G5" authorId="0" shapeId="0" xr:uid="{00000000-0006-0000-0200-000001000000}">
      <text>
        <r>
          <rPr>
            <b/>
            <sz val="9"/>
            <color indexed="81"/>
            <rFont val="Verdana"/>
            <family val="2"/>
          </rPr>
          <t>May Mauseth:</t>
        </r>
        <r>
          <rPr>
            <sz val="9"/>
            <color indexed="81"/>
            <rFont val="Verdana"/>
            <family val="2"/>
          </rPr>
          <t xml:space="preserve">
20% 0ff peak</t>
        </r>
      </text>
    </comment>
    <comment ref="B10" authorId="0" shapeId="0" xr:uid="{00000000-0006-0000-0200-000002000000}">
      <text>
        <r>
          <rPr>
            <b/>
            <sz val="9"/>
            <color indexed="81"/>
            <rFont val="Verdana"/>
            <family val="2"/>
          </rPr>
          <t>Seasonal tariff: 25% of consumption allocated to 3 summer months and 75% to 9 winter months</t>
        </r>
      </text>
    </comment>
    <comment ref="B28" authorId="0" shapeId="0" xr:uid="{00000000-0006-0000-0200-000003000000}">
      <text>
        <r>
          <rPr>
            <b/>
            <sz val="9"/>
            <color indexed="81"/>
            <rFont val="Verdana"/>
            <family val="2"/>
          </rPr>
          <t>Seasonal tariff: 25% of consumption allocated to 3 summer months and 75% to 9 winter months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G5" authorId="0" shapeId="0" xr:uid="{00000000-0006-0000-0300-000001000000}">
      <text>
        <r>
          <rPr>
            <b/>
            <sz val="9"/>
            <color indexed="81"/>
            <rFont val="Verdana"/>
            <family val="2"/>
          </rPr>
          <t>May Mauseth:</t>
        </r>
        <r>
          <rPr>
            <sz val="9"/>
            <color indexed="81"/>
            <rFont val="Verdana"/>
            <family val="2"/>
          </rPr>
          <t xml:space="preserve">
20% 0ff peak</t>
        </r>
      </text>
    </comment>
    <comment ref="B10" authorId="0" shapeId="0" xr:uid="{00000000-0006-0000-0300-000002000000}">
      <text>
        <r>
          <rPr>
            <b/>
            <sz val="9"/>
            <color indexed="81"/>
            <rFont val="Verdana"/>
            <family val="2"/>
          </rPr>
          <t>Seasonal tariff: 25% of consumption allocated to 3 summer months and 75% to 9 winter months</t>
        </r>
      </text>
    </comment>
    <comment ref="B28" authorId="0" shapeId="0" xr:uid="{00000000-0006-0000-0300-000003000000}">
      <text>
        <r>
          <rPr>
            <b/>
            <sz val="9"/>
            <color indexed="81"/>
            <rFont val="Verdana"/>
            <family val="2"/>
          </rPr>
          <t>Seasonal tariff: 25% of consumption allocated to 3 summer months and 75% to 9 winter months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G5" authorId="0" shapeId="0" xr:uid="{00000000-0006-0000-0400-000001000000}">
      <text>
        <r>
          <rPr>
            <b/>
            <sz val="9"/>
            <color indexed="81"/>
            <rFont val="Verdana"/>
            <family val="2"/>
          </rPr>
          <t>May Mauseth:</t>
        </r>
        <r>
          <rPr>
            <sz val="9"/>
            <color indexed="81"/>
            <rFont val="Verdana"/>
            <family val="2"/>
          </rPr>
          <t xml:space="preserve">
20% 0ff peak</t>
        </r>
      </text>
    </comment>
    <comment ref="B10" authorId="0" shapeId="0" xr:uid="{00000000-0006-0000-0400-000002000000}">
      <text>
        <r>
          <rPr>
            <b/>
            <sz val="9"/>
            <color indexed="81"/>
            <rFont val="Verdana"/>
            <family val="2"/>
          </rPr>
          <t>Seasonal tariff: 25% of consumption allocated to 3 summer months and 75% to 9 winter months</t>
        </r>
      </text>
    </comment>
    <comment ref="B28" authorId="0" shapeId="0" xr:uid="{00000000-0006-0000-0400-000003000000}">
      <text>
        <r>
          <rPr>
            <b/>
            <sz val="9"/>
            <color indexed="81"/>
            <rFont val="Verdana"/>
            <family val="2"/>
          </rPr>
          <t>Seasonal tariff: 25% of consumption allocated to 3 summer months and 75% to 9 winter months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BP9" authorId="0" shapeId="0" xr:uid="{7974FFE0-73BD-F84F-953B-1CE8151BE79C}">
      <text>
        <r>
          <rPr>
            <b/>
            <sz val="10"/>
            <color rgb="FF000000"/>
            <rFont val="Tahoma"/>
            <family val="2"/>
          </rPr>
          <t>May Mauseth:</t>
        </r>
        <r>
          <rPr>
            <sz val="10"/>
            <color rgb="FF000000"/>
            <rFont val="Tahoma"/>
            <family val="2"/>
          </rPr>
          <t xml:space="preserve">
</t>
        </r>
        <r>
          <rPr>
            <sz val="10"/>
            <color rgb="FF000000"/>
            <rFont val="Tahoma"/>
            <family val="2"/>
          </rPr>
          <t>Price includes 6 months free membership</t>
        </r>
      </text>
    </comment>
    <comment ref="BP26" authorId="0" shapeId="0" xr:uid="{B7C7D63E-071A-AD40-BFE9-B45440F00245}">
      <text>
        <r>
          <rPr>
            <b/>
            <sz val="10"/>
            <color rgb="FF000000"/>
            <rFont val="Tahoma"/>
            <family val="2"/>
          </rPr>
          <t>May Mauseth:</t>
        </r>
        <r>
          <rPr>
            <sz val="10"/>
            <color rgb="FF000000"/>
            <rFont val="Tahoma"/>
            <family val="2"/>
          </rPr>
          <t xml:space="preserve">
</t>
        </r>
        <r>
          <rPr>
            <sz val="10"/>
            <color rgb="FF000000"/>
            <rFont val="Tahoma"/>
            <family val="2"/>
          </rPr>
          <t>Price includes 6 months free membership</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AT14" authorId="0" shapeId="0" xr:uid="{2D80939B-DF49-FE46-A4A6-3F3DB4F09643}">
      <text>
        <r>
          <rPr>
            <b/>
            <sz val="10"/>
            <color rgb="FF000000"/>
            <rFont val="Tahoma"/>
            <family val="2"/>
          </rPr>
          <t>May Mauseth:</t>
        </r>
        <r>
          <rPr>
            <sz val="10"/>
            <color rgb="FF000000"/>
            <rFont val="Tahoma"/>
            <family val="2"/>
          </rPr>
          <t xml:space="preserve">
</t>
        </r>
        <r>
          <rPr>
            <sz val="10"/>
            <color rgb="FF000000"/>
            <rFont val="Tahoma"/>
            <family val="2"/>
          </rPr>
          <t>Seasonal FIT. 9.88 based on 3 months of 14c and 9 months of 8.51c</t>
        </r>
      </text>
    </comment>
    <comment ref="AT39" authorId="0" shapeId="0" xr:uid="{CBECC0DC-6293-3245-A13B-7F3D3DF5965B}">
      <text>
        <r>
          <rPr>
            <b/>
            <sz val="10"/>
            <color rgb="FF000000"/>
            <rFont val="Tahoma"/>
            <family val="2"/>
          </rPr>
          <t>May Mauseth:</t>
        </r>
        <r>
          <rPr>
            <sz val="10"/>
            <color rgb="FF000000"/>
            <rFont val="Tahoma"/>
            <family val="2"/>
          </rPr>
          <t xml:space="preserve">
</t>
        </r>
        <r>
          <rPr>
            <sz val="10"/>
            <color rgb="FF000000"/>
            <rFont val="Tahoma"/>
            <family val="2"/>
          </rPr>
          <t>Seasonal FIT. 9.88 based on 3 months of 14c and 9 months of 8.51c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G5" authorId="0" shapeId="0" xr:uid="{84E330F9-3984-1C4E-9BE6-B21C5E3738BB}">
      <text>
        <r>
          <rPr>
            <b/>
            <sz val="9"/>
            <color indexed="81"/>
            <rFont val="Verdana"/>
            <family val="2"/>
          </rPr>
          <t>May Mauseth:</t>
        </r>
        <r>
          <rPr>
            <sz val="9"/>
            <color indexed="81"/>
            <rFont val="Verdana"/>
            <family val="2"/>
          </rPr>
          <t xml:space="preserve">
20% 0ff peak</t>
        </r>
      </text>
    </comment>
    <comment ref="R9" authorId="0" shapeId="0" xr:uid="{1D5C2BE4-BB80-DF46-9DEB-3708A27733E9}">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9" authorId="1" shapeId="0" xr:uid="{2F655CDA-FA32-3045-AE51-4A7208D3DBE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9" authorId="0" shapeId="0" xr:uid="{2C1FC62C-C7BF-6245-A0C3-19D0AC1D096C}">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20" authorId="0" shapeId="0" xr:uid="{D8FBBCF1-69FD-7840-8110-A4BC70D0DCD2}">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30" authorId="0" shapeId="0" xr:uid="{8AC5CB5E-2D5F-794C-8EB4-C1852188FAD9}">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30" authorId="1" shapeId="0" xr:uid="{D0850E8E-FBEE-1340-9BFF-422011EF6D8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30" authorId="0" shapeId="0" xr:uid="{FEA4B218-02E3-1C4A-80FE-16C40A0CDA3A}">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41" authorId="0" shapeId="0" xr:uid="{D4081A28-A31B-4A47-9DDB-23F1936707F4}">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Microsoft Office User</author>
  </authors>
  <commentList>
    <comment ref="G5" authorId="0" shapeId="0" xr:uid="{891B0122-5025-BC47-B8F7-22751C28629F}">
      <text>
        <r>
          <rPr>
            <b/>
            <sz val="9"/>
            <color rgb="FF000000"/>
            <rFont val="Verdana"/>
            <family val="2"/>
          </rPr>
          <t>May Mauseth:</t>
        </r>
        <r>
          <rPr>
            <sz val="9"/>
            <color rgb="FF000000"/>
            <rFont val="Verdana"/>
            <family val="2"/>
          </rPr>
          <t xml:space="preserve">
</t>
        </r>
        <r>
          <rPr>
            <sz val="9"/>
            <color rgb="FF000000"/>
            <rFont val="Verdana"/>
            <family val="2"/>
          </rPr>
          <t>20% 0ff peak</t>
        </r>
      </text>
    </comment>
    <comment ref="R9" authorId="0" shapeId="0" xr:uid="{8F133F7E-46BE-0A4E-994E-A7D143135DB9}">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9" authorId="1" shapeId="0" xr:uid="{87A49567-C189-8647-9BF7-3E15401D171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9" authorId="0" shapeId="0" xr:uid="{9A2E1F32-6BE4-1847-BEA1-B8317961DD76}">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17" authorId="2" shapeId="0" xr:uid="{CB5D4DF1-9844-FA42-8FA6-817A25074648}">
      <text>
        <r>
          <rPr>
            <sz val="10"/>
            <color rgb="FF000000"/>
            <rFont val="Verdana"/>
            <family val="2"/>
          </rPr>
          <t xml:space="preserve">Includes membership fee
</t>
        </r>
      </text>
    </comment>
    <comment ref="C20" authorId="0" shapeId="0" xr:uid="{70408A13-EC95-8E4E-88A9-947BDC2266C0}">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4" authorId="0" shapeId="0" xr:uid="{85F5E2D7-3594-A947-A897-36EB48FACA4C}">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28" authorId="0" shapeId="0" xr:uid="{66356A1A-2299-014C-B1B7-6EB73A9A5BF2}">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28" authorId="1" shapeId="0" xr:uid="{B6E68FBA-A261-824A-8FBF-144EC6FF259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28" authorId="0" shapeId="0" xr:uid="{CAD65E7A-6A4D-8040-97A8-646E7792C66A}">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36" authorId="2" shapeId="0" xr:uid="{8B33A7F0-F84C-9F48-A503-EE218B56AFE2}">
      <text>
        <r>
          <rPr>
            <sz val="10"/>
            <color rgb="FF000000"/>
            <rFont val="Verdana"/>
            <family val="2"/>
          </rPr>
          <t>Includes membership fee</t>
        </r>
        <r>
          <rPr>
            <sz val="10"/>
            <color rgb="FF000000"/>
            <rFont val="Verdana"/>
            <family val="2"/>
          </rPr>
          <t xml:space="preserve">
</t>
        </r>
      </text>
    </comment>
    <comment ref="C39" authorId="0" shapeId="0" xr:uid="{7EE639D5-9C35-C643-A520-2FA0AC374AD6}">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43" authorId="2" shapeId="0" xr:uid="{21015C28-8E56-AF45-B0FB-C4EE507EB98D}">
      <text>
        <r>
          <rPr>
            <b/>
            <sz val="10"/>
            <color rgb="FF000000"/>
            <rFont val="Tahoma"/>
            <family val="2"/>
          </rPr>
          <t>Microsoft Office User:</t>
        </r>
        <r>
          <rPr>
            <sz val="10"/>
            <color rgb="FF000000"/>
            <rFont val="Tahoma"/>
            <family val="2"/>
          </rPr>
          <t xml:space="preserve">
</t>
        </r>
        <r>
          <rPr>
            <sz val="10"/>
            <color rgb="FF000000"/>
            <rFont val="Verdana"/>
            <family val="2"/>
          </rPr>
          <t>Includes membership fee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G5" authorId="0" shapeId="0" xr:uid="{DE42727D-D49B-F748-A983-6B4D0AC6D0BA}">
      <text>
        <r>
          <rPr>
            <b/>
            <sz val="9"/>
            <color indexed="81"/>
            <rFont val="Verdana"/>
            <family val="2"/>
          </rPr>
          <t>May Mauseth:</t>
        </r>
        <r>
          <rPr>
            <sz val="9"/>
            <color indexed="81"/>
            <rFont val="Verdana"/>
            <family val="2"/>
          </rPr>
          <t xml:space="preserve">
20% 0ff peak</t>
        </r>
      </text>
    </comment>
    <comment ref="R9" authorId="0" shapeId="0" xr:uid="{68823CFC-877C-1746-9975-B64267D59CB0}">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9" authorId="1" shapeId="0" xr:uid="{F2471D3D-65AE-5549-9115-229D6FDA19B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9" authorId="0" shapeId="0" xr:uid="{9BC50728-E91E-2747-9F2C-3B95E3B57A73}">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20" authorId="0" shapeId="0" xr:uid="{1097941C-A201-C947-B5B7-C916011D48E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3" authorId="0" shapeId="0" xr:uid="{3126D792-9065-F347-8107-0CC193017264}">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4" authorId="0" shapeId="0" xr:uid="{BBF9E9C7-2912-484D-9176-B95DC90406B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28" authorId="0" shapeId="0" xr:uid="{12EBFF35-EA80-A347-8CAA-3D13EEEA9F68}">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28" authorId="1" shapeId="0" xr:uid="{965105D6-51DD-4848-B049-218D2355088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28" authorId="0" shapeId="0" xr:uid="{01993846-1BB2-6144-9EB4-926E70CFD340}">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39" authorId="0" shapeId="0" xr:uid="{FAC53F03-4160-DB4E-957C-9ACBC2F520B7}">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42" authorId="0" shapeId="0" xr:uid="{F071E525-E6A3-E142-8673-6DACEA9FC1AC}">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G5" authorId="0" shapeId="0" xr:uid="{4C59DDC1-7063-EB4B-AFBB-D0EDC99D3F35}">
      <text>
        <r>
          <rPr>
            <b/>
            <sz val="9"/>
            <color rgb="FF000000"/>
            <rFont val="Verdana"/>
            <family val="2"/>
          </rPr>
          <t>May Mauseth:</t>
        </r>
        <r>
          <rPr>
            <sz val="9"/>
            <color rgb="FF000000"/>
            <rFont val="Verdana"/>
            <family val="2"/>
          </rPr>
          <t xml:space="preserve">
</t>
        </r>
        <r>
          <rPr>
            <sz val="9"/>
            <color rgb="FF000000"/>
            <rFont val="Verdana"/>
            <family val="2"/>
          </rPr>
          <t>20% 0ff peak</t>
        </r>
      </text>
    </comment>
    <comment ref="R9" authorId="0" shapeId="0" xr:uid="{4EB41CE0-0BBE-A446-A29C-2484D60B1D75}">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9" authorId="1" shapeId="0" xr:uid="{CB1F54DF-B0C9-814C-8DE5-FF3E3940F32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9" authorId="0" shapeId="0" xr:uid="{940D0EEC-7AC6-084C-9FEC-4A044797A9D6}">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20" authorId="0" shapeId="0" xr:uid="{BA3EB316-499C-2D49-BBB5-A99E98A24461}">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3" authorId="0" shapeId="0" xr:uid="{FEE12E75-E45F-B941-86AD-296CB18A3831}">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4" authorId="0" shapeId="0" xr:uid="{7628A424-67B5-0046-822B-3A2146D5B1AD}">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39" authorId="0" shapeId="0" xr:uid="{3C271F62-FBB5-E544-9546-E5F7A9E789F1}">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39" authorId="1" shapeId="0" xr:uid="{3133810F-0BD8-5643-AFBA-FADB9676EB2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39" authorId="0" shapeId="0" xr:uid="{D9BF3E09-A06C-264E-AF4E-AE3BC58CE56A}">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50" authorId="0" shapeId="0" xr:uid="{1201C037-148F-E64D-9482-F0CA32D76D73}">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53" authorId="0" shapeId="0" xr:uid="{BE5E3812-FD18-0E43-9EFC-B6E942251B93}">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G5" authorId="0" shapeId="0" xr:uid="{F4E664B5-6C77-7D49-9AE0-2BEB1FA4582F}">
      <text>
        <r>
          <rPr>
            <b/>
            <sz val="9"/>
            <color indexed="81"/>
            <rFont val="Verdana"/>
            <family val="2"/>
          </rPr>
          <t>May Mauseth:</t>
        </r>
        <r>
          <rPr>
            <sz val="9"/>
            <color indexed="81"/>
            <rFont val="Verdana"/>
            <family val="2"/>
          </rPr>
          <t xml:space="preserve">
20% 0ff peak</t>
        </r>
      </text>
    </comment>
    <comment ref="R9" authorId="0" shapeId="0" xr:uid="{CA65C6C8-B08F-AB42-8913-493F8F433476}">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9" authorId="1" shapeId="0" xr:uid="{0ABE1A7A-1A38-7D44-A006-F52F97BD116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9" authorId="0" shapeId="0" xr:uid="{831004B3-3870-4F4C-85EA-2DB1148F427E}">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20" authorId="0" shapeId="0" xr:uid="{191752CE-5F49-0A4B-878D-69300832A115}">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3" authorId="0" shapeId="0" xr:uid="{10330082-A98A-A548-BDB6-71FF5EBB411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4" authorId="0" shapeId="0" xr:uid="{25136E01-8392-6E44-AC80-3333A69775E9}">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39" authorId="0" shapeId="0" xr:uid="{D7EF358A-315A-4D40-B382-8D1A0852CEC7}">
      <text>
        <r>
          <rPr>
            <b/>
            <sz val="10"/>
            <color rgb="FF000000"/>
            <rFont val="Tahoma"/>
            <family val="2"/>
          </rPr>
          <t>May Mauseth:</t>
        </r>
        <r>
          <rPr>
            <sz val="10"/>
            <color rgb="FF000000"/>
            <rFont val="Tahoma"/>
            <family val="2"/>
          </rPr>
          <t xml:space="preserve">
</t>
        </r>
        <r>
          <rPr>
            <sz val="10"/>
            <color rgb="FF000000"/>
            <rFont val="Tahoma"/>
            <family val="2"/>
          </rPr>
          <t xml:space="preserve">All export allocated to a single or first FIT rate. Some retailers may have a treshold for export attracting the forst FIT rate.
</t>
        </r>
      </text>
    </comment>
    <comment ref="T39" authorId="1" shapeId="0" xr:uid="{B7C23B25-484A-E440-9F7B-7EB562508A1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AA39" authorId="0" shapeId="0" xr:uid="{5406BCED-8593-F54D-B457-E5868D81B8C6}">
      <text>
        <r>
          <rPr>
            <b/>
            <sz val="10"/>
            <color rgb="FF000000"/>
            <rFont val="Tahoma"/>
            <family val="2"/>
          </rPr>
          <t>May Mauseth:</t>
        </r>
        <r>
          <rPr>
            <sz val="10"/>
            <color rgb="FF000000"/>
            <rFont val="Tahoma"/>
            <family val="2"/>
          </rPr>
          <t xml:space="preserve">
</t>
        </r>
        <r>
          <rPr>
            <sz val="10"/>
            <color rgb="FF000000"/>
            <rFont val="Tahoma"/>
            <family val="2"/>
          </rPr>
          <t xml:space="preserve">This is the first FIT rate only (some retailers have a declining FIT)
</t>
        </r>
      </text>
    </comment>
    <comment ref="C50" authorId="0" shapeId="0" xr:uid="{24F6AF40-F9FC-6345-A8C6-5D874CFCE8D9}">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53" authorId="0" shapeId="0" xr:uid="{4FF278E3-E818-EF4A-B417-F7CDE5AFD5CD}">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G5" authorId="0" shapeId="0" xr:uid="{5A1F343B-29DD-CC40-B94D-024F00667D4E}">
      <text>
        <r>
          <rPr>
            <b/>
            <sz val="9"/>
            <color rgb="FF000000"/>
            <rFont val="Verdana"/>
            <family val="2"/>
          </rPr>
          <t>May Mauseth:</t>
        </r>
        <r>
          <rPr>
            <sz val="9"/>
            <color rgb="FF000000"/>
            <rFont val="Verdana"/>
            <family val="2"/>
          </rPr>
          <t xml:space="preserve">
</t>
        </r>
        <r>
          <rPr>
            <sz val="9"/>
            <color rgb="FF000000"/>
            <rFont val="Verdana"/>
            <family val="2"/>
          </rPr>
          <t>20% 0ff peak</t>
        </r>
      </text>
    </comment>
    <comment ref="T9" authorId="1" shapeId="0" xr:uid="{A101C904-F24F-5A49-9887-5CE81F865DA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2" authorId="1" shapeId="0" xr:uid="{D8E43865-0100-FD4D-9071-0CA86F229595}">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C26" authorId="1" shapeId="0" xr:uid="{2A1002C4-C121-824A-8D33-9B8E2F6DC3B9}">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T38" authorId="1" shapeId="0" xr:uid="{B136F720-36E5-BE40-8087-726E3D96C5C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G5" authorId="0" shapeId="0" xr:uid="{5B7FA38C-704E-E34C-A571-082A593763C5}">
      <text>
        <r>
          <rPr>
            <b/>
            <sz val="9"/>
            <color indexed="81"/>
            <rFont val="Verdana"/>
            <family val="2"/>
          </rPr>
          <t>May Mauseth:</t>
        </r>
        <r>
          <rPr>
            <sz val="9"/>
            <color indexed="81"/>
            <rFont val="Verdana"/>
            <family val="2"/>
          </rPr>
          <t xml:space="preserve">
20% 0ff peak</t>
        </r>
      </text>
    </comment>
    <comment ref="T9" authorId="1" shapeId="0" xr:uid="{5026A48F-2358-6D4E-BF00-713E84AA550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2" authorId="1" shapeId="0" xr:uid="{051D871D-2E25-9A41-A9C1-7CCF84604E5A}">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C26" authorId="1" shapeId="0" xr:uid="{C091DFB9-BD74-5342-93E9-4EC143E6EF8B}">
      <text>
        <r>
          <rPr>
            <b/>
            <sz val="10"/>
            <color rgb="FF000000"/>
            <rFont val="Tahoma"/>
            <family val="2"/>
          </rPr>
          <t>Sophie Labaste:</t>
        </r>
        <r>
          <rPr>
            <sz val="10"/>
            <color rgb="FF000000"/>
            <rFont val="Tahoma"/>
            <family val="2"/>
          </rPr>
          <t xml:space="preserve">
</t>
        </r>
        <r>
          <rPr>
            <sz val="10"/>
            <color rgb="FF000000"/>
            <rFont val="Tahoma"/>
            <family val="2"/>
          </rPr>
          <t>Includes membership fee</t>
        </r>
      </text>
    </comment>
    <comment ref="T38" authorId="1" shapeId="0" xr:uid="{0D9CE589-BC03-3349-9115-20E4911E1ED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G5" authorId="0" shapeId="0" xr:uid="{007678FD-CB01-804B-8FF5-746787EE7D81}">
      <text>
        <r>
          <rPr>
            <b/>
            <sz val="9"/>
            <color rgb="FF000000"/>
            <rFont val="Verdana"/>
            <family val="2"/>
          </rPr>
          <t>May Mauseth:</t>
        </r>
        <r>
          <rPr>
            <sz val="9"/>
            <color rgb="FF000000"/>
            <rFont val="Verdana"/>
            <family val="2"/>
          </rPr>
          <t xml:space="preserve">
</t>
        </r>
        <r>
          <rPr>
            <sz val="9"/>
            <color rgb="FF000000"/>
            <rFont val="Verdana"/>
            <family val="2"/>
          </rPr>
          <t>20% 0ff peak</t>
        </r>
      </text>
    </comment>
    <comment ref="S19" authorId="0" shapeId="0" xr:uid="{7523C744-5B7F-F64E-A32E-789BEBF7B7ED}">
      <text>
        <r>
          <rPr>
            <b/>
            <sz val="10"/>
            <color rgb="FF000000"/>
            <rFont val="Tahoma"/>
            <family val="2"/>
          </rPr>
          <t>May Mauseth:</t>
        </r>
        <r>
          <rPr>
            <sz val="10"/>
            <color rgb="FF000000"/>
            <rFont val="Tahoma"/>
            <family val="2"/>
          </rPr>
          <t xml:space="preserve">
</t>
        </r>
        <r>
          <rPr>
            <sz val="10"/>
            <color rgb="FF000000"/>
            <rFont val="Tahoma"/>
            <family val="2"/>
          </rPr>
          <t>Including GST</t>
        </r>
      </text>
    </comment>
    <comment ref="S21" authorId="0" shapeId="0" xr:uid="{C63664C1-2451-B44F-9D75-21C2F1C27E7D}">
      <text>
        <r>
          <rPr>
            <b/>
            <sz val="10"/>
            <color rgb="FF000000"/>
            <rFont val="Tahoma"/>
            <family val="2"/>
          </rPr>
          <t>May Mauseth:</t>
        </r>
        <r>
          <rPr>
            <sz val="10"/>
            <color rgb="FF000000"/>
            <rFont val="Tahoma"/>
            <family val="2"/>
          </rPr>
          <t xml:space="preserve">
</t>
        </r>
        <r>
          <rPr>
            <sz val="10"/>
            <color rgb="FF000000"/>
            <rFont val="Verdana"/>
            <family val="2"/>
          </rPr>
          <t xml:space="preserve">Including GST
</t>
        </r>
      </text>
    </comment>
    <comment ref="S25" authorId="0" shapeId="0" xr:uid="{79B4FFA5-C91E-6647-9F1E-56A6A2153F6C}">
      <text>
        <r>
          <rPr>
            <b/>
            <sz val="10"/>
            <color rgb="FF000000"/>
            <rFont val="Tahoma"/>
            <family val="2"/>
          </rPr>
          <t>May Mauseth:</t>
        </r>
        <r>
          <rPr>
            <sz val="10"/>
            <color rgb="FF000000"/>
            <rFont val="Tahoma"/>
            <family val="2"/>
          </rPr>
          <t xml:space="preserve">
</t>
        </r>
        <r>
          <rPr>
            <sz val="10"/>
            <color rgb="FF000000"/>
            <rFont val="Verdana"/>
            <family val="2"/>
          </rPr>
          <t xml:space="preserve">Including GST
</t>
        </r>
      </text>
    </comment>
    <comment ref="S41" authorId="0" shapeId="0" xr:uid="{748306DB-07BB-C94E-99B7-DA740BC705D4}">
      <text>
        <r>
          <rPr>
            <b/>
            <sz val="10"/>
            <color rgb="FF000000"/>
            <rFont val="Tahoma"/>
            <family val="2"/>
          </rPr>
          <t>May Mauseth:</t>
        </r>
        <r>
          <rPr>
            <sz val="10"/>
            <color rgb="FF000000"/>
            <rFont val="Tahoma"/>
            <family val="2"/>
          </rPr>
          <t xml:space="preserve">
</t>
        </r>
        <r>
          <rPr>
            <sz val="10"/>
            <color rgb="FF000000"/>
            <rFont val="Tahoma"/>
            <family val="2"/>
          </rPr>
          <t>Including GST</t>
        </r>
      </text>
    </comment>
    <comment ref="S43" authorId="0" shapeId="0" xr:uid="{0BF91426-7EFE-0749-8050-BB244F6C62E0}">
      <text>
        <r>
          <rPr>
            <b/>
            <sz val="10"/>
            <color rgb="FF000000"/>
            <rFont val="Tahoma"/>
            <family val="2"/>
          </rPr>
          <t>May Mauseth:</t>
        </r>
        <r>
          <rPr>
            <sz val="10"/>
            <color rgb="FF000000"/>
            <rFont val="Tahoma"/>
            <family val="2"/>
          </rPr>
          <t xml:space="preserve">
</t>
        </r>
        <r>
          <rPr>
            <sz val="10"/>
            <color rgb="FF000000"/>
            <rFont val="Verdana"/>
            <family val="2"/>
          </rPr>
          <t xml:space="preserve">Including GST
</t>
        </r>
      </text>
    </comment>
    <comment ref="S47" authorId="0" shapeId="0" xr:uid="{0B484E2E-28A7-D142-B57A-DE30FE92D0AE}">
      <text>
        <r>
          <rPr>
            <b/>
            <sz val="10"/>
            <color rgb="FF000000"/>
            <rFont val="Tahoma"/>
            <family val="2"/>
          </rPr>
          <t>May Mauseth:</t>
        </r>
        <r>
          <rPr>
            <sz val="10"/>
            <color rgb="FF000000"/>
            <rFont val="Tahoma"/>
            <family val="2"/>
          </rPr>
          <t xml:space="preserve">
</t>
        </r>
        <r>
          <rPr>
            <sz val="10"/>
            <color rgb="FF000000"/>
            <rFont val="Verdana"/>
            <family val="2"/>
          </rPr>
          <t xml:space="preserve">Including GST
</t>
        </r>
      </text>
    </comment>
  </commentList>
</comments>
</file>

<file path=xl/sharedStrings.xml><?xml version="1.0" encoding="utf-8"?>
<sst xmlns="http://schemas.openxmlformats.org/spreadsheetml/2006/main" count="6927" uniqueCount="956">
  <si>
    <t>Solar Boost Plus</t>
  </si>
  <si>
    <t>The higher FIT rate only applies to the benefit period</t>
    <phoneticPr fontId="8" type="noConversion"/>
  </si>
  <si>
    <t>https://www.originenergy.com.au/content/dam/origin/residential/docs/energy-price-fact-sheets/sa/1July2017/SA_Electricity_Residential_SA%20Power%20Networks_SolarBoostPlus12.PDF</t>
  </si>
  <si>
    <t>y</t>
    <phoneticPr fontId="8" type="noConversion"/>
  </si>
  <si>
    <t>n</t>
    <phoneticPr fontId="8" type="noConversion"/>
  </si>
  <si>
    <t>o</t>
    <phoneticPr fontId="8" type="noConversion"/>
  </si>
  <si>
    <t>N</t>
    <phoneticPr fontId="8" type="noConversion"/>
  </si>
  <si>
    <t>N</t>
    <phoneticPr fontId="8" type="noConversion"/>
  </si>
  <si>
    <t>https://www.redenergy.com.au/docs/sa_price_fact_sheets/Red-Energy-SA-Easy-Saver-No-Exit-Fee-Residential-SA-Power.pdf</t>
  </si>
  <si>
    <t>SA</t>
    <phoneticPr fontId="8" type="noConversion"/>
  </si>
  <si>
    <t>SA Power</t>
    <phoneticPr fontId="8" type="noConversion"/>
  </si>
  <si>
    <t>Controlled</t>
    <phoneticPr fontId="8" type="noConversion"/>
  </si>
  <si>
    <t>SA-Controlled</t>
    <phoneticPr fontId="8" type="noConversion"/>
  </si>
  <si>
    <t>n</t>
    <phoneticPr fontId="8" type="noConversion"/>
  </si>
  <si>
    <t>o</t>
    <phoneticPr fontId="8" type="noConversion"/>
  </si>
  <si>
    <t>n</t>
    <phoneticPr fontId="8" type="noConversion"/>
  </si>
  <si>
    <t>https://www.agl.com.au/-/media/AGLData/DistributorData/PDFs/PriceFactSheet_AGL366821MR.pdf</t>
  </si>
  <si>
    <t>n</t>
    <phoneticPr fontId="8" type="noConversion"/>
  </si>
  <si>
    <t>N</t>
    <phoneticPr fontId="8" type="noConversion"/>
  </si>
  <si>
    <t>y</t>
    <phoneticPr fontId="8" type="noConversion"/>
  </si>
  <si>
    <t>n</t>
    <phoneticPr fontId="8" type="noConversion"/>
  </si>
  <si>
    <t>N</t>
    <phoneticPr fontId="8" type="noConversion"/>
  </si>
  <si>
    <t>Controlled</t>
    <phoneticPr fontId="8" type="noConversion"/>
  </si>
  <si>
    <t>net</t>
    <phoneticPr fontId="8" type="noConversion"/>
  </si>
  <si>
    <t>y</t>
    <phoneticPr fontId="8" type="noConversion"/>
  </si>
  <si>
    <t>n</t>
    <phoneticPr fontId="8" type="noConversion"/>
  </si>
  <si>
    <t>net</t>
    <phoneticPr fontId="8" type="noConversion"/>
  </si>
  <si>
    <t>o</t>
    <phoneticPr fontId="8" type="noConversion"/>
  </si>
  <si>
    <t>N</t>
    <phoneticPr fontId="8" type="noConversion"/>
  </si>
  <si>
    <t>https://secure.energyaustralia.com.au/EnergyPriceFactSheets/Docs/EPFS/PriceFactSheet_ENE378455MR.pdf</t>
  </si>
  <si>
    <t>SA</t>
    <phoneticPr fontId="8" type="noConversion"/>
  </si>
  <si>
    <t>SA Power</t>
    <phoneticPr fontId="8" type="noConversion"/>
  </si>
  <si>
    <t>Controlled</t>
    <phoneticPr fontId="8" type="noConversion"/>
  </si>
  <si>
    <t>y</t>
    <phoneticPr fontId="8" type="noConversion"/>
  </si>
  <si>
    <t>net</t>
    <phoneticPr fontId="8" type="noConversion"/>
  </si>
  <si>
    <t>SA</t>
    <phoneticPr fontId="8" type="noConversion"/>
  </si>
  <si>
    <t>SA Power</t>
    <phoneticPr fontId="8" type="noConversion"/>
  </si>
  <si>
    <t>Controlled</t>
    <phoneticPr fontId="8" type="noConversion"/>
  </si>
  <si>
    <t>n</t>
    <phoneticPr fontId="8" type="noConversion"/>
  </si>
  <si>
    <t>o</t>
    <phoneticPr fontId="8" type="noConversion"/>
  </si>
  <si>
    <t>N</t>
    <phoneticPr fontId="8" type="noConversion"/>
  </si>
  <si>
    <t>Sanctuary Energy</t>
    <phoneticPr fontId="8" type="noConversion"/>
  </si>
  <si>
    <t>Negotiated contract</t>
    <phoneticPr fontId="8" type="noConversion"/>
  </si>
  <si>
    <t>SA-Controlled</t>
    <phoneticPr fontId="8" type="noConversion"/>
  </si>
  <si>
    <t>N</t>
    <phoneticPr fontId="8" type="noConversion"/>
  </si>
  <si>
    <t>Not available</t>
    <phoneticPr fontId="8" type="noConversion"/>
  </si>
  <si>
    <t>SA-Controlled</t>
    <phoneticPr fontId="8" type="noConversion"/>
  </si>
  <si>
    <t>N</t>
    <phoneticPr fontId="8" type="noConversion"/>
  </si>
  <si>
    <t>y</t>
    <phoneticPr fontId="8" type="noConversion"/>
  </si>
  <si>
    <t>Shine Plus</t>
    <phoneticPr fontId="8" type="noConversion"/>
  </si>
  <si>
    <t>Account credit</t>
  </si>
  <si>
    <t>https://secure.energyaustralia.com.au/EnergyPriceFactSheets/Docs/EPFS/PriceFactSheet_ENE378454MR.pdf</t>
  </si>
  <si>
    <t>Lumo Energy</t>
    <phoneticPr fontId="8" type="noConversion"/>
  </si>
  <si>
    <t>Advantage</t>
    <phoneticPr fontId="8" type="noConversion"/>
  </si>
  <si>
    <t>Access to Lumo Ameego rewards program</t>
    <phoneticPr fontId="8" type="noConversion"/>
  </si>
  <si>
    <t>https://lumoenergy.com.au/~/media/price-change/20170601/residential/20170601_pfs_elec_sa_lumo_advantage.ashx</t>
  </si>
  <si>
    <t>Unchanged</t>
  </si>
  <si>
    <t>Momentum Energy</t>
    <phoneticPr fontId="8" type="noConversion"/>
  </si>
  <si>
    <t>SmilePower</t>
    <phoneticPr fontId="8" type="noConversion"/>
  </si>
  <si>
    <t>http://www.momentumenergy.com.au/docs/default-source/price-sheets/sa-smilepower-resi-sapower.pdf?sfvrsn=42</t>
  </si>
  <si>
    <t>Powerdirect</t>
    <phoneticPr fontId="8" type="noConversion"/>
  </si>
  <si>
    <t>http://www.powerdirect.com.au/src/</t>
  </si>
  <si>
    <t>y</t>
    <phoneticPr fontId="8" type="noConversion"/>
  </si>
  <si>
    <t>n</t>
    <phoneticPr fontId="8" type="noConversion"/>
  </si>
  <si>
    <t>Sanctuary Energy</t>
    <phoneticPr fontId="8" type="noConversion"/>
  </si>
  <si>
    <t>Negotiated contract</t>
    <phoneticPr fontId="8" type="noConversion"/>
  </si>
  <si>
    <t>N</t>
    <phoneticPr fontId="8" type="noConversion"/>
  </si>
  <si>
    <t>Account establishment fee applies</t>
    <phoneticPr fontId="8" type="noConversion"/>
  </si>
  <si>
    <t>http://www.sanctuaryenergy.com.au/pdf/2017_Updates/PriceFactSheet_SAN370513MR.pdf</t>
  </si>
  <si>
    <t>SA</t>
    <phoneticPr fontId="8" type="noConversion"/>
  </si>
  <si>
    <t>SA Power</t>
    <phoneticPr fontId="8" type="noConversion"/>
  </si>
  <si>
    <t>Single</t>
    <phoneticPr fontId="8" type="noConversion"/>
  </si>
  <si>
    <t>y</t>
    <phoneticPr fontId="8" type="noConversion"/>
  </si>
  <si>
    <t>n</t>
    <phoneticPr fontId="8" type="noConversion"/>
  </si>
  <si>
    <t>Simply Energy</t>
    <phoneticPr fontId="8" type="noConversion"/>
  </si>
  <si>
    <t>Plus</t>
    <phoneticPr fontId="8" type="noConversion"/>
  </si>
  <si>
    <t>$25 account credit if signing up online</t>
    <phoneticPr fontId="8" type="noConversion"/>
  </si>
  <si>
    <t>Account credit</t>
    <phoneticPr fontId="8" type="noConversion"/>
  </si>
  <si>
    <t>N</t>
    <phoneticPr fontId="8" type="noConversion"/>
  </si>
  <si>
    <t>Not available</t>
  </si>
  <si>
    <t>Red Energy</t>
    <phoneticPr fontId="8" type="noConversion"/>
  </si>
  <si>
    <t>No exit fee saver</t>
    <phoneticPr fontId="8" type="noConversion"/>
  </si>
  <si>
    <t>SA-Single</t>
    <phoneticPr fontId="8" type="noConversion"/>
  </si>
  <si>
    <t>n</t>
    <phoneticPr fontId="8" type="noConversion"/>
  </si>
  <si>
    <t>net</t>
  </si>
  <si>
    <t>o</t>
    <phoneticPr fontId="8" type="noConversion"/>
  </si>
  <si>
    <t xml:space="preserve">Savers </t>
    <phoneticPr fontId="8" type="noConversion"/>
  </si>
  <si>
    <t>SA-Single</t>
    <phoneticPr fontId="8" type="noConversion"/>
  </si>
  <si>
    <t>net</t>
    <phoneticPr fontId="8" type="noConversion"/>
  </si>
  <si>
    <t>https://www.agl.com.au/-/media/AGLData/DistributorData/PDFs/PriceFactSheet_AGL366822MR.pdf</t>
  </si>
  <si>
    <t>Changed</t>
  </si>
  <si>
    <t>Alinta Energy</t>
    <phoneticPr fontId="8" type="noConversion"/>
  </si>
  <si>
    <t>Fair Deal</t>
    <phoneticPr fontId="8" type="noConversion"/>
  </si>
  <si>
    <t>quarter</t>
    <phoneticPr fontId="8" type="noConversion"/>
  </si>
  <si>
    <t>https://www.alintaenergy.com.au/Alinta/media/EnergyPlans/SA-ELEC-PDS-FD25-JUL2017.pdf</t>
  </si>
  <si>
    <t>Monthly e-billing only</t>
    <phoneticPr fontId="8" type="noConversion"/>
  </si>
  <si>
    <t>Commander</t>
    <phoneticPr fontId="8" type="noConversion"/>
  </si>
  <si>
    <t>Market offer</t>
    <phoneticPr fontId="8" type="noConversion"/>
  </si>
  <si>
    <t>Additional discounts may be obtained through service bundling</t>
    <phoneticPr fontId="8" type="noConversion"/>
  </si>
  <si>
    <t>https://cpg.commander.com/GeneralPricingInfo/ViewFile/SA%20Power%20Networks%20Residential%20Electricity%20Market%20Offer%2001-09-2016-pdf</t>
  </si>
  <si>
    <t>Unchanged</t>
    <phoneticPr fontId="8" type="noConversion"/>
  </si>
  <si>
    <t>Diamond Energy</t>
    <phoneticPr fontId="8" type="noConversion"/>
  </si>
  <si>
    <t>Pay on time discount</t>
    <phoneticPr fontId="8" type="noConversion"/>
  </si>
  <si>
    <t>No ETF after 12 months</t>
    <phoneticPr fontId="8" type="noConversion"/>
  </si>
  <si>
    <t>http://diamondenergy.com.au/wp-content/uploads/2017/06/DER-Energy-Price-Fact-Sheet-SA.pdf</t>
  </si>
  <si>
    <t>Dodo Power &amp; Gas</t>
    <phoneticPr fontId="8" type="noConversion"/>
  </si>
  <si>
    <t>https://connectto.dodo.com/EnergySignup2015/pricefactsheet/GetPdfDocument?filepath=PriceFactSheets%5cSaPowerNetworks%5cConsumer%5cPower%5cSA+Power+Networks+Residential+Electricity+Market+Offer+28-02-2017.pdf</t>
  </si>
  <si>
    <t>EnergyAustralia</t>
    <phoneticPr fontId="8" type="noConversion"/>
  </si>
  <si>
    <t xml:space="preserve">Flexi Saver </t>
    <phoneticPr fontId="8" type="noConversion"/>
  </si>
  <si>
    <t xml:space="preserve">$50 credit if signing up online </t>
  </si>
  <si>
    <t xml:space="preserve">this workbook or for any loss, economic or otherwise, suffered as a result of reliance on the information presented in this workbook. If you </t>
    <phoneticPr fontId="0" type="noConversion"/>
  </si>
  <si>
    <t>By May Mauseth Johnston, Alviss Consulting Pty Ltd</t>
    <phoneticPr fontId="10" type="noConversion"/>
  </si>
  <si>
    <t xml:space="preserve">in the workbook is not provided as financial advice. While we have taken great care to ensure accuracy of the information provided in this </t>
  </si>
  <si>
    <t>Purpose of project</t>
  </si>
  <si>
    <t>For Adelaide households, an annual generation capacity per kW installed of 1.680 MWh and an export rate of 51.8% for 3 kW systems and 22.1% for 1.5 kW systems</t>
    <phoneticPr fontId="8" type="noConversion"/>
  </si>
  <si>
    <t>For non-metropolitan households, an annual generation capacity per kW installed of 1.875 MWh and an export rate of 56.8% for 3 kW systems and 20.2% for 1.5 kW systems</t>
    <phoneticPr fontId="8" type="noConversion"/>
  </si>
  <si>
    <t>this analysis include the two most common electricity offers based on meter type:</t>
    <phoneticPr fontId="8" type="noConversion"/>
  </si>
  <si>
    <t>1) Single rate (also known as flat rate)</t>
    <phoneticPr fontId="8" type="noConversion"/>
  </si>
  <si>
    <t>2) Single rate with controlled off-peak rate</t>
    <phoneticPr fontId="8" type="noConversion"/>
  </si>
  <si>
    <t>For the controlled load taridd, 20% of the total load has been allocated to the off-peak rate</t>
    <phoneticPr fontId="8" type="noConversion"/>
  </si>
  <si>
    <t>*All supply charges published as monthly charges have been divided by 30.5 days.</t>
    <phoneticPr fontId="8" type="noConversion"/>
  </si>
  <si>
    <t xml:space="preserve">*All spreadsheets are locked (apart from the interactive red cells), in order to ensure that formulas are not accidently </t>
    <phoneticPr fontId="8" type="noConversion"/>
  </si>
  <si>
    <t>changed. The spreadsheets containing the tariff data are hidden.</t>
    <phoneticPr fontId="8" type="noConversion"/>
  </si>
  <si>
    <t>Assumptions:</t>
    <phoneticPr fontId="8" type="noConversion"/>
  </si>
  <si>
    <t>A flat annual consumption has been assumed</t>
    <phoneticPr fontId="8" type="noConversion"/>
  </si>
  <si>
    <t>Simply Energy</t>
  </si>
  <si>
    <t>July 2016</t>
    <phoneticPr fontId="19" type="noConversion"/>
  </si>
  <si>
    <t>As domestic electricity offers currently depend on the type of metering installed at the premises,</t>
    <phoneticPr fontId="8" type="noConversion"/>
  </si>
  <si>
    <t>SA</t>
    <phoneticPr fontId="8" type="noConversion"/>
  </si>
  <si>
    <t>SA Power</t>
    <phoneticPr fontId="8" type="noConversion"/>
  </si>
  <si>
    <t>Single</t>
    <phoneticPr fontId="8" type="noConversion"/>
  </si>
  <si>
    <t>AGL</t>
    <phoneticPr fontId="8" type="noConversion"/>
  </si>
  <si>
    <t xml:space="preserve">relied upon. The workbook is not an appropriate substitute for obtaining an offer from an energy retailer.  The information presented </t>
  </si>
  <si>
    <t>Service fee ($ per month)</t>
    <phoneticPr fontId="8" type="noConversion"/>
  </si>
  <si>
    <t>Solar (y/n)</t>
    <phoneticPr fontId="8" type="noConversion"/>
  </si>
  <si>
    <t>http://www.powerdirect.com.au/south-australia-energy-price-fact-sheets-residential/w1/i1064982/</t>
  </si>
  <si>
    <t>Peak 2nd rate (c/kWh)</t>
    <phoneticPr fontId="8" type="noConversion"/>
  </si>
  <si>
    <t>Peak 2nd step (kWh)</t>
    <phoneticPr fontId="8" type="noConversion"/>
  </si>
  <si>
    <t>AGL</t>
  </si>
  <si>
    <t>Alinta Energy</t>
  </si>
  <si>
    <t>Click Energy</t>
  </si>
  <si>
    <t>Commander</t>
  </si>
  <si>
    <t>Diamond Energy</t>
  </si>
  <si>
    <t>Dodo Power &amp; Gas</t>
  </si>
  <si>
    <t>EnergyAustralia</t>
  </si>
  <si>
    <t>Lumo Energy</t>
  </si>
  <si>
    <t>Momentum Energy</t>
  </si>
  <si>
    <t>Origin Energy</t>
  </si>
  <si>
    <t>Powerdirect</t>
  </si>
  <si>
    <t>The main purpose of this workbook is to provide consumer advocates with a tool to track and analyse</t>
  </si>
  <si>
    <t>© St Vincent de Paul Society and Alviss Consulting Pty Ltd</t>
  </si>
  <si>
    <t>South Australian Tariff-Tracking Project, St Vincent de Paul Society</t>
    <phoneticPr fontId="10" type="noConversion"/>
  </si>
  <si>
    <t>ADELAIDE, SA POWER NETWORK</t>
    <phoneticPr fontId="8" type="noConversion"/>
  </si>
  <si>
    <t>SOUTH AUSTRALIA (NON-METROPOLITAN), SA POWER NETWORK</t>
    <phoneticPr fontId="8" type="noConversion"/>
  </si>
  <si>
    <t>Controlled load</t>
    <phoneticPr fontId="8" type="noConversion"/>
  </si>
  <si>
    <t>FIT rate</t>
    <phoneticPr fontId="8" type="noConversion"/>
  </si>
  <si>
    <t xml:space="preserve">The St Vincent de Paul Society and Alviss Consulting Pty Ltd do not accept liability for any action taken based on the information provided in  </t>
    <phoneticPr fontId="0" type="noConversion"/>
  </si>
  <si>
    <t>Source: www.sapowernetworks.com.au</t>
    <phoneticPr fontId="8" type="noConversion"/>
  </si>
  <si>
    <t>Number of peak months</t>
    <phoneticPr fontId="8" type="noConversion"/>
  </si>
  <si>
    <t>solar (net/gross)</t>
  </si>
  <si>
    <t>FIT (c/kWh)</t>
    <phoneticPr fontId="8" type="noConversion"/>
  </si>
  <si>
    <t>Green (y/n/o)</t>
    <phoneticPr fontId="8" type="noConversion"/>
  </si>
  <si>
    <t>Green note</t>
    <phoneticPr fontId="8" type="noConversion"/>
  </si>
  <si>
    <t>Guaranteed discount off bill (%)</t>
    <phoneticPr fontId="8" type="noConversion"/>
  </si>
  <si>
    <t>Guaranteed discount off usage (%)</t>
    <phoneticPr fontId="8" type="noConversion"/>
  </si>
  <si>
    <t>Dual Fuel discount off bill (%)</t>
    <phoneticPr fontId="8" type="noConversion"/>
  </si>
  <si>
    <t>Dual Fuel discount off usage (%)</t>
    <phoneticPr fontId="8" type="noConversion"/>
  </si>
  <si>
    <r>
      <t>Acknowledgement:</t>
    </r>
    <r>
      <rPr>
        <sz val="11"/>
        <rFont val="Arial"/>
        <family val="2"/>
      </rPr>
      <t xml:space="preserve"> The St Vincent de Paul Society received funding from Energy Consumers Australia (ECA)</t>
    </r>
    <phoneticPr fontId="8" type="noConversion"/>
  </si>
  <si>
    <t xml:space="preserve"> to undertake this project.</t>
    <phoneticPr fontId="8" type="noConversion"/>
  </si>
  <si>
    <t>would like to obtain information about energy offers available to you as a customer, see the AER’s Energy Made Easy website</t>
    <phoneticPr fontId="8" type="noConversion"/>
  </si>
  <si>
    <t>Dual fuel condition? (Y/N)</t>
    <phoneticPr fontId="8" type="noConversion"/>
  </si>
  <si>
    <t>Comments</t>
    <phoneticPr fontId="8" type="noConversion"/>
  </si>
  <si>
    <t>This workbook contains:</t>
  </si>
  <si>
    <t>DISCLAIMER:</t>
  </si>
  <si>
    <t>SA</t>
    <phoneticPr fontId="8" type="noConversion"/>
  </si>
  <si>
    <t>Single</t>
    <phoneticPr fontId="8" type="noConversion"/>
  </si>
  <si>
    <t xml:space="preserve">1) Inform the community about changes to energy retail prices and increase consumer awareness </t>
  </si>
  <si>
    <t>quarter</t>
    <phoneticPr fontId="8" type="noConversion"/>
  </si>
  <si>
    <t>SA-Controlled</t>
    <phoneticPr fontId="8" type="noConversion"/>
  </si>
  <si>
    <t>N</t>
    <phoneticPr fontId="8" type="noConversion"/>
  </si>
  <si>
    <t>o</t>
    <phoneticPr fontId="8" type="noConversion"/>
  </si>
  <si>
    <t>n</t>
    <phoneticPr fontId="8" type="noConversion"/>
  </si>
  <si>
    <t>intellectual property and subject to copyright. Apart from any use permitted under the Copyright Act 1968 (Ctw),</t>
    <phoneticPr fontId="0" type="noConversion"/>
  </si>
  <si>
    <t xml:space="preserve">The energy offers, tariffs and bill calculations presented in this workbook should be used as a general guide only and should not be </t>
  </si>
  <si>
    <t>2) Monitor the impact tariff changes have on household bills and energy affordability</t>
  </si>
  <si>
    <t>quarter</t>
    <phoneticPr fontId="8" type="noConversion"/>
  </si>
  <si>
    <t>http://www.urthenergy.com.au/client_images/1811676.pdf</t>
  </si>
  <si>
    <t>Changed</t>
    <phoneticPr fontId="8" type="noConversion"/>
  </si>
  <si>
    <t xml:space="preserve">workbook, it is suitable for use only as a research and advocacy tool. We do not accept any legal responsibility for errors or inaccuracies. </t>
  </si>
  <si>
    <t>DB</t>
    <phoneticPr fontId="8" type="noConversion"/>
  </si>
  <si>
    <t>DB Zone</t>
    <phoneticPr fontId="8" type="noConversion"/>
  </si>
  <si>
    <t>SA-Controlled</t>
    <phoneticPr fontId="8" type="noConversion"/>
  </si>
  <si>
    <t>Project outputs</t>
  </si>
  <si>
    <t>Other Direct Debit Incentive (y/n)</t>
    <phoneticPr fontId="8" type="noConversion"/>
  </si>
  <si>
    <t>https://cpg.commander.com/GeneralPricingInfo/ViewFile/SA%20Power%20Networks%20Residential%20Electricity%20Market%20Offer%202015-12-16-pdf</t>
  </si>
  <si>
    <t>SA-Controlled</t>
    <phoneticPr fontId="8" type="noConversion"/>
  </si>
  <si>
    <t>n</t>
    <phoneticPr fontId="8" type="noConversion"/>
  </si>
  <si>
    <t>Dodo Power &amp; Gas</t>
    <phoneticPr fontId="8" type="noConversion"/>
  </si>
  <si>
    <t>Market offer</t>
    <phoneticPr fontId="8" type="noConversion"/>
  </si>
  <si>
    <t>y</t>
    <phoneticPr fontId="8" type="noConversion"/>
  </si>
  <si>
    <t>n</t>
    <phoneticPr fontId="8" type="noConversion"/>
  </si>
  <si>
    <t>AGL</t>
    <phoneticPr fontId="8" type="noConversion"/>
  </si>
  <si>
    <t>Savers (solar)</t>
    <phoneticPr fontId="8" type="noConversion"/>
  </si>
  <si>
    <t>Peak 3rd rate (c/kWh)</t>
    <phoneticPr fontId="8" type="noConversion"/>
  </si>
  <si>
    <t>Peak 3rd step (kWh)</t>
    <phoneticPr fontId="8" type="noConversion"/>
  </si>
  <si>
    <t>Peak 4th rate (c/kWh)</t>
    <phoneticPr fontId="8" type="noConversion"/>
  </si>
  <si>
    <t>Seasonal peak: off-peak rate (c/kWh)</t>
    <phoneticPr fontId="8" type="noConversion"/>
  </si>
  <si>
    <t>Off peak 1st step (kWh)</t>
    <phoneticPr fontId="8" type="noConversion"/>
  </si>
  <si>
    <t>Cont' off peak 1st step (kWh)</t>
    <phoneticPr fontId="8" type="noConversion"/>
  </si>
  <si>
    <t>Cont' off peak 2nd rate</t>
    <phoneticPr fontId="8" type="noConversion"/>
  </si>
  <si>
    <t xml:space="preserve">no parts may be adapted, reproduced, copied, stored, distributed, published or put to commercial use </t>
    <phoneticPr fontId="0" type="noConversion"/>
  </si>
  <si>
    <t>Tab colours:</t>
  </si>
  <si>
    <t xml:space="preserve">This workbook is copyright. All works contained in it are St Vincent de Paul Society and Alviss Consulting’s  </t>
    <phoneticPr fontId="0" type="noConversion"/>
  </si>
  <si>
    <t>www.energymadeeasy.gov.au or contact the energy retailers directly.</t>
    <phoneticPr fontId="8" type="noConversion"/>
  </si>
  <si>
    <t>Source</t>
    <phoneticPr fontId="8" type="noConversion"/>
  </si>
  <si>
    <t>Update status</t>
    <phoneticPr fontId="8" type="noConversion"/>
  </si>
  <si>
    <t>SA</t>
    <phoneticPr fontId="8" type="noConversion"/>
  </si>
  <si>
    <t>SA Power</t>
    <phoneticPr fontId="8" type="noConversion"/>
  </si>
  <si>
    <t>Controlled</t>
    <phoneticPr fontId="8" type="noConversion"/>
  </si>
  <si>
    <t>n</t>
    <phoneticPr fontId="8" type="noConversion"/>
  </si>
  <si>
    <t>Meter type</t>
    <phoneticPr fontId="8" type="noConversion"/>
  </si>
  <si>
    <t>Effective from</t>
    <phoneticPr fontId="8" type="noConversion"/>
  </si>
  <si>
    <t>Controlled Off-peak</t>
    <phoneticPr fontId="8" type="noConversion"/>
  </si>
  <si>
    <t>Controlled Off-peak balance</t>
    <phoneticPr fontId="8" type="noConversion"/>
  </si>
  <si>
    <t>Annual bill incl conditional discounts (excl GST)</t>
    <phoneticPr fontId="8" type="noConversion"/>
  </si>
  <si>
    <t>Contract length (months)</t>
  </si>
  <si>
    <t>Exit fee (yes/no)</t>
  </si>
  <si>
    <t>Peak</t>
    <phoneticPr fontId="8" type="noConversion"/>
  </si>
  <si>
    <t>https://connectto.dodo.com/EnergySignup2015/pricefactsheet/GetPdfDocument?filepath=PriceFactSheets%5cSaPowerNetworks%5cConsumer%5cPower%5cSA+Power+Networks+Residential+Electricity+Market+Offer+2016-05-27.pdf</t>
  </si>
  <si>
    <t>Restricted eligibility? (n/so/nso)</t>
    <phoneticPr fontId="8" type="noConversion"/>
  </si>
  <si>
    <t>Solar meter fee (c/day)</t>
    <phoneticPr fontId="8" type="noConversion"/>
  </si>
  <si>
    <t>Retailer</t>
  </si>
  <si>
    <t>Name</t>
    <phoneticPr fontId="8" type="noConversion"/>
  </si>
  <si>
    <t>Supply (c/day)</t>
  </si>
  <si>
    <t>Single or peak rate (c/kWh)</t>
    <phoneticPr fontId="8" type="noConversion"/>
  </si>
  <si>
    <t>block type</t>
  </si>
  <si>
    <t>Peak 1st step (kWh)</t>
    <phoneticPr fontId="8" type="noConversion"/>
  </si>
  <si>
    <t>Single</t>
    <phoneticPr fontId="8" type="noConversion"/>
  </si>
  <si>
    <t>Summer or winter peak (s/w)</t>
    <phoneticPr fontId="8" type="noConversion"/>
  </si>
  <si>
    <t>Changed</t>
    <phoneticPr fontId="8" type="noConversion"/>
  </si>
  <si>
    <t>SA</t>
    <phoneticPr fontId="8" type="noConversion"/>
  </si>
  <si>
    <t>SA Power</t>
    <phoneticPr fontId="8" type="noConversion"/>
  </si>
  <si>
    <t>Controlled</t>
    <phoneticPr fontId="8" type="noConversion"/>
  </si>
  <si>
    <t>Offer</t>
  </si>
  <si>
    <t>Supply charge</t>
  </si>
  <si>
    <t>Peak</t>
    <phoneticPr fontId="8" type="noConversion"/>
  </si>
  <si>
    <t>Annual consumption only</t>
    <phoneticPr fontId="8" type="noConversion"/>
  </si>
  <si>
    <t>Annual bill (excl GST)</t>
  </si>
  <si>
    <t>Annual bill (incl GST)</t>
    <phoneticPr fontId="8" type="noConversion"/>
  </si>
  <si>
    <t>Guaranteed discount off bill (%)</t>
  </si>
  <si>
    <t>Guaranteed discount off usage (%)</t>
  </si>
  <si>
    <t>POT discount off bill (%)</t>
  </si>
  <si>
    <t>Contract length (months)</t>
    <phoneticPr fontId="8" type="noConversion"/>
  </si>
  <si>
    <t>ETF (Y/N)</t>
    <phoneticPr fontId="8" type="noConversion"/>
  </si>
  <si>
    <t>Limited benefit period? (months)</t>
    <phoneticPr fontId="8" type="noConversion"/>
  </si>
  <si>
    <t>Annual bill incl guaranteed discounts (excl GST)</t>
    <phoneticPr fontId="8" type="noConversion"/>
  </si>
  <si>
    <t>Lumo Energy</t>
    <phoneticPr fontId="8" type="noConversion"/>
  </si>
  <si>
    <t>POT discount off bill (%)</t>
    <phoneticPr fontId="8" type="noConversion"/>
  </si>
  <si>
    <t>POT discount off usage (%)</t>
    <phoneticPr fontId="8" type="noConversion"/>
  </si>
  <si>
    <t>DD discount off bill (%)</t>
    <phoneticPr fontId="8" type="noConversion"/>
  </si>
  <si>
    <t>DD discount off usage (%)</t>
    <phoneticPr fontId="8" type="noConversion"/>
  </si>
  <si>
    <t>E-bill discount off bill (%)</t>
    <phoneticPr fontId="8" type="noConversion"/>
  </si>
  <si>
    <t>E-bill discount off usage (%)</t>
    <phoneticPr fontId="8" type="noConversion"/>
  </si>
  <si>
    <t>Annual bill incl guaranteed discounts (excl GST)</t>
    <phoneticPr fontId="8" type="noConversion"/>
  </si>
  <si>
    <t>Annual bill incl conditional discounts (excl GST)</t>
    <phoneticPr fontId="8" type="noConversion"/>
  </si>
  <si>
    <t>y</t>
    <phoneticPr fontId="8" type="noConversion"/>
  </si>
  <si>
    <t>n</t>
    <phoneticPr fontId="8" type="noConversion"/>
  </si>
  <si>
    <t>Diamond Energy</t>
    <phoneticPr fontId="8" type="noConversion"/>
  </si>
  <si>
    <t>Pay on time discount</t>
    <phoneticPr fontId="8" type="noConversion"/>
  </si>
  <si>
    <t>quarter</t>
    <phoneticPr fontId="8" type="noConversion"/>
  </si>
  <si>
    <t>SA-Single</t>
    <phoneticPr fontId="8" type="noConversion"/>
  </si>
  <si>
    <t>net</t>
    <phoneticPr fontId="8" type="noConversion"/>
  </si>
  <si>
    <t>Shoulder (c/kWh)</t>
    <phoneticPr fontId="8" type="noConversion"/>
  </si>
  <si>
    <t>Split week tariff: Shoulder - weekdays (c/kWh)</t>
    <phoneticPr fontId="8" type="noConversion"/>
  </si>
  <si>
    <t xml:space="preserve">Account establishment fee applies. ETF only applied to the first year </t>
    <phoneticPr fontId="8" type="noConversion"/>
  </si>
  <si>
    <t>http://diamondenergy.com.au/wp-content/uploads/2016/08/DE-Energy-Price-Fact-Sheet-R-SAPN-16.pdf</t>
  </si>
  <si>
    <t>Changed</t>
    <phoneticPr fontId="8" type="noConversion"/>
  </si>
  <si>
    <t>y</t>
    <phoneticPr fontId="8" type="noConversion"/>
  </si>
  <si>
    <t>n</t>
    <phoneticPr fontId="8" type="noConversion"/>
  </si>
  <si>
    <t>SA-Controlled</t>
    <phoneticPr fontId="8" type="noConversion"/>
  </si>
  <si>
    <t>net</t>
    <phoneticPr fontId="8" type="noConversion"/>
  </si>
  <si>
    <t>N</t>
    <phoneticPr fontId="8" type="noConversion"/>
  </si>
  <si>
    <t>SA</t>
    <phoneticPr fontId="8" type="noConversion"/>
  </si>
  <si>
    <t>Off-peak rate (c/kWh)</t>
    <phoneticPr fontId="8" type="noConversion"/>
  </si>
  <si>
    <t>New</t>
    <phoneticPr fontId="8" type="noConversion"/>
  </si>
  <si>
    <t>SA</t>
    <phoneticPr fontId="8" type="noConversion"/>
  </si>
  <si>
    <t>SA Power</t>
    <phoneticPr fontId="8" type="noConversion"/>
  </si>
  <si>
    <t>Controlled</t>
    <phoneticPr fontId="8" type="noConversion"/>
  </si>
  <si>
    <t>SA-Controlled</t>
    <phoneticPr fontId="8" type="noConversion"/>
  </si>
  <si>
    <t>Unchanged</t>
    <phoneticPr fontId="8" type="noConversion"/>
  </si>
  <si>
    <t>Single</t>
    <phoneticPr fontId="8" type="noConversion"/>
  </si>
  <si>
    <t>SA-Single</t>
    <phoneticPr fontId="8" type="noConversion"/>
  </si>
  <si>
    <t>Off peak 2nd rate (c/kWh)</t>
    <phoneticPr fontId="8" type="noConversion"/>
  </si>
  <si>
    <t>changes to domestic energy offers in South Australia.  If regularly updated, this tariff-tracking tool can be used to:</t>
    <phoneticPr fontId="8" type="noConversion"/>
  </si>
  <si>
    <t xml:space="preserve">without prior written permission from the St Vincent de Paul Society. </t>
  </si>
  <si>
    <t>Retailers:</t>
    <phoneticPr fontId="8" type="noConversion"/>
  </si>
  <si>
    <t>Additional discounts may be obtained through service bundling</t>
    <phoneticPr fontId="8" type="noConversion"/>
  </si>
  <si>
    <t>https://www.agl.com.au/-/media/AGLData/DistributorData/PDFs/PriceFactSheet_AGL187120MR.pdf</t>
  </si>
  <si>
    <t>SA</t>
    <phoneticPr fontId="8" type="noConversion"/>
  </si>
  <si>
    <t>SA Power</t>
    <phoneticPr fontId="8" type="noConversion"/>
  </si>
  <si>
    <t>Single</t>
    <phoneticPr fontId="8" type="noConversion"/>
  </si>
  <si>
    <t>Sanctuary Energy</t>
    <phoneticPr fontId="8" type="noConversion"/>
  </si>
  <si>
    <t>Supplementary FIT</t>
    <phoneticPr fontId="8" type="noConversion"/>
  </si>
  <si>
    <t>SA-Single</t>
    <phoneticPr fontId="8" type="noConversion"/>
  </si>
  <si>
    <t>Account establishment fee applies</t>
    <phoneticPr fontId="8" type="noConversion"/>
  </si>
  <si>
    <t>quarter</t>
    <phoneticPr fontId="8" type="noConversion"/>
  </si>
  <si>
    <t>SA-Single-Seasonal</t>
    <phoneticPr fontId="8" type="noConversion"/>
  </si>
  <si>
    <t>s</t>
    <phoneticPr fontId="8" type="noConversion"/>
  </si>
  <si>
    <t>net</t>
    <phoneticPr fontId="8" type="noConversion"/>
  </si>
  <si>
    <t>o</t>
    <phoneticPr fontId="8" type="noConversion"/>
  </si>
  <si>
    <t>N</t>
    <phoneticPr fontId="8" type="noConversion"/>
  </si>
  <si>
    <t>SA Power</t>
    <phoneticPr fontId="8" type="noConversion"/>
  </si>
  <si>
    <t>Single</t>
    <phoneticPr fontId="8" type="noConversion"/>
  </si>
  <si>
    <t>Simply Energy</t>
    <phoneticPr fontId="8" type="noConversion"/>
  </si>
  <si>
    <t xml:space="preserve">Autumn Sale </t>
    <phoneticPr fontId="8" type="noConversion"/>
  </si>
  <si>
    <t>Advantage</t>
    <phoneticPr fontId="8" type="noConversion"/>
  </si>
  <si>
    <t>Access to Lumo Ameego rewards program</t>
    <phoneticPr fontId="8" type="noConversion"/>
  </si>
  <si>
    <t>https://lumoenergy.com.au/~/media/lumo-energy/pdfs/20160601_pfs_sa_lumoadvantage.ashx</t>
  </si>
  <si>
    <t>y</t>
    <phoneticPr fontId="8" type="noConversion"/>
  </si>
  <si>
    <t>N</t>
    <phoneticPr fontId="8" type="noConversion"/>
  </si>
  <si>
    <t>o</t>
    <phoneticPr fontId="8" type="noConversion"/>
  </si>
  <si>
    <t>Peak 4th block</t>
    <phoneticPr fontId="8" type="noConversion"/>
  </si>
  <si>
    <t>Dodo Power &amp; Gas</t>
    <phoneticPr fontId="8" type="noConversion"/>
  </si>
  <si>
    <t>https://cpg.commander.com/GeneralPricingInfo/ViewFile/SA%20Power%20Networks%20Residential%20Electricity%20Market%20Offer%202016-05-27-pdf</t>
  </si>
  <si>
    <t>Other incentives</t>
    <phoneticPr fontId="8" type="noConversion"/>
  </si>
  <si>
    <t>Commander</t>
    <phoneticPr fontId="8" type="noConversion"/>
  </si>
  <si>
    <t>Market offer</t>
    <phoneticPr fontId="8" type="noConversion"/>
  </si>
  <si>
    <t>net</t>
    <phoneticPr fontId="8" type="noConversion"/>
  </si>
  <si>
    <t>Peak 5th block</t>
    <phoneticPr fontId="8" type="noConversion"/>
  </si>
  <si>
    <t>Peak balance</t>
    <phoneticPr fontId="8" type="noConversion"/>
  </si>
  <si>
    <t>y</t>
    <phoneticPr fontId="8" type="noConversion"/>
  </si>
  <si>
    <t>n</t>
    <phoneticPr fontId="8" type="noConversion"/>
  </si>
  <si>
    <t>EnergyAustralia</t>
    <phoneticPr fontId="8" type="noConversion"/>
  </si>
  <si>
    <t xml:space="preserve">Flexi Saver </t>
    <phoneticPr fontId="8" type="noConversion"/>
  </si>
  <si>
    <t>o</t>
    <phoneticPr fontId="8" type="noConversion"/>
  </si>
  <si>
    <t>N</t>
    <phoneticPr fontId="8" type="noConversion"/>
  </si>
  <si>
    <t>https://secure.energyaustralia.com.au/EnergyPriceFactSheets/Docs/EPFS/E_R_S_GEASY_SA_20_28-07-2016.pdf</t>
  </si>
  <si>
    <t>n</t>
    <phoneticPr fontId="8" type="noConversion"/>
  </si>
  <si>
    <t>net</t>
    <phoneticPr fontId="8" type="noConversion"/>
  </si>
  <si>
    <t>http://customer.harveynormanenergy.com.au/HarveyNormanEnergyCustomer/media/EnergyPlans/SA-HNE-VIP20-ELEC-CL-PFS-JUL2016.pdf?ext=.pdf</t>
  </si>
  <si>
    <t>St Vincent de Paul Society, SA Tariff-Tracking Project, Workbook 5: Solar Offers</t>
    <phoneticPr fontId="8" type="noConversion"/>
  </si>
  <si>
    <t>Choose 1.5 or 3.0 kW system:</t>
    <phoneticPr fontId="8" type="noConversion"/>
  </si>
  <si>
    <t>N</t>
    <phoneticPr fontId="8" type="noConversion"/>
  </si>
  <si>
    <t>ID</t>
  </si>
  <si>
    <t>Timestamp</t>
    <phoneticPr fontId="8" type="noConversion"/>
  </si>
  <si>
    <t>State</t>
    <phoneticPr fontId="8" type="noConversion"/>
  </si>
  <si>
    <t>o</t>
    <phoneticPr fontId="8" type="noConversion"/>
  </si>
  <si>
    <t>Split week tariff: Shoulder - weekends (c/kWh)</t>
    <phoneticPr fontId="8" type="noConversion"/>
  </si>
  <si>
    <t>Seasonal shoulder: off peak season rate (c/kWh)</t>
    <phoneticPr fontId="8" type="noConversion"/>
  </si>
  <si>
    <t>Time structure Code</t>
    <phoneticPr fontId="8" type="noConversion"/>
  </si>
  <si>
    <t>Seasonal? (y/n)</t>
    <phoneticPr fontId="8" type="noConversion"/>
  </si>
  <si>
    <t>n</t>
    <phoneticPr fontId="8" type="noConversion"/>
  </si>
  <si>
    <t>SA-Controlled</t>
    <phoneticPr fontId="8" type="noConversion"/>
  </si>
  <si>
    <t>N</t>
    <phoneticPr fontId="8" type="noConversion"/>
  </si>
  <si>
    <t>Incentive type</t>
    <phoneticPr fontId="8" type="noConversion"/>
  </si>
  <si>
    <t>Approx. incentive value ($)</t>
    <phoneticPr fontId="8" type="noConversion"/>
  </si>
  <si>
    <t>Single rate</t>
    <phoneticPr fontId="8" type="noConversion"/>
  </si>
  <si>
    <t>Peak 2nd block</t>
    <phoneticPr fontId="8" type="noConversion"/>
  </si>
  <si>
    <t>Peak 3rd block</t>
    <phoneticPr fontId="8" type="noConversion"/>
  </si>
  <si>
    <t>quarter</t>
    <phoneticPr fontId="8" type="noConversion"/>
  </si>
  <si>
    <t>y</t>
    <phoneticPr fontId="8" type="noConversion"/>
  </si>
  <si>
    <t>o</t>
    <phoneticPr fontId="8" type="noConversion"/>
  </si>
  <si>
    <t>N</t>
    <phoneticPr fontId="8" type="noConversion"/>
  </si>
  <si>
    <t>Urth Energy</t>
    <phoneticPr fontId="8" type="noConversion"/>
  </si>
  <si>
    <t>quarter</t>
    <phoneticPr fontId="8" type="noConversion"/>
  </si>
  <si>
    <t>POT discount off usage (%)</t>
  </si>
  <si>
    <t>Qtly generation:</t>
    <phoneticPr fontId="8" type="noConversion"/>
  </si>
  <si>
    <t>Import peak</t>
    <phoneticPr fontId="8" type="noConversion"/>
  </si>
  <si>
    <t>Import off peak</t>
    <phoneticPr fontId="8" type="noConversion"/>
  </si>
  <si>
    <t>Insert quarterly consumption between 700 - 4,000 kWh:</t>
    <phoneticPr fontId="8" type="noConversion"/>
  </si>
  <si>
    <t>Qtly import:</t>
    <phoneticPr fontId="8" type="noConversion"/>
  </si>
  <si>
    <t>Off-peak tariff:</t>
    <phoneticPr fontId="8" type="noConversion"/>
  </si>
  <si>
    <t>Qtly export:</t>
    <phoneticPr fontId="8" type="noConversion"/>
  </si>
  <si>
    <t>Annual FIT Credit ($)</t>
    <phoneticPr fontId="8" type="noConversion"/>
  </si>
  <si>
    <t>Annual bill incl guaranteed discounts &amp; FIT credit (excl GST)</t>
    <phoneticPr fontId="8" type="noConversion"/>
  </si>
  <si>
    <t>Annual bill incl conditional discounts &amp; FIT credit (excl GST)</t>
    <phoneticPr fontId="8" type="noConversion"/>
  </si>
  <si>
    <t>Annual bill incl guaranteed discounts, FIT credit and GST</t>
    <phoneticPr fontId="8" type="noConversion"/>
  </si>
  <si>
    <t xml:space="preserve">Account establishment fee applies. </t>
    <phoneticPr fontId="8" type="noConversion"/>
  </si>
  <si>
    <t>N</t>
    <phoneticPr fontId="8" type="noConversion"/>
  </si>
  <si>
    <t>https://www.clickenergy.com.au/energy-price-fact-sheets/sa-power-networks/click-shine-plus/293/</t>
  </si>
  <si>
    <t>y</t>
    <phoneticPr fontId="8" type="noConversion"/>
  </si>
  <si>
    <t>n</t>
    <phoneticPr fontId="8" type="noConversion"/>
  </si>
  <si>
    <t>N</t>
    <phoneticPr fontId="8" type="noConversion"/>
  </si>
  <si>
    <t>y</t>
    <phoneticPr fontId="8" type="noConversion"/>
  </si>
  <si>
    <t>n</t>
    <phoneticPr fontId="8" type="noConversion"/>
  </si>
  <si>
    <t>Alinta Energy</t>
    <phoneticPr fontId="8" type="noConversion"/>
  </si>
  <si>
    <t>Harvey Norman</t>
    <phoneticPr fontId="8" type="noConversion"/>
  </si>
  <si>
    <t>N</t>
    <phoneticPr fontId="8" type="noConversion"/>
  </si>
  <si>
    <t>https://lumoenergy.com.au/~/media/lumo-energy/pdfs/20160601_pfs_sa_lumoadvantage.ashx</t>
    <phoneticPr fontId="8" type="noConversion"/>
  </si>
  <si>
    <t>https://www.simplyenergy.com.au/docs/default-source/epfs_pdf_data/pricefactsheet_sim153655mr83483990453464788f06ff0000ae2471.pdf?Status=Master&amp;sfvrsn=2</t>
  </si>
  <si>
    <t>https://www.agl.com.au/-/media/AGLData/DistributorData/PDFs/PriceFactSheet_AGL187121MR.pdf</t>
  </si>
  <si>
    <t>Changed</t>
    <phoneticPr fontId="8" type="noConversion"/>
  </si>
  <si>
    <t>SA</t>
    <phoneticPr fontId="8" type="noConversion"/>
  </si>
  <si>
    <t>SA Power</t>
    <phoneticPr fontId="8" type="noConversion"/>
  </si>
  <si>
    <t>Controlled</t>
    <phoneticPr fontId="8" type="noConversion"/>
  </si>
  <si>
    <t>SA-Controlled-Seasonal</t>
    <phoneticPr fontId="8" type="noConversion"/>
  </si>
  <si>
    <t>s</t>
    <phoneticPr fontId="8" type="noConversion"/>
  </si>
  <si>
    <t>Off peak 2nd step (kWh)</t>
    <phoneticPr fontId="8" type="noConversion"/>
  </si>
  <si>
    <t>Off peak 3rd rate (c/kWh)</t>
    <phoneticPr fontId="8" type="noConversion"/>
  </si>
  <si>
    <t>Off peak 3rd step (kWh)</t>
    <phoneticPr fontId="8" type="noConversion"/>
  </si>
  <si>
    <t>Off peak 4th rate (c/kWh)</t>
    <phoneticPr fontId="8" type="noConversion"/>
  </si>
  <si>
    <t>Seasonal Off-peak: Off-peak rate (c/kWh)</t>
    <phoneticPr fontId="8" type="noConversion"/>
  </si>
  <si>
    <t>Cont' off peak</t>
    <phoneticPr fontId="8" type="noConversion"/>
  </si>
  <si>
    <t xml:space="preserve"> and households in non-metropolitan South Australia </t>
    <phoneticPr fontId="8" type="noConversion"/>
  </si>
  <si>
    <t xml:space="preserve">*Bill calculation sheets are interactive spreadsheets where quarterly consumption (kWh) level can be adjusted   </t>
    <phoneticPr fontId="10" type="noConversion"/>
  </si>
  <si>
    <t>and bill calculations can be underaken for both 1.5 kW and 3 kW solar systems.</t>
    <phoneticPr fontId="8" type="noConversion"/>
  </si>
  <si>
    <t>All red cells contain variables for the user to insert</t>
    <phoneticPr fontId="8" type="noConversion"/>
  </si>
  <si>
    <t>*Quarterly consumption includes both electricity produced for own consumption and imported from grid</t>
    <phoneticPr fontId="8" type="noConversion"/>
  </si>
  <si>
    <t>*Only Feed in Tariff (FIT) rates available to new customers have been included. Retailer funded FIT rates have been applied as per offer</t>
    <phoneticPr fontId="8" type="noConversion"/>
  </si>
  <si>
    <t>http://www.sanctuaryenergy.com.au/pdf/2015Updates/PriceFactSheet_SAN118762MR.pdf</t>
  </si>
  <si>
    <t>Unchanged</t>
    <phoneticPr fontId="8" type="noConversion"/>
  </si>
  <si>
    <t>SA-Controlled</t>
    <phoneticPr fontId="8" type="noConversion"/>
  </si>
  <si>
    <t>net</t>
    <phoneticPr fontId="8" type="noConversion"/>
  </si>
  <si>
    <t>so</t>
    <phoneticPr fontId="8" type="noConversion"/>
  </si>
  <si>
    <t>Click Energy</t>
    <phoneticPr fontId="8" type="noConversion"/>
  </si>
  <si>
    <t>Shine Plus</t>
    <phoneticPr fontId="8" type="noConversion"/>
  </si>
  <si>
    <t>Monthly e-billing only</t>
    <phoneticPr fontId="8" type="noConversion"/>
  </si>
  <si>
    <t>https://www.simplyenergy.com.au/docs/default-source/epfs_pdf_data/pricefactsheet_sim153658mr98483990453464788f06ff0000ae2471.pdf?Status=Master&amp;sfvrsn=2</t>
  </si>
  <si>
    <t>Momentum Energy</t>
    <phoneticPr fontId="8" type="noConversion"/>
  </si>
  <si>
    <t>SmilePower</t>
    <phoneticPr fontId="8" type="noConversion"/>
  </si>
  <si>
    <t>http://www.momentumenergy.com.au/docs/default-source/price-sheets/sa-smilepower-resi-sapower.pdf?sfvrsn=24</t>
  </si>
  <si>
    <t>Powerdirect</t>
    <phoneticPr fontId="8" type="noConversion"/>
  </si>
  <si>
    <t>18 percent</t>
    <phoneticPr fontId="8" type="noConversion"/>
  </si>
  <si>
    <t>o</t>
    <phoneticPr fontId="8" type="noConversion"/>
  </si>
  <si>
    <t>Single</t>
    <phoneticPr fontId="8" type="noConversion"/>
  </si>
  <si>
    <t>Origin Energy</t>
    <phoneticPr fontId="8" type="noConversion"/>
  </si>
  <si>
    <t>Saver</t>
    <phoneticPr fontId="8" type="noConversion"/>
  </si>
  <si>
    <t>y</t>
    <phoneticPr fontId="8" type="noConversion"/>
  </si>
  <si>
    <t>n</t>
    <phoneticPr fontId="8" type="noConversion"/>
  </si>
  <si>
    <t>n</t>
    <phoneticPr fontId="8" type="noConversion"/>
  </si>
  <si>
    <t>o</t>
    <phoneticPr fontId="8" type="noConversion"/>
  </si>
  <si>
    <t>n</t>
    <phoneticPr fontId="8" type="noConversion"/>
  </si>
  <si>
    <t>N</t>
    <phoneticPr fontId="8" type="noConversion"/>
  </si>
  <si>
    <t>Annual consumption only</t>
    <phoneticPr fontId="8" type="noConversion"/>
  </si>
  <si>
    <t>Annual bill (incl GST)</t>
    <phoneticPr fontId="8" type="noConversion"/>
  </si>
  <si>
    <t>https://www.originenergy.com.au/content/dam/origin/residential/docs/energy-price-fact-sheets/sa/20160616/SA_Electricity_Residential_SA%20Power%20Networks_OriginSaver14.PDF</t>
  </si>
  <si>
    <t>Annual bill incl pay on time discounts, FIT credit and GST</t>
    <phoneticPr fontId="8" type="noConversion"/>
  </si>
  <si>
    <t>Effective from</t>
    <phoneticPr fontId="8" type="noConversion"/>
  </si>
  <si>
    <t>http://customer.harveynormanenergy.com.au/HarveyNormanEnergyCustomer/media/EnergyPlans/SA-HNE-VIP20-ELEC-PFS-JUL2016.pdf?ext=.pdf</t>
  </si>
  <si>
    <t>Controlled</t>
    <phoneticPr fontId="8" type="noConversion"/>
  </si>
  <si>
    <t>y</t>
    <phoneticPr fontId="8" type="noConversion"/>
  </si>
  <si>
    <t>July 2017</t>
  </si>
  <si>
    <r>
      <t>Report 1: South Australian</t>
    </r>
    <r>
      <rPr>
        <sz val="10"/>
        <rFont val="Arial"/>
        <family val="2"/>
      </rPr>
      <t xml:space="preserve"> Energy Prices 2009 - 2012</t>
    </r>
    <r>
      <rPr>
        <sz val="10"/>
        <rFont val="Verdana"/>
        <family val="2"/>
      </rPr>
      <t xml:space="preserve"> (August 2012)   </t>
    </r>
  </si>
  <si>
    <r>
      <t>Report 2: South Australian</t>
    </r>
    <r>
      <rPr>
        <sz val="10"/>
        <rFont val="Arial"/>
        <family val="2"/>
      </rPr>
      <t xml:space="preserve"> Energy Prices, An update report 2012 - 2013</t>
    </r>
    <r>
      <rPr>
        <sz val="10"/>
        <rFont val="Verdana"/>
        <family val="2"/>
      </rPr>
      <t xml:space="preserve"> (August 2013)   </t>
    </r>
  </si>
  <si>
    <r>
      <t>Report 3: South Australian</t>
    </r>
    <r>
      <rPr>
        <sz val="10"/>
        <rFont val="Arial"/>
        <family val="2"/>
      </rPr>
      <t xml:space="preserve"> Energy Prices, An update report 2013 - 2014</t>
    </r>
    <r>
      <rPr>
        <sz val="10"/>
        <rFont val="Verdana"/>
        <family val="2"/>
      </rPr>
      <t xml:space="preserve"> (August 2014)   </t>
    </r>
  </si>
  <si>
    <r>
      <t>Report 4: South Australian</t>
    </r>
    <r>
      <rPr>
        <sz val="10"/>
        <rFont val="Arial"/>
        <family val="2"/>
      </rPr>
      <t xml:space="preserve"> Energy Prices, An update report 2014 - 2015</t>
    </r>
    <r>
      <rPr>
        <sz val="10"/>
        <rFont val="Verdana"/>
        <family val="2"/>
      </rPr>
      <t xml:space="preserve"> (August 2015)   </t>
    </r>
  </si>
  <si>
    <r>
      <t>Report 5: South Australian</t>
    </r>
    <r>
      <rPr>
        <sz val="10"/>
        <rFont val="Arial"/>
        <family val="2"/>
      </rPr>
      <t xml:space="preserve"> Energy Prices, An update report 2015 - 2016</t>
    </r>
    <r>
      <rPr>
        <sz val="10"/>
        <rFont val="Verdana"/>
        <family val="2"/>
      </rPr>
      <t xml:space="preserve"> (August 2016)   </t>
    </r>
  </si>
  <si>
    <r>
      <t xml:space="preserve">The reports and workbooks are available at </t>
    </r>
    <r>
      <rPr>
        <b/>
        <sz val="11"/>
        <rFont val="Arial"/>
        <family val="2"/>
      </rPr>
      <t>www.vinnies.org.au/Energy</t>
    </r>
  </si>
  <si>
    <t>Red Energy</t>
  </si>
  <si>
    <t>July 2018</t>
  </si>
  <si>
    <t xml:space="preserve">Report 6: South Australian Energy Prices July 2017, An update report (August 2017)   </t>
  </si>
  <si>
    <t>*All calculations of quarterly supply charge are based on c/day multiplied by 91 days</t>
  </si>
  <si>
    <t>Amaysim</t>
  </si>
  <si>
    <t>Online sign up discount off bill (%)</t>
  </si>
  <si>
    <t>Online sign up discount off usage (%)</t>
  </si>
  <si>
    <t>Membership fee ($ per year)</t>
  </si>
  <si>
    <t>Home office product? (y/blank)</t>
  </si>
  <si>
    <t>Price fix (months)</t>
  </si>
  <si>
    <t>Price fix (date)</t>
  </si>
  <si>
    <t>SA</t>
    <phoneticPr fontId="6" type="noConversion"/>
  </si>
  <si>
    <t>SA Power</t>
    <phoneticPr fontId="6" type="noConversion"/>
  </si>
  <si>
    <t>Single</t>
    <phoneticPr fontId="6" type="noConversion"/>
  </si>
  <si>
    <t>y</t>
    <phoneticPr fontId="6" type="noConversion"/>
  </si>
  <si>
    <t>n</t>
    <phoneticPr fontId="6" type="noConversion"/>
  </si>
  <si>
    <t>AGL</t>
    <phoneticPr fontId="6" type="noConversion"/>
  </si>
  <si>
    <t>SA-Single</t>
    <phoneticPr fontId="6" type="noConversion"/>
  </si>
  <si>
    <t>o</t>
    <phoneticPr fontId="6" type="noConversion"/>
  </si>
  <si>
    <t>N</t>
    <phoneticPr fontId="6" type="noConversion"/>
  </si>
  <si>
    <t>Alinta Energy</t>
    <phoneticPr fontId="6" type="noConversion"/>
  </si>
  <si>
    <t>Fair Deal</t>
    <phoneticPr fontId="6" type="noConversion"/>
  </si>
  <si>
    <t>quarter</t>
    <phoneticPr fontId="6" type="noConversion"/>
  </si>
  <si>
    <t>so</t>
    <phoneticPr fontId="6" type="noConversion"/>
  </si>
  <si>
    <t>Click Energy</t>
    <phoneticPr fontId="6" type="noConversion"/>
  </si>
  <si>
    <t>Solar Light</t>
    <phoneticPr fontId="6" type="noConversion"/>
  </si>
  <si>
    <t>Monthly e-billing only</t>
    <phoneticPr fontId="6" type="noConversion"/>
  </si>
  <si>
    <t>Not available</t>
    <phoneticPr fontId="6" type="noConversion"/>
  </si>
  <si>
    <t>SA</t>
    <phoneticPr fontId="3" type="noConversion"/>
  </si>
  <si>
    <t>SA Power</t>
    <phoneticPr fontId="3" type="noConversion"/>
  </si>
  <si>
    <t>Single</t>
    <phoneticPr fontId="3" type="noConversion"/>
  </si>
  <si>
    <t>y</t>
    <phoneticPr fontId="3" type="noConversion"/>
  </si>
  <si>
    <t>n</t>
    <phoneticPr fontId="3" type="noConversion"/>
  </si>
  <si>
    <t>Commander</t>
    <phoneticPr fontId="3" type="noConversion"/>
  </si>
  <si>
    <t>Market offer</t>
    <phoneticPr fontId="3" type="noConversion"/>
  </si>
  <si>
    <t>quarter</t>
    <phoneticPr fontId="3" type="noConversion"/>
  </si>
  <si>
    <t>SA-Single</t>
    <phoneticPr fontId="3" type="noConversion"/>
  </si>
  <si>
    <t>Additional discounts may be obtained through service bundling</t>
    <phoneticPr fontId="3" type="noConversion"/>
  </si>
  <si>
    <t>N</t>
    <phoneticPr fontId="3" type="noConversion"/>
  </si>
  <si>
    <t>https://cpg.commander.com/GeneralPricingInfo/ViewFile/SA%20Power%20Networks%20Residential%20Electricity%20Market%20Offer%2010-08-2017-pdf</t>
  </si>
  <si>
    <t>Diamond Energy</t>
    <phoneticPr fontId="6" type="noConversion"/>
  </si>
  <si>
    <t>Pay on time discount</t>
    <phoneticPr fontId="6" type="noConversion"/>
  </si>
  <si>
    <t>Dodo Power &amp; Gas</t>
    <phoneticPr fontId="3" type="noConversion"/>
  </si>
  <si>
    <t>o</t>
    <phoneticPr fontId="3" type="noConversion"/>
  </si>
  <si>
    <t>EnergyAustralia</t>
    <phoneticPr fontId="6" type="noConversion"/>
  </si>
  <si>
    <t>Lumo Energy</t>
    <phoneticPr fontId="6" type="noConversion"/>
  </si>
  <si>
    <t>Advantage</t>
    <phoneticPr fontId="6" type="noConversion"/>
  </si>
  <si>
    <t>o</t>
  </si>
  <si>
    <t>Access to Lumo Ameego rewards program</t>
    <phoneticPr fontId="6" type="noConversion"/>
  </si>
  <si>
    <t>Momentum Energy</t>
    <phoneticPr fontId="3" type="noConversion"/>
  </si>
  <si>
    <t>SmilePower</t>
    <phoneticPr fontId="3" type="noConversion"/>
  </si>
  <si>
    <t>Origin Energy</t>
    <phoneticPr fontId="6" type="noConversion"/>
  </si>
  <si>
    <t>The higher FIT rate only applies to the benefit period</t>
    <phoneticPr fontId="6" type="noConversion"/>
  </si>
  <si>
    <t>Powerdirect</t>
    <phoneticPr fontId="6" type="noConversion"/>
  </si>
  <si>
    <t>Market offer</t>
    <phoneticPr fontId="6" type="noConversion"/>
  </si>
  <si>
    <t>Plus</t>
    <phoneticPr fontId="6" type="noConversion"/>
  </si>
  <si>
    <t>Account credit</t>
    <phoneticPr fontId="6" type="noConversion"/>
  </si>
  <si>
    <t>Red Energy</t>
    <phoneticPr fontId="3" type="noConversion"/>
  </si>
  <si>
    <t>No exit fee saver</t>
    <phoneticPr fontId="3" type="noConversion"/>
  </si>
  <si>
    <t>y</t>
  </si>
  <si>
    <t>so</t>
  </si>
  <si>
    <t>Solar 4</t>
  </si>
  <si>
    <t>Monthly billing.</t>
  </si>
  <si>
    <t>Controlled</t>
    <phoneticPr fontId="6" type="noConversion"/>
  </si>
  <si>
    <t>SA-Controlled</t>
    <phoneticPr fontId="6" type="noConversion"/>
  </si>
  <si>
    <t>Controlled</t>
    <phoneticPr fontId="3" type="noConversion"/>
  </si>
  <si>
    <t>SA-Controlled</t>
    <phoneticPr fontId="3" type="noConversion"/>
  </si>
  <si>
    <t>Anytime Saver</t>
    <phoneticPr fontId="6" type="noConversion"/>
  </si>
  <si>
    <t>https://www.redenergy.com.au/docs/sa_price_fact_sheets/Red-Energy-SA-Easy-Saver-No-Exit-Fee-Residential-SA-Power-Networks.pdf</t>
  </si>
  <si>
    <t>SA</t>
    <phoneticPr fontId="7" type="noConversion"/>
  </si>
  <si>
    <t>SA Power</t>
    <phoneticPr fontId="7" type="noConversion"/>
  </si>
  <si>
    <t>Single</t>
    <phoneticPr fontId="7" type="noConversion"/>
  </si>
  <si>
    <t>y</t>
    <phoneticPr fontId="7" type="noConversion"/>
  </si>
  <si>
    <t>n</t>
    <phoneticPr fontId="7" type="noConversion"/>
  </si>
  <si>
    <t>Simply Energy</t>
    <phoneticPr fontId="7" type="noConversion"/>
  </si>
  <si>
    <t>quarter</t>
    <phoneticPr fontId="7" type="noConversion"/>
  </si>
  <si>
    <t>SA-Single</t>
    <phoneticPr fontId="7" type="noConversion"/>
  </si>
  <si>
    <t xml:space="preserve">$50 welcome credit for customers that sign up online </t>
  </si>
  <si>
    <t xml:space="preserve">Solar Savers </t>
  </si>
  <si>
    <t>New</t>
  </si>
  <si>
    <t>Controlled</t>
    <phoneticPr fontId="7" type="noConversion"/>
  </si>
  <si>
    <t>SA-Controlled</t>
    <phoneticPr fontId="7" type="noConversion"/>
  </si>
  <si>
    <t xml:space="preserve">Report 7: South Australian Energy Prices July 2018, An update report (September 2018)   </t>
  </si>
  <si>
    <t>July 2019</t>
  </si>
  <si>
    <t xml:space="preserve">Report 8: South Australian Energy Prices July 2019, An update report (September 2019)   </t>
  </si>
  <si>
    <t>SA</t>
    <phoneticPr fontId="0" type="noConversion"/>
  </si>
  <si>
    <t>SA Power Networks</t>
  </si>
  <si>
    <t>Single</t>
    <phoneticPr fontId="0" type="noConversion"/>
  </si>
  <si>
    <t>y</t>
    <phoneticPr fontId="0" type="noConversion"/>
  </si>
  <si>
    <t>n</t>
    <phoneticPr fontId="0" type="noConversion"/>
  </si>
  <si>
    <t>AGL</t>
    <phoneticPr fontId="0" type="noConversion"/>
  </si>
  <si>
    <t>Smart Saver</t>
  </si>
  <si>
    <t xml:space="preserve"> </t>
  </si>
  <si>
    <t>SA-Single</t>
    <phoneticPr fontId="0" type="noConversion"/>
  </si>
  <si>
    <t>o</t>
    <phoneticPr fontId="0" type="noConversion"/>
  </si>
  <si>
    <t>N</t>
    <phoneticPr fontId="0" type="noConversion"/>
  </si>
  <si>
    <t>Alinta Energy</t>
    <phoneticPr fontId="0" type="noConversion"/>
  </si>
  <si>
    <t>No fuss</t>
  </si>
  <si>
    <t>quarter</t>
    <phoneticPr fontId="0" type="noConversion"/>
  </si>
  <si>
    <t>n</t>
  </si>
  <si>
    <t>Click Energy</t>
    <phoneticPr fontId="0" type="noConversion"/>
  </si>
  <si>
    <t>$50 gift card when switching to Click Energy</t>
  </si>
  <si>
    <t>Gift card</t>
  </si>
  <si>
    <t>Commander</t>
    <phoneticPr fontId="0" type="noConversion"/>
  </si>
  <si>
    <t>Market offer</t>
    <phoneticPr fontId="0" type="noConversion"/>
  </si>
  <si>
    <t>Bundling options to receive further discounts</t>
    <phoneticPr fontId="0" type="noConversion"/>
  </si>
  <si>
    <t>https://www.energymadeeasy.gov.au/offer/930746?postcode=5000</t>
  </si>
  <si>
    <t>Diamond Energy</t>
    <phoneticPr fontId="7" type="noConversion"/>
  </si>
  <si>
    <t>Pay on time discount</t>
    <phoneticPr fontId="7" type="noConversion"/>
  </si>
  <si>
    <t>N</t>
    <phoneticPr fontId="7" type="noConversion"/>
  </si>
  <si>
    <t>SA</t>
    <phoneticPr fontId="4" type="noConversion"/>
  </si>
  <si>
    <t>Single</t>
    <phoneticPr fontId="4" type="noConversion"/>
  </si>
  <si>
    <t>y</t>
    <phoneticPr fontId="4" type="noConversion"/>
  </si>
  <si>
    <t>n</t>
    <phoneticPr fontId="4" type="noConversion"/>
  </si>
  <si>
    <t>Dodo Power &amp; Gas</t>
    <phoneticPr fontId="4" type="noConversion"/>
  </si>
  <si>
    <t>Market offer</t>
    <phoneticPr fontId="4" type="noConversion"/>
  </si>
  <si>
    <t>quarter</t>
    <phoneticPr fontId="4" type="noConversion"/>
  </si>
  <si>
    <t>SA-Single</t>
    <phoneticPr fontId="4" type="noConversion"/>
  </si>
  <si>
    <t>o</t>
    <phoneticPr fontId="4" type="noConversion"/>
  </si>
  <si>
    <t>N</t>
    <phoneticPr fontId="4" type="noConversion"/>
  </si>
  <si>
    <t>https://www.energymadeeasy.gov.au/offer/928931?postcode=5000</t>
  </si>
  <si>
    <t>EnergyAustralia</t>
    <phoneticPr fontId="7" type="noConversion"/>
  </si>
  <si>
    <t>Total Plan</t>
  </si>
  <si>
    <t>o</t>
    <phoneticPr fontId="7" type="noConversion"/>
  </si>
  <si>
    <t>https://www.energymadeeasy.gov.au/offer/900837?utm_source=EnergyAustralia&amp;utm_campaign=bpi-retailer&amp;utm_medium=retailer&amp;postcode=5000</t>
  </si>
  <si>
    <t>SA</t>
    <phoneticPr fontId="5" type="noConversion"/>
  </si>
  <si>
    <t>Single</t>
    <phoneticPr fontId="5" type="noConversion"/>
  </si>
  <si>
    <t>y</t>
    <phoneticPr fontId="5" type="noConversion"/>
  </si>
  <si>
    <t>n</t>
    <phoneticPr fontId="5" type="noConversion"/>
  </si>
  <si>
    <t>Lumo Energy</t>
    <phoneticPr fontId="5" type="noConversion"/>
  </si>
  <si>
    <t>Basic</t>
  </si>
  <si>
    <t>SA-Single</t>
    <phoneticPr fontId="5" type="noConversion"/>
  </si>
  <si>
    <t xml:space="preserve">$50 credit if signing up online. </t>
  </si>
  <si>
    <t>N</t>
    <phoneticPr fontId="5" type="noConversion"/>
  </si>
  <si>
    <t>Monthly billing.</t>
    <phoneticPr fontId="5" type="noConversion"/>
  </si>
  <si>
    <t>https://www.energymadeeasy.gov.au/offer/930474/print?postcode=5000&amp;fuelType=E&amp;distributor-E=42</t>
  </si>
  <si>
    <t>SmilePower Flexi</t>
    <phoneticPr fontId="8" type="noConversion"/>
  </si>
  <si>
    <t>Origin Energy</t>
    <phoneticPr fontId="0" type="noConversion"/>
  </si>
  <si>
    <t>Flexi</t>
  </si>
  <si>
    <t>Powerdirect</t>
    <phoneticPr fontId="7" type="noConversion"/>
  </si>
  <si>
    <t>Discount Saver</t>
  </si>
  <si>
    <t>Monthly billing</t>
  </si>
  <si>
    <t>https://www.energymadeeasy.gov.au/offer/911807?postcode=5000</t>
  </si>
  <si>
    <t>Red Energy</t>
    <phoneticPr fontId="4" type="noConversion"/>
  </si>
  <si>
    <t>No exit fee saver</t>
    <phoneticPr fontId="4" type="noConversion"/>
  </si>
  <si>
    <t>https://www.energymadeeasy.gov.au/offer/929734/print?postcode=5000&amp;fuelType=E&amp;distributor-E=42</t>
  </si>
  <si>
    <t>Energy Locals</t>
  </si>
  <si>
    <t>Simply Energy</t>
    <phoneticPr fontId="4" type="noConversion"/>
  </si>
  <si>
    <t>Plus</t>
    <phoneticPr fontId="4" type="noConversion"/>
  </si>
  <si>
    <t xml:space="preserve">$30 account anniversary credit </t>
  </si>
  <si>
    <t>Account credit</t>
    <phoneticPr fontId="4" type="noConversion"/>
  </si>
  <si>
    <t>Not available</t>
    <phoneticPr fontId="4" type="noConversion"/>
  </si>
  <si>
    <t>Powershop</t>
  </si>
  <si>
    <t>Shopper with Mega Pack</t>
  </si>
  <si>
    <t>o</t>
    <phoneticPr fontId="5" type="noConversion"/>
  </si>
  <si>
    <t>To qualify for Pay on Time discount you must log in to Powershop at least once a month and buy enough of the Power Saver to cover your usage for your Account Review period. Monthly online payment</t>
  </si>
  <si>
    <t>https://s3-ap-southeast-2.amazonaws.com/psau-wordpress/wp-content/uploads/2019/06/30212117/PSH-SAPN-90701-MR.pdf</t>
  </si>
  <si>
    <t>Powerclub</t>
    <phoneticPr fontId="7" type="noConversion"/>
  </si>
  <si>
    <t>A refundable contribution to your powerbank of $40 per 1,000 kWh of annual consumption must be paid. Monthly billing.</t>
  </si>
  <si>
    <t>https://www.energymadeeasy.gov.au/offer/959369?postcode=5000</t>
  </si>
  <si>
    <t>Amber Electric</t>
  </si>
  <si>
    <t>Market offer</t>
  </si>
  <si>
    <t>Available to smart meter customers only. Customer will be charged wholesale rates + network charges but monthly average will not exceed stipulated rates. Monthly billing.</t>
  </si>
  <si>
    <t>https://uploads-ssl.webflow.com/5be398fec98f64eddec9df1c/5be398fec98f64c42cc9df5f_LCL711480MR_CZae.pdf</t>
  </si>
  <si>
    <t>Controlled</t>
    <phoneticPr fontId="0" type="noConversion"/>
  </si>
  <si>
    <t>SA-Controlled</t>
    <phoneticPr fontId="0" type="noConversion"/>
  </si>
  <si>
    <t>https://www.energymadeeasy.gov.au/offer/930745?postcode=5000</t>
  </si>
  <si>
    <t>Controlled</t>
    <phoneticPr fontId="4" type="noConversion"/>
  </si>
  <si>
    <t>SA-Controlled</t>
    <phoneticPr fontId="4" type="noConversion"/>
  </si>
  <si>
    <t>https://www.energymadeeasy.gov.au/offer/928930?postcode=5000</t>
  </si>
  <si>
    <t>Total Plan Home</t>
  </si>
  <si>
    <t>https://www.energymadeeasy.gov.au/offer/900840?utm_source=EnergyAustralia&amp;utm_campaign=bpi-retailer&amp;utm_medium=retailer&amp;postcode=5000</t>
  </si>
  <si>
    <t>Controlled</t>
    <phoneticPr fontId="5" type="noConversion"/>
  </si>
  <si>
    <t>SA-Controlled</t>
    <phoneticPr fontId="5" type="noConversion"/>
  </si>
  <si>
    <t>https://www.energymadeeasy.gov.au/offer/930473/print?postcode=5000&amp;fuelType=E&amp;distributor-E=42</t>
  </si>
  <si>
    <t>https://www.energymadeeasy.gov.au/offer/911806?postcode=5000</t>
  </si>
  <si>
    <t>https://www.energymadeeasy.gov.au/offer/929733/print?postcode=5000&amp;fuelType=E&amp;distributor-E=42</t>
  </si>
  <si>
    <t>Not available</t>
    <phoneticPr fontId="0" type="noConversion"/>
  </si>
  <si>
    <t>Solar as you go</t>
  </si>
  <si>
    <t>https://www.energymadeeasy.gov.au/offer/922894?utm_source=amaysim+Energy&amp;utm_campaign=bpi-retailer&amp;utm_medium=retailer&amp;postcode=5000</t>
  </si>
  <si>
    <t>Banksia Solar</t>
  </si>
  <si>
    <t>https://www.energymadeeasy.gov.au/offer/936466?postcode=5000</t>
  </si>
  <si>
    <t>https://www.energymadeeasy.gov.au/offer/936475?postcode=5000</t>
  </si>
  <si>
    <t>Solar Promise</t>
  </si>
  <si>
    <t>https://www.energymadeeasy.gov.au/offer/664425?postcode=5000</t>
  </si>
  <si>
    <t>https://www.energymadeeasy.gov.au/offer/664422?postcode=5000</t>
  </si>
  <si>
    <t>Powerbank Home Solar</t>
  </si>
  <si>
    <t>Powerclub</t>
  </si>
  <si>
    <t>Annual bill (incl GST)</t>
  </si>
  <si>
    <t>Type of discount</t>
  </si>
  <si>
    <t>Discount is inclusive or exclusive of GST</t>
  </si>
  <si>
    <t>July 2020</t>
  </si>
  <si>
    <t xml:space="preserve">Report 9: South Australian Energy Prices July 2020, An update report (September 2020)   </t>
  </si>
  <si>
    <t>SA</t>
  </si>
  <si>
    <t>Single</t>
  </si>
  <si>
    <t>Solar Savers</t>
  </si>
  <si>
    <t xml:space="preserve">  </t>
  </si>
  <si>
    <t>SA-Single</t>
  </si>
  <si>
    <t>N</t>
  </si>
  <si>
    <t>https://www.energymadeeasy.gov.au/plan?id=AGL15407MRE&amp;postcode=5000</t>
  </si>
  <si>
    <t>quarter</t>
  </si>
  <si>
    <t>https://www.energymadeeasy.gov.au/plan?id=ALI13129MRE&amp;postcode=5000</t>
  </si>
  <si>
    <t>Flora Solar</t>
  </si>
  <si>
    <t>Billed monthly, either actual meter reads, or, an instalment amount of $130 (or as otherwise agreed) which is then reconciled against  actual or estimated usage every quarter.</t>
  </si>
  <si>
    <t>https://www.energymadeeasy.gov.au/plan?id=CLI65413MRE&amp;postcode=5000</t>
  </si>
  <si>
    <t>https://www.energymadeeasy.gov.au/plan?id=M2E13259MRE&amp;postcode=5000</t>
  </si>
  <si>
    <t>https://www.energymadeeasy.gov.au/plan?id=DIA34657MRE&amp;postcode=5000</t>
  </si>
  <si>
    <t>https://www.energymadeeasy.gov.au/plan?id=DOD14013MRE&amp;postcode=5000</t>
  </si>
  <si>
    <t>https://www.energymadeeasy.gov.au/plan?id=ENE19208MRE&amp;utm_source=EnergyAustralia&amp;utm_campaign=bpi-retailer&amp;utm_medium=retailer&amp;postcode=5000</t>
  </si>
  <si>
    <t>Plus</t>
  </si>
  <si>
    <t>Earn Lumo Ameego shopping credits. $20 in credits when signing up and $15 in credits for each bill paid on time.</t>
  </si>
  <si>
    <t>https://www.energymadeeasy.gov.au/plan?id=LUM19148MRE&amp;postcode=5000</t>
  </si>
  <si>
    <t>SmilePower Flexi</t>
  </si>
  <si>
    <t>https://www.energymadeeasy.gov.au/plan?id=MOM58653MRE&amp;utm_source=Momentum%20Energy&amp;utm_campaign=bpi-retailer&amp;utm_medium=retailer&amp;postcode=5000</t>
  </si>
  <si>
    <t>Solar Boost</t>
  </si>
  <si>
    <t>13c FIT for 10 months thereafter 8c FIT</t>
  </si>
  <si>
    <t>https://www.energymadeeasy.gov.au/plan?id=ORI77150MRE&amp;postcode=5000</t>
  </si>
  <si>
    <t>Rate Saver</t>
  </si>
  <si>
    <t>https://www.energymadeeasy.gov.au/plan?id=POW15455MRE&amp;postcode=5000</t>
  </si>
  <si>
    <t>Living Energy Saver</t>
  </si>
  <si>
    <t>https://www.energymadeeasy.gov.au/plan?id=RED21498MRE&amp;postcode=5000</t>
  </si>
  <si>
    <t>Local Saver</t>
  </si>
  <si>
    <t>Saver</t>
  </si>
  <si>
    <t>https://www.energymadeeasy.gov.au/plan?id=SIM61617MRE2&amp;postcode=5000</t>
  </si>
  <si>
    <t>Post-paid Solar</t>
  </si>
  <si>
    <t>https://www.energymadeeasy.gov.au/plan?id=AMA62386MRE&amp;utm_source=amaysim%20Energy&amp;utm_campaign=bpi-retailer&amp;utm_medium=retailer&amp;postcode=5000</t>
  </si>
  <si>
    <t xml:space="preserve">To qualify for Pay on Time discount you must log in to Powershop at least once a month and buy enough of the Power Saver to cover your usage for your Account Review period. Direct debit. </t>
  </si>
  <si>
    <t>https://www.powershop.com.au/app/rates/resi/elec/sapower/resi-elec-sa-market-offer-tariff-all.pdf?v=1</t>
  </si>
  <si>
    <t>A refundable contribution to your powerbank of $40 per 1,000 kWh of annual consumption must be paid.</t>
  </si>
  <si>
    <t>https://www.energymadeeasy.gov.au/plan?id=PWR93275MRE&amp;postcode=5000</t>
  </si>
  <si>
    <t>Available to smart meter customers only. Customer will be charged wholesale rates + network charges but monthly average will not exceed stipulated rates. Direct debit.</t>
  </si>
  <si>
    <t>https://www.energymadeeasy.gov.au/plan?id=AMB48846MRE1&amp;postcode=5000</t>
  </si>
  <si>
    <t>DC Power Co</t>
  </si>
  <si>
    <t>https://www.dcpowerco.com.au/wp-content/uploads/2020/02/DCP-AS-200214-DR-Updated-1.pdf</t>
  </si>
  <si>
    <t>Discover Energy</t>
  </si>
  <si>
    <t>Online sign-up via Discover Energy website only and only for new customer of Discover Energy with e-billing</t>
  </si>
  <si>
    <t>https://www.energymadeeasy.gov.au/plan?id=DEN36265MRE2&amp;postcode=5000</t>
  </si>
  <si>
    <t>Future X Power</t>
  </si>
  <si>
    <t>Flexi Saver</t>
  </si>
  <si>
    <t>GloSave</t>
  </si>
  <si>
    <t>Kogan Energy</t>
  </si>
  <si>
    <t>https://www.energymadeeasy.gov.au/plan?id=KOG58279MRE1&amp;postcode=5000</t>
  </si>
  <si>
    <t>OVO Energy</t>
  </si>
  <si>
    <t>The One Plan</t>
  </si>
  <si>
    <t>10% GreenPower</t>
  </si>
  <si>
    <t>3% interest paid on credit balances. Direct debit only.</t>
  </si>
  <si>
    <t>https://www.energymadeeasy.gov.au/plan?id=OVO49836MRE&amp;postcode=5000</t>
  </si>
  <si>
    <t>ReAmped Energy</t>
  </si>
  <si>
    <t>Controlled</t>
  </si>
  <si>
    <t>SA-Controlled</t>
  </si>
  <si>
    <t>https://www.energymadeeasy.gov.au/plan?id=AGL15406MRE&amp;postcode=5000</t>
  </si>
  <si>
    <t>https://www.energymadeeasy.gov.au/plan?id=ALI13050MRE&amp;postcode=5000</t>
  </si>
  <si>
    <t>https://www.energymadeeasy.gov.au/plan?id=CLI65145MRE&amp;postcode=5000</t>
  </si>
  <si>
    <t>https://www.energymadeeasy.gov.au/plan?id=M2E13260MRE&amp;postcode=5000</t>
  </si>
  <si>
    <t>https://www.energymadeeasy.gov.au/plan?id=DIA34658MRE&amp;postcode=5000</t>
  </si>
  <si>
    <t>https://www.energymadeeasy.gov.au/plan?id=DOD14014MRE&amp;postcode=5000</t>
  </si>
  <si>
    <t>https://www.energymadeeasy.gov.au/plan?id=ENE19211MRE&amp;utm_source=EnergyAustralia&amp;utm_campaign=bpi-retailer&amp;utm_medium=retailer&amp;postcode=5000</t>
  </si>
  <si>
    <t>https://www.energymadeeasy.gov.au/plan?id=LUM19147MRE&amp;postcode=5000</t>
  </si>
  <si>
    <t>https://www.energymadeeasy.gov.au/plan?id=MOM58656MRE&amp;utm_source=Momentum%20Energy&amp;utm_campaign=bpi-retailer&amp;utm_medium=retailer&amp;postcode=5000</t>
  </si>
  <si>
    <t>https://www.energymadeeasy.gov.au/plan?id=ORI24990MRE&amp;postcode=5000</t>
  </si>
  <si>
    <t>https://www.energymadeeasy.gov.au/plan?id=POW15454MRE&amp;postcode=5000</t>
  </si>
  <si>
    <t>https://www.energymadeeasy.gov.au/plan?id=RED21497MRE&amp;postcode=5000</t>
  </si>
  <si>
    <t>https://www.energymadeeasy.gov.au/plan?id=LCL32910MRE&amp;postcode=5000</t>
  </si>
  <si>
    <t>https://www.energymadeeasy.gov.au/plan?id=SIM61545MRE2&amp;postcode=5000</t>
  </si>
  <si>
    <t>https://www.energymadeeasy.gov.au/plan?id=AMA62397MRE&amp;utm_source=amaysim%20Energy&amp;utm_campaign=bpi-retailer&amp;utm_medium=retailer&amp;postcode=5000</t>
  </si>
  <si>
    <t>https://www.energymadeeasy.gov.au/plan?id=AMB48845MRE1&amp;postcode=5000</t>
  </si>
  <si>
    <t>For new customers only that sign up online. E-billing only</t>
  </si>
  <si>
    <t>https://www.energymadeeasy.gov.au/plan?id=DEN36269MRE2&amp;postcode=5000</t>
  </si>
  <si>
    <t>https://www.energymadeeasy.gov.au/plan?id=KOG58280MRE1&amp;postcode=5000</t>
  </si>
  <si>
    <t>https://www.energymadeeasy.gov.au/plan?id=OVO49837MRE&amp;postcode=5000</t>
  </si>
  <si>
    <t>Timestamp</t>
    <phoneticPr fontId="0" type="noConversion"/>
  </si>
  <si>
    <t>State</t>
    <phoneticPr fontId="0" type="noConversion"/>
  </si>
  <si>
    <t>DB</t>
    <phoneticPr fontId="0" type="noConversion"/>
  </si>
  <si>
    <t>DB Zone</t>
    <phoneticPr fontId="0" type="noConversion"/>
  </si>
  <si>
    <t>Meter type</t>
    <phoneticPr fontId="0" type="noConversion"/>
  </si>
  <si>
    <t>Effective from</t>
    <phoneticPr fontId="0" type="noConversion"/>
  </si>
  <si>
    <t>Solar (y/n)</t>
    <phoneticPr fontId="0" type="noConversion"/>
  </si>
  <si>
    <t>Restricted eligibility? (n/so/nso)</t>
    <phoneticPr fontId="0" type="noConversion"/>
  </si>
  <si>
    <t>Solar meter fee (c/day)</t>
    <phoneticPr fontId="0" type="noConversion"/>
  </si>
  <si>
    <t>Name</t>
  </si>
  <si>
    <t>Single or peak rate (c/kWh)</t>
  </si>
  <si>
    <t>Peak 1st step (kWh)</t>
    <phoneticPr fontId="0" type="noConversion"/>
  </si>
  <si>
    <t>Peak 2nd rate (c/kWh)</t>
  </si>
  <si>
    <t>Peak 2nd step (kWh)</t>
    <phoneticPr fontId="0" type="noConversion"/>
  </si>
  <si>
    <t>Peak 3rd rate (c/kWh)</t>
  </si>
  <si>
    <t>Peak 3rd step (kWh)</t>
    <phoneticPr fontId="0" type="noConversion"/>
  </si>
  <si>
    <t>Peak 4th rate (c/kWh)</t>
  </si>
  <si>
    <t>Seasonal peak: off-peak rate (c/kWh)</t>
  </si>
  <si>
    <t>Off-peak rate (c/kWh)</t>
  </si>
  <si>
    <t>Off peak 1st step (kWh)</t>
    <phoneticPr fontId="0" type="noConversion"/>
  </si>
  <si>
    <t>Off peak 2nd rate (c/kWh)</t>
    <phoneticPr fontId="0" type="noConversion"/>
  </si>
  <si>
    <t>Off peak 2nd step (kWh)</t>
    <phoneticPr fontId="0" type="noConversion"/>
  </si>
  <si>
    <t>Off peak 3rd rate (c/kWh)</t>
    <phoneticPr fontId="0" type="noConversion"/>
  </si>
  <si>
    <t>Off peak 3rd step (kWh)</t>
    <phoneticPr fontId="0" type="noConversion"/>
  </si>
  <si>
    <t>Off peak 4th rate (c/kWh)</t>
    <phoneticPr fontId="0" type="noConversion"/>
  </si>
  <si>
    <t>Seasonal Off-peak: Off-peak rate (c/kWh)</t>
  </si>
  <si>
    <t>Cont' off peak</t>
  </si>
  <si>
    <t>Cont' off peak 1st step (kWh)</t>
    <phoneticPr fontId="0" type="noConversion"/>
  </si>
  <si>
    <t>Cont' off peak 2nd rate</t>
    <phoneticPr fontId="0" type="noConversion"/>
  </si>
  <si>
    <t>Shoulder (c/kWh)</t>
  </si>
  <si>
    <t>Split week tariff: Shoulder - weekdays (c/kWh)</t>
    <phoneticPr fontId="0" type="noConversion"/>
  </si>
  <si>
    <t>Split week tariff: Shoulder - weekends (c/kWh)</t>
    <phoneticPr fontId="0" type="noConversion"/>
  </si>
  <si>
    <t>Seasonal shoulder: off peak season rate (c/kWh)</t>
  </si>
  <si>
    <t>Minimum monthly demand charged (kW)</t>
    <phoneticPr fontId="0" type="noConversion"/>
  </si>
  <si>
    <t>Peak or single Capacity charge  (c/kVA/day)</t>
  </si>
  <si>
    <t>Off-peak Capacity charge  (c/kVA/day)</t>
  </si>
  <si>
    <t>Time structure Code</t>
    <phoneticPr fontId="0" type="noConversion"/>
  </si>
  <si>
    <t>Seasonal? (y/n)</t>
    <phoneticPr fontId="0" type="noConversion"/>
  </si>
  <si>
    <t>Summer or winter peak (s/w)</t>
    <phoneticPr fontId="0" type="noConversion"/>
  </si>
  <si>
    <t>Number of peak months</t>
    <phoneticPr fontId="0" type="noConversion"/>
  </si>
  <si>
    <t>Max. system capacity (kW)</t>
  </si>
  <si>
    <t>FIT (c/kWh)</t>
    <phoneticPr fontId="0" type="noConversion"/>
  </si>
  <si>
    <t>Peak FIT (c/kWh)</t>
    <phoneticPr fontId="0" type="noConversion"/>
  </si>
  <si>
    <t>Off-peak FIT (c/kWh)</t>
    <phoneticPr fontId="0" type="noConversion"/>
  </si>
  <si>
    <t>Shoulder FIT (c/kWh)</t>
    <phoneticPr fontId="0" type="noConversion"/>
  </si>
  <si>
    <t>Green (y/n/o)</t>
    <phoneticPr fontId="0" type="noConversion"/>
  </si>
  <si>
    <t>Green note</t>
    <phoneticPr fontId="0" type="noConversion"/>
  </si>
  <si>
    <t>Guaranteed discount off bill (%)</t>
    <phoneticPr fontId="0" type="noConversion"/>
  </si>
  <si>
    <t>Guaranteed discount off usage (%)</t>
    <phoneticPr fontId="0" type="noConversion"/>
  </si>
  <si>
    <t>POT discount off bill (%)</t>
    <phoneticPr fontId="0" type="noConversion"/>
  </si>
  <si>
    <t>POT discount off usage (%)</t>
    <phoneticPr fontId="0" type="noConversion"/>
  </si>
  <si>
    <t>DD discount off bill (%)</t>
    <phoneticPr fontId="0" type="noConversion"/>
  </si>
  <si>
    <t>DD discount off usage (%)</t>
    <phoneticPr fontId="0" type="noConversion"/>
  </si>
  <si>
    <t>E-bill discount off bill (%)</t>
  </si>
  <si>
    <t>E-bill discount off usage (%)</t>
  </si>
  <si>
    <t>Dual Fuel discount off bill (%)</t>
    <phoneticPr fontId="0" type="noConversion"/>
  </si>
  <si>
    <t>Dual Fuel discount off usage (%)</t>
    <phoneticPr fontId="0" type="noConversion"/>
  </si>
  <si>
    <t>Contract length (months)</t>
    <phoneticPr fontId="0" type="noConversion"/>
  </si>
  <si>
    <t>ETF (Y/N)</t>
    <phoneticPr fontId="0" type="noConversion"/>
  </si>
  <si>
    <t>Limited benefit period? (months)</t>
    <phoneticPr fontId="0" type="noConversion"/>
  </si>
  <si>
    <t>Other Direct Debit Incentive (y/n)</t>
    <phoneticPr fontId="0" type="noConversion"/>
  </si>
  <si>
    <t>Membership fee ($ per year incl. GST)</t>
  </si>
  <si>
    <t>Other incentives</t>
    <phoneticPr fontId="0" type="noConversion"/>
  </si>
  <si>
    <t>Incentive type</t>
    <phoneticPr fontId="0" type="noConversion"/>
  </si>
  <si>
    <t>Approx. incentive value ($)</t>
    <phoneticPr fontId="0" type="noConversion"/>
  </si>
  <si>
    <t>Dual fuel condition? (Y/N)</t>
    <phoneticPr fontId="0" type="noConversion"/>
  </si>
  <si>
    <t>Mandatory shortened billing cycle (months)</t>
  </si>
  <si>
    <t>Comments</t>
    <phoneticPr fontId="0" type="noConversion"/>
  </si>
  <si>
    <t>Source</t>
    <phoneticPr fontId="0" type="noConversion"/>
  </si>
  <si>
    <t>Update status</t>
    <phoneticPr fontId="0" type="noConversion"/>
  </si>
  <si>
    <t>Renewable Saver POT</t>
  </si>
  <si>
    <t>The Solar Feed-in Tariff between 1 Jan - 31 March 2020 is 14 cents/kWh exported and all other times will be 8.51 cents/kWh exported.</t>
  </si>
  <si>
    <t>https://compare.energylocals.com.au/pdf/bpid/cz/ae/id/LCL32911MRE4</t>
  </si>
  <si>
    <t>https://www.energymadeeasy.gov.au/plan?id=FXP103012MRE&amp;postcode=5000</t>
  </si>
  <si>
    <t>GloBird Energy</t>
    <phoneticPr fontId="0" type="noConversion"/>
  </si>
  <si>
    <t>https://www.energymadeeasy.gov.au/plan?id=GLO94487MRE&amp;postcode=5000</t>
  </si>
  <si>
    <t>https://www.energymadeeasy.gov.au/plan?id=FXP103013MRE&amp;postcode=5000</t>
  </si>
  <si>
    <t>https://www.energymadeeasy.gov.au/plan?id=GLO94488MRE&amp;postcode=5000</t>
  </si>
  <si>
    <t>Classic</t>
  </si>
  <si>
    <t>https://www.energymadeeasy.gov.au/plan?postcode=5000&amp;id=REA97348MRE</t>
  </si>
  <si>
    <t>https://www.energymadeeasy.gov.au/plan?postcode=5000&amp;id=REA97349MRE</t>
  </si>
  <si>
    <t>Quarterly bill</t>
  </si>
  <si>
    <t>Peak 2nd block</t>
  </si>
  <si>
    <t>GloBird Energy</t>
  </si>
  <si>
    <t>Home Deal</t>
  </si>
  <si>
    <t>https://www.energymadeeasy.gov.au/plan?id=ALI49383MRE&amp;postcode=5000</t>
  </si>
  <si>
    <t>https://diamondenergy.com.au/epfs/resi/market/sapn-2.pdf</t>
  </si>
  <si>
    <t>You may be eligible for our PowerResponse program, and by participating in events, you may be eligible for rebates which may change over time.</t>
  </si>
  <si>
    <t>Earn Lumo Reward shopping credits. $20 in credits when signing up and $15 in credits for each bill paid on time.</t>
  </si>
  <si>
    <t>https://www.energymadeeasy.gov.au/plan?id=LUM203086MRE&amp;postcode=5000</t>
  </si>
  <si>
    <t>Solar Step Up</t>
  </si>
  <si>
    <t>https://www.energymadeeasy.gov.au/plan?id=MOM242916MRE&amp;utm_source=Momentum%20Energy&amp;utm_campaign=bpi-retailer&amp;utm_medium=retailer&amp;postcode=5000</t>
  </si>
  <si>
    <t>Local Member</t>
  </si>
  <si>
    <t>https://www.energymadeeasy.gov.au/plan?id=LCL112206MRE&amp;postcode=5000</t>
  </si>
  <si>
    <t>Energy Saver</t>
  </si>
  <si>
    <t>https://www.energymadeeasy.gov.au/plan?id=SIM244162MRE&amp;utm_source=Simply%20Energy&amp;utm_campaign=bpi-retailer&amp;utm_medium=retailer&amp;postcode=5000</t>
  </si>
  <si>
    <t>Carbon neutral</t>
  </si>
  <si>
    <t>https://www.powershop.com.au/app/rates/aer/electricity/residential/market/sa/combined-all.pdf?v=1.1.0</t>
  </si>
  <si>
    <t>https://www.energymadeeasy.gov.au/plan?id=PWR258977MRE&amp;postcode=5000</t>
  </si>
  <si>
    <t>nso</t>
  </si>
  <si>
    <t>Amber 15</t>
  </si>
  <si>
    <t>Available to smart meter customers only. Direct debit.</t>
  </si>
  <si>
    <t>https://www.energymadeeasy.gov.au/plan?id=AMB91383MRE2&amp;postcode=5000</t>
  </si>
  <si>
    <t>Solar Smart</t>
  </si>
  <si>
    <t>For export over 600 kWh/quarter the FIT rate us 4c</t>
  </si>
  <si>
    <t>https://www.energymadeeasy.gov.au/plan?id=DEN255564MRE1&amp;postcode=5000</t>
  </si>
  <si>
    <t>SureSave</t>
  </si>
  <si>
    <t>$50 online sign-up credit on your second bill</t>
  </si>
  <si>
    <t>Account credits</t>
  </si>
  <si>
    <t>https://www.energymadeeasy.gov.au/plan?id=GLO250887MRE&amp;postcode=5000</t>
  </si>
  <si>
    <t>https://assets.kogan.com/files/energy/pdf/rates/2021june/KE-SAPN-combined-market2.pdf</t>
  </si>
  <si>
    <t>https://www.energymadeeasy.gov.au/plan?id=OVO205949MRE&amp;postcode=5000</t>
  </si>
  <si>
    <t>Solar</t>
  </si>
  <si>
    <t>https://www.energymadeeasy.gov.au/plan?postcode=5000&amp;id=REA107809MRE</t>
  </si>
  <si>
    <t>1st Energy</t>
  </si>
  <si>
    <t>Solar Bonus</t>
  </si>
  <si>
    <t>https://www.energymadeeasy.gov.au/plan?id=1ST252943MRE&amp;postcode=5000</t>
  </si>
  <si>
    <t>IO Energy</t>
  </si>
  <si>
    <t>Spark</t>
  </si>
  <si>
    <t>https://www.energymadeeasy.gov.au/plan?id=LCL110767MRE&amp;postcode=5000</t>
  </si>
  <si>
    <t>Nectr</t>
  </si>
  <si>
    <t>Friends Clean</t>
  </si>
  <si>
    <t>$50 credit on your 2nd bill, if you sign up using a Refer a Friend link from an existing Nectr customer. Applies to new customers only. </t>
  </si>
  <si>
    <t>https://www.energymadeeasy.gov.au/plan?id=NTR251074MRE&amp;postcode=5000</t>
  </si>
  <si>
    <t>Social Energy</t>
  </si>
  <si>
    <t>https://www.energymadeeasy.gov.au/plan?id=LUM203105MRE&amp;postcode=5000</t>
  </si>
  <si>
    <t>https://www.energymadeeasy.gov.au/plan?id=MOM242865MRE&amp;utm_source=Momentum%20Energy&amp;utm_campaign=bpi-retailer&amp;utm_medium=retailer&amp;postcode=5000</t>
  </si>
  <si>
    <t>https://www.energymadeeasy.gov.au/plan?id=ORI77151MRE&amp;postcode=5000</t>
  </si>
  <si>
    <t>https://www.energymadeeasy.gov.au/plan?id=LCL112216MRE&amp;postcode=5000</t>
  </si>
  <si>
    <t>https://www.energymadeeasy.gov.au/plan?id=SIM244164MRE&amp;utm_source=Simply%20Energy&amp;utm_campaign=bpi-retailer&amp;utm_medium=retailer&amp;postcode=5000</t>
  </si>
  <si>
    <t>https://www.energymadeeasy.gov.au/plan?id=AMB91411MRE2&amp;postcode=5000</t>
  </si>
  <si>
    <t>https://www.energymadeeasy.gov.au/plan?id=GLO250888MRE&amp;postcode=5000</t>
  </si>
  <si>
    <t>https://www.energymadeeasy.gov.au/plan?id=OVO205950MRE&amp;postcode=5000</t>
  </si>
  <si>
    <t>https://www.energymadeeasy.gov.au/plan?postcode=5000&amp;id=REA107810MRE</t>
  </si>
  <si>
    <t>https://www.energymadeeasy.gov.au/plan?id=1ST252944MRE&amp;postcode=5000</t>
  </si>
  <si>
    <t>https://www.energymadeeasy.gov.au/plan?id=LCL110768MRE&amp;postcode=5000</t>
  </si>
  <si>
    <t>https://www.energymadeeasy.gov.au/plan?id=NTR256156MRE&amp;postcode=5000</t>
  </si>
  <si>
    <t>July 2021</t>
  </si>
  <si>
    <t xml:space="preserve">Report 10: South Australian Energy Prices July 2021, An update report (August 2021)   </t>
  </si>
  <si>
    <t>Tango Energy</t>
  </si>
  <si>
    <t>Solar Plus</t>
  </si>
  <si>
    <t>20c FIT for first 3.5kWh/day only</t>
  </si>
  <si>
    <t>https://www.energymadeeasy.gov.au/plan?id=TAN232538MRE1&amp;postcode=5000</t>
  </si>
  <si>
    <t>Covau</t>
  </si>
  <si>
    <t>Freedom Solar</t>
  </si>
  <si>
    <t>https://www.energymadeeasy.gov.au/plan?id=COV284041MRE2&amp;postcode=5000</t>
  </si>
  <si>
    <t>https://www.energymadeeasy.gov.au/plan?id=TAN259156MRE1&amp;postcode=5000</t>
  </si>
  <si>
    <t>https://www.energymadeeasy.gov.au/plan?id=COV284037MRE2&amp;postcode=5000</t>
  </si>
  <si>
    <t>2nd FIT</t>
  </si>
  <si>
    <t>First kWh per quarter</t>
  </si>
  <si>
    <t>First # months</t>
  </si>
  <si>
    <t>July 2022</t>
  </si>
  <si>
    <t>Workbook 5: Solar Offers</t>
  </si>
  <si>
    <t xml:space="preserve">Report 11: South Australian Energy Prices July 2022, An update report (August 2022)   </t>
  </si>
  <si>
    <t>https://www.energymadeeasy.gov.au/plan?id=ALI463789MRE1&amp;postcode=5000</t>
  </si>
  <si>
    <t>Diamond Energy</t>
    <phoneticPr fontId="0" type="noConversion"/>
  </si>
  <si>
    <t>Renewable Saver</t>
  </si>
  <si>
    <t>EnergyAustralia</t>
    <phoneticPr fontId="0" type="noConversion"/>
  </si>
  <si>
    <t>Solar Max</t>
  </si>
  <si>
    <t>$25 online sign-up credit</t>
  </si>
  <si>
    <t>Offer available to eligible residential customers who sign up to an electricity or gas offer via energyaustralia.com.au. Limit of one $25 credit per new energy account, per customer address.  You may be eligible for our PowerResponse program, and by participating in events, you may be eligible for rebates which may change over time.</t>
  </si>
  <si>
    <t>https://www.energymadeeasy.gov.au/plan?id=ENE360429MR&amp;utm_source=EnergyAustralia&amp;utm_campaign=bpi-retailer&amp;utm_medium=retailer&amp;postcode=5000</t>
  </si>
  <si>
    <t>Lumo Energy</t>
    <phoneticPr fontId="0" type="noConversion"/>
  </si>
  <si>
    <t>$25 (incl GST) bonus Lumo Rewards Credit is applied once Lumo becomes responsible for the supply of your electricity and $25 (incl GST) Lumo Rewards Credit for three consecutive monthly electricity bills or a quarterly electricity bill when you pay the full amount on each bill by the due date, provided you have registerd for the Lumo Rewards program</t>
  </si>
  <si>
    <t>If you take up Origin Go Zero, we will offset 100% of the greenhouse gas emissions from your electricity or gas supply through Climate Active, a government-backed carbon neutral certification scheme. The cost is $1.50 per week.</t>
  </si>
  <si>
    <t>Red Energy</t>
    <phoneticPr fontId="0" type="noConversion"/>
  </si>
  <si>
    <t>Online Member</t>
  </si>
  <si>
    <t>Simply Energy</t>
    <phoneticPr fontId="0" type="noConversion"/>
  </si>
  <si>
    <t>https://www.energymadeeasy.gov.au/plan?id=PSH65708MRE&amp;postcode=5000</t>
  </si>
  <si>
    <t>Amber Plan</t>
  </si>
  <si>
    <t>https://assets.website-files.com/5be398fec98f64eddec9df1c/62ba90bf100c29adf1a2b302_SAPN%20CL%20CZ6.pdf</t>
  </si>
  <si>
    <t>https://www.energymadeeasy.gov.au/plan?id=GLO394461MRE&amp;postcode=5000</t>
  </si>
  <si>
    <t>Free Kogan First Membership</t>
  </si>
  <si>
    <t>You must agree to a Kogan First membership</t>
  </si>
  <si>
    <t>https://www.energymadeeasy.gov.au/plan?id=KOG365894MRE&amp;postcode=5000</t>
  </si>
  <si>
    <t>75% GP also available @ 3c per kWh. Get a non-refundable $50 (incl GST) credit when you sign up to ReAmped Energy using a refer a friend link from an existing ReAmped Energy customer.  </t>
  </si>
  <si>
    <t>Circular Energy</t>
  </si>
  <si>
    <t>Community Energy</t>
  </si>
  <si>
    <t>https://www.energymadeeasy.gov.au/plan?id=CIR306268SRE6&amp;postcode=5000</t>
  </si>
  <si>
    <t>RAA</t>
    <phoneticPr fontId="0" type="noConversion"/>
  </si>
  <si>
    <t>Available to RAA members only</t>
    <phoneticPr fontId="0" type="noConversion"/>
  </si>
  <si>
    <t>https://www.energymadeeasy.gov.au/plan?id=SIM422835MRE&amp;utm_source=Simply%20Energy&amp;utm_campaign=bpi-retailer&amp;utm_medium=retailer&amp;postcode=5000</t>
  </si>
  <si>
    <t>July 2023</t>
  </si>
  <si>
    <t>*Electricity solar market offers as of July 2016 - July 2023</t>
  </si>
  <si>
    <t>*Analysis of solar bills as of July 2016 - July 2023. There are separate sheets for households in Adelaide</t>
  </si>
  <si>
    <t xml:space="preserve">The South Australian Tariff-Tracking project has produced 5 workbooks and 12 reports: </t>
  </si>
  <si>
    <t>Workbook 1: Electricity standing offers July 2009 - July 2023</t>
  </si>
  <si>
    <t>Workbook 2: Gas standing offers July 2009 - July 2023</t>
  </si>
  <si>
    <t>Workbook 3: Published electricity market offers as of July 2012 - July 2023</t>
  </si>
  <si>
    <t>Workbook 4: Published gas market offers as of July 2012 - July 2023</t>
  </si>
  <si>
    <t>Workbook 5: Solar offers July 2016 - July 2023</t>
  </si>
  <si>
    <t xml:space="preserve">Report 12: South Australian Energy Prices July 2023, An update report (August 2023)   </t>
  </si>
  <si>
    <t>https://www.energymadeeasy.gov.au/plan?id=ALI463789MRE5&amp;postcode=5000</t>
  </si>
  <si>
    <t>https://www.energymadeeasy.gov.au/plan?id=DIA34657MRE6&amp;postcode=5000</t>
  </si>
  <si>
    <t>https://www.energymadeeasy.gov.au/plan?id=LUM203086MRE8&amp;postcode=5000</t>
  </si>
  <si>
    <t>https://www.energymadeeasy.gov.au/plan?id=RED552198MRE2&amp;postcode=5000</t>
  </si>
  <si>
    <t>https://www.energymadeeasy.gov.au/plan?id=LCL569568MRE2&amp;postcode=5000</t>
  </si>
  <si>
    <t>https://www.energymadeeasy.gov.au/plan?id=PSH612077MRE1&amp;postcode=5000</t>
  </si>
  <si>
    <t>https://www.energymadeeasy.gov.au/plan?id=AMB611114MRE1&amp;postcode=5000</t>
  </si>
  <si>
    <t>https://www.energymadeeasy.gov.au/plan?id=GLO633682MRE1&amp;postcode=5000</t>
  </si>
  <si>
    <t>https://www.energymadeeasy.gov.au/plan?id=KOG611892MRE1&amp;postcode=5000</t>
  </si>
  <si>
    <t>NEW</t>
  </si>
  <si>
    <t>Momentum</t>
  </si>
  <si>
    <t>Suit Yourself</t>
  </si>
  <si>
    <t>10% Free GreenPower</t>
  </si>
  <si>
    <t>https://www.energymadeeasy.gov.au/plan?id=MOM546805MRE4&amp;postcode=5000</t>
  </si>
  <si>
    <t>OVO</t>
  </si>
  <si>
    <t>Account Credit</t>
  </si>
  <si>
    <t>OVO Energy will credit you $100 (inclusive of GST) applied in twelve monthly instalments of $8.34 as an offset against the charges on each of your monthly bills.</t>
  </si>
  <si>
    <t>Sumo Power</t>
  </si>
  <si>
    <t>Lite</t>
  </si>
  <si>
    <t>https://www.energymadeeasy.gov.au/plan?id=SUM469732MRE6&amp;postcode=5000</t>
  </si>
  <si>
    <t>CovaU</t>
  </si>
  <si>
    <t>Freedom</t>
  </si>
  <si>
    <t>https://www.energymadeeasy.gov.au/plan?id=COV521463MRE1&amp;postcode=5000</t>
  </si>
  <si>
    <t>https://www.energymadeeasy.gov.au/plan?id=ALI463790MRE5&amp;postcode=5000</t>
  </si>
  <si>
    <t>https://www.energymadeeasy.gov.au/plan?id=LUM203101MRE8&amp;postcode=5000</t>
  </si>
  <si>
    <t>https://www.energymadeeasy.gov.au/plan?id=RED552209MRE2&amp;postcode=5000</t>
  </si>
  <si>
    <t>https://www.energymadeeasy.gov.au/plan?id=LCL569571MRE2&amp;postcode=5000</t>
  </si>
  <si>
    <t>https://www.energymadeeasy.gov.au/plan?id=PSH612063MRE2&amp;postcode=5000</t>
  </si>
  <si>
    <t>https://www.energymadeeasy.gov.au/plan?id=AMB611120MRE1&amp;postcode=5000</t>
  </si>
  <si>
    <t>https://www.energymadeeasy.gov.au/plan?id=GLO633683MRE1&amp;postcode=5000</t>
  </si>
  <si>
    <t>https://www.energymadeeasy.gov.au/plan?id=KOG611948MRE2&amp;postcode=5000</t>
  </si>
  <si>
    <t>https://www.energymadeeasy.gov.au/plan?id=MOM546813MRE4&amp;postcode=5000</t>
  </si>
  <si>
    <t>https://www.energymadeeasy.gov.au/plan?id=SUM469733MRE6&amp;postcode=5000</t>
  </si>
  <si>
    <t>https://www.energymadeeasy.gov.au/plan?id=COV521466MRE1&amp;postcode=5000</t>
  </si>
  <si>
    <t>Mandatory e-billing</t>
  </si>
  <si>
    <t>https://www.energymadeeasy.gov.au/plan?id=AGL15407MRE20&amp;postcode=5000</t>
  </si>
  <si>
    <t>https://www.energymadeeasy.gov.au/plan?id=AGL15406MRE20&amp;postcode=5000</t>
  </si>
  <si>
    <t>https://www.energymadeeasy.gov.au/plan?id=ENE360418MRE14&amp;postcode=5000</t>
  </si>
  <si>
    <t>https://www.energymadeeasy.gov.au/plan?id=ENE360429MRE14&amp;postcode=5000</t>
  </si>
  <si>
    <t>Solar Plan</t>
  </si>
  <si>
    <t>https://www.energymadeeasy.gov.au/plan?id=OVO612620MRE2&amp;postcode=5000</t>
  </si>
  <si>
    <t>https://www.energymadeeasy.gov.au/plan?id=OVO612621MRE2&amp;postcode=5000</t>
  </si>
  <si>
    <t>https://www.energymadeeasy.gov.au/plan?id=SIM589940MRE1&amp;postcode=5000</t>
  </si>
  <si>
    <t>https://www.energymadeeasy.gov.au/plan?id=SIM589938MRE1&amp;postcode=5000</t>
  </si>
  <si>
    <t>https://www.energymadeeasy.gov.au/plan?id=ORI539807MRE4&amp;postcode=5000</t>
  </si>
  <si>
    <t>https://www.energymadeeasy.gov.au/plan?id=ORI539837MRE4&amp;postcode=5000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</si>
</sst>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0.0"/>
    <numFmt numFmtId="165" formatCode="#,##0.0"/>
  </numFmts>
  <fonts count="39" x14ac:knownFonts="1">
    <font>
      <sz val="10"/>
      <name val="Verdana"/>
    </font>
    <font>
      <b/>
      <sz val="10"/>
      <name val="Verdana"/>
      <family val="2"/>
    </font>
    <font>
      <sz val="10"/>
      <name val="Verdana"/>
      <family val="2"/>
    </font>
    <font>
      <sz val="10"/>
      <name val="Verdana"/>
      <family val="2"/>
    </font>
    <font>
      <b/>
      <sz val="10"/>
      <name val="Verdana"/>
      <family val="2"/>
    </font>
    <font>
      <sz val="10"/>
      <name val="Verdana"/>
      <family val="2"/>
    </font>
    <font>
      <b/>
      <sz val="10"/>
      <name val="Verdana"/>
      <family val="2"/>
    </font>
    <font>
      <sz val="10"/>
      <name val="Verdana"/>
      <family val="2"/>
    </font>
    <font>
      <sz val="8"/>
      <name val="Verdana"/>
      <family val="2"/>
    </font>
    <font>
      <b/>
      <sz val="11"/>
      <color indexed="12"/>
      <name val="Arial"/>
      <family val="2"/>
    </font>
    <font>
      <b/>
      <sz val="11"/>
      <color indexed="57"/>
      <name val="Arial"/>
      <family val="2"/>
    </font>
    <font>
      <b/>
      <sz val="10"/>
      <name val="Arial"/>
      <family val="2"/>
    </font>
    <font>
      <b/>
      <sz val="10"/>
      <color indexed="12"/>
      <name val="Arial"/>
      <family val="2"/>
    </font>
    <font>
      <b/>
      <sz val="10"/>
      <color indexed="45"/>
      <name val="Arial"/>
      <family val="2"/>
    </font>
    <font>
      <sz val="10"/>
      <color indexed="45"/>
      <name val="Arial"/>
      <family val="2"/>
    </font>
    <font>
      <b/>
      <sz val="10"/>
      <color indexed="10"/>
      <name val="Arial"/>
      <family val="2"/>
    </font>
    <font>
      <sz val="10"/>
      <name val="Arial"/>
      <family val="2"/>
    </font>
    <font>
      <b/>
      <sz val="9"/>
      <color indexed="81"/>
      <name val="Verdana"/>
      <family val="2"/>
    </font>
    <font>
      <sz val="9"/>
      <color indexed="81"/>
      <name val="Verdana"/>
      <family val="2"/>
    </font>
    <font>
      <sz val="8"/>
      <name val="Arial"/>
      <family val="2"/>
    </font>
    <font>
      <sz val="11"/>
      <name val="Arial"/>
      <family val="2"/>
    </font>
    <font>
      <b/>
      <sz val="11"/>
      <name val="Arial"/>
      <family val="2"/>
    </font>
    <font>
      <b/>
      <sz val="11"/>
      <color indexed="18"/>
      <name val="Arial"/>
      <family val="2"/>
    </font>
    <font>
      <sz val="10"/>
      <color indexed="8"/>
      <name val="Verdana"/>
      <family val="2"/>
    </font>
    <font>
      <sz val="12"/>
      <name val="Calibri"/>
      <family val="2"/>
    </font>
    <font>
      <u/>
      <sz val="10"/>
      <color theme="10"/>
      <name val="Verdana"/>
      <family val="2"/>
    </font>
    <font>
      <sz val="12"/>
      <color rgb="FF000000"/>
      <name val="Calibri"/>
      <family val="2"/>
      <scheme val="minor"/>
    </font>
    <font>
      <b/>
      <sz val="10"/>
      <color rgb="FF000000"/>
      <name val="Tahoma"/>
      <family val="2"/>
    </font>
    <font>
      <sz val="10"/>
      <color rgb="FF000000"/>
      <name val="Tahoma"/>
      <family val="2"/>
    </font>
    <font>
      <sz val="10"/>
      <color rgb="FF000000"/>
      <name val="Verdana"/>
      <family val="2"/>
    </font>
    <font>
      <b/>
      <sz val="9"/>
      <color rgb="FF000000"/>
      <name val="Verdana"/>
      <family val="2"/>
    </font>
    <font>
      <sz val="9"/>
      <color rgb="FF000000"/>
      <name val="Verdana"/>
      <family val="2"/>
    </font>
    <font>
      <sz val="11"/>
      <color indexed="8"/>
      <name val="Arial"/>
      <family val="2"/>
    </font>
    <font>
      <sz val="10"/>
      <color theme="1"/>
      <name val="Verdana"/>
      <family val="2"/>
    </font>
    <font>
      <b/>
      <sz val="10"/>
      <color theme="1"/>
      <name val="Verdana"/>
      <family val="2"/>
    </font>
    <font>
      <u/>
      <sz val="12"/>
      <color theme="10"/>
      <name val="Calibri"/>
      <family val="2"/>
      <scheme val="minor"/>
    </font>
    <font>
      <sz val="11"/>
      <color theme="0"/>
      <name val="Arial"/>
      <family val="2"/>
    </font>
    <font>
      <b/>
      <sz val="11"/>
      <color theme="0"/>
      <name val="Arial"/>
      <family val="2"/>
    </font>
    <font>
      <sz val="10"/>
      <color theme="0"/>
      <name val="Verdana"/>
      <family val="2"/>
    </font>
  </fonts>
  <fills count="33">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indexed="53"/>
        <bgColor indexed="64"/>
      </patternFill>
    </fill>
    <fill>
      <patternFill patternType="solid">
        <fgColor indexed="50"/>
        <bgColor indexed="64"/>
      </patternFill>
    </fill>
    <fill>
      <patternFill patternType="solid">
        <fgColor indexed="52"/>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7"/>
        <bgColor indexed="64"/>
      </patternFill>
    </fill>
    <fill>
      <patternFill patternType="solid">
        <fgColor indexed="43"/>
        <bgColor indexed="64"/>
      </patternFill>
    </fill>
    <fill>
      <patternFill patternType="solid">
        <fgColor theme="3" tint="0.79998168889431442"/>
        <bgColor indexed="64"/>
      </patternFill>
    </fill>
    <fill>
      <patternFill patternType="solid">
        <fgColor rgb="FFFF0000"/>
        <bgColor indexed="64"/>
      </patternFill>
    </fill>
    <fill>
      <patternFill patternType="solid">
        <fgColor theme="0"/>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00"/>
        <bgColor indexed="64"/>
      </patternFill>
    </fill>
    <fill>
      <patternFill patternType="solid">
        <fgColor rgb="FFFFA7A3"/>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7" tint="0.39997558519241921"/>
        <bgColor indexed="64"/>
      </patternFill>
    </fill>
    <fill>
      <patternFill patternType="solid">
        <fgColor indexed="4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rgb="FF00B0F0"/>
        <bgColor indexed="64"/>
      </patternFill>
    </fill>
  </fills>
  <borders count="30">
    <border>
      <left/>
      <right/>
      <top/>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medium">
        <color auto="1"/>
      </left>
      <right/>
      <top style="thin">
        <color auto="1"/>
      </top>
      <bottom style="thin">
        <color indexed="64"/>
      </bottom>
      <diagonal/>
    </border>
    <border>
      <left/>
      <right/>
      <top style="thin">
        <color auto="1"/>
      </top>
      <bottom style="thin">
        <color indexed="64"/>
      </bottom>
      <diagonal/>
    </border>
    <border>
      <left/>
      <right style="medium">
        <color auto="1"/>
      </right>
      <top style="thin">
        <color auto="1"/>
      </top>
      <bottom style="thin">
        <color indexed="64"/>
      </bottom>
      <diagonal/>
    </border>
  </borders>
  <cellStyleXfs count="3">
    <xf numFmtId="0" fontId="0" fillId="0" borderId="0"/>
    <xf numFmtId="0" fontId="25" fillId="0" borderId="0" applyNumberFormat="0" applyFill="0" applyBorder="0" applyAlignment="0" applyProtection="0"/>
    <xf numFmtId="0" fontId="2" fillId="0" borderId="0"/>
  </cellStyleXfs>
  <cellXfs count="371">
    <xf numFmtId="0" fontId="0" fillId="0" borderId="0" xfId="0"/>
    <xf numFmtId="0" fontId="0" fillId="0" borderId="0" xfId="0" applyProtection="1">
      <protection hidden="1"/>
    </xf>
    <xf numFmtId="0" fontId="9" fillId="2" borderId="0" xfId="0" applyFont="1" applyFill="1" applyProtection="1">
      <protection hidden="1"/>
    </xf>
    <xf numFmtId="0" fontId="11" fillId="2" borderId="0" xfId="0" applyFont="1" applyFill="1" applyProtection="1">
      <protection hidden="1"/>
    </xf>
    <xf numFmtId="0" fontId="0" fillId="2" borderId="0" xfId="0" applyFill="1" applyProtection="1">
      <protection hidden="1"/>
    </xf>
    <xf numFmtId="0" fontId="12" fillId="2" borderId="0" xfId="0" applyFont="1" applyFill="1" applyProtection="1">
      <protection hidden="1"/>
    </xf>
    <xf numFmtId="0" fontId="13" fillId="2" borderId="0" xfId="0" applyFont="1" applyFill="1" applyProtection="1">
      <protection hidden="1"/>
    </xf>
    <xf numFmtId="0" fontId="14" fillId="2" borderId="0" xfId="0" applyFont="1" applyFill="1" applyProtection="1">
      <protection hidden="1"/>
    </xf>
    <xf numFmtId="0" fontId="10" fillId="2" borderId="0" xfId="0" applyFont="1" applyFill="1" applyProtection="1">
      <protection hidden="1"/>
    </xf>
    <xf numFmtId="0" fontId="15" fillId="2" borderId="3" xfId="0" applyFont="1" applyFill="1" applyBorder="1" applyProtection="1">
      <protection hidden="1"/>
    </xf>
    <xf numFmtId="0" fontId="16" fillId="2" borderId="4" xfId="0" applyFont="1" applyFill="1" applyBorder="1" applyProtection="1">
      <protection hidden="1"/>
    </xf>
    <xf numFmtId="0" fontId="16" fillId="2" borderId="5" xfId="0" applyFont="1" applyFill="1" applyBorder="1" applyProtection="1">
      <protection hidden="1"/>
    </xf>
    <xf numFmtId="0" fontId="16" fillId="2" borderId="1" xfId="0" applyFont="1" applyFill="1" applyBorder="1" applyProtection="1">
      <protection hidden="1"/>
    </xf>
    <xf numFmtId="0" fontId="16" fillId="2" borderId="0" xfId="0" applyFont="1" applyFill="1" applyProtection="1">
      <protection hidden="1"/>
    </xf>
    <xf numFmtId="0" fontId="16" fillId="2" borderId="2" xfId="0" applyFont="1" applyFill="1" applyBorder="1" applyProtection="1">
      <protection hidden="1"/>
    </xf>
    <xf numFmtId="0" fontId="16" fillId="2" borderId="6" xfId="0" applyFont="1" applyFill="1" applyBorder="1" applyProtection="1">
      <protection hidden="1"/>
    </xf>
    <xf numFmtId="0" fontId="16" fillId="2" borderId="7" xfId="0" applyFont="1" applyFill="1" applyBorder="1" applyProtection="1">
      <protection hidden="1"/>
    </xf>
    <xf numFmtId="0" fontId="16" fillId="2" borderId="8" xfId="0" applyFont="1" applyFill="1" applyBorder="1" applyProtection="1">
      <protection hidden="1"/>
    </xf>
    <xf numFmtId="0" fontId="0" fillId="0" borderId="5" xfId="0" applyBorder="1" applyProtection="1">
      <protection hidden="1"/>
    </xf>
    <xf numFmtId="0" fontId="7" fillId="2" borderId="0" xfId="0" applyFont="1" applyFill="1" applyProtection="1">
      <protection hidden="1"/>
    </xf>
    <xf numFmtId="0" fontId="0" fillId="2" borderId="15" xfId="0" applyFill="1" applyBorder="1" applyProtection="1">
      <protection hidden="1"/>
    </xf>
    <xf numFmtId="0" fontId="20" fillId="2" borderId="0" xfId="0" applyFont="1" applyFill="1" applyProtection="1">
      <protection hidden="1"/>
    </xf>
    <xf numFmtId="0" fontId="21" fillId="2" borderId="0" xfId="0" applyFont="1" applyFill="1" applyProtection="1">
      <protection hidden="1"/>
    </xf>
    <xf numFmtId="0" fontId="0" fillId="5" borderId="0" xfId="0" applyFill="1" applyAlignment="1">
      <alignment horizontal="right" wrapText="1"/>
    </xf>
    <xf numFmtId="0" fontId="0" fillId="5" borderId="0" xfId="0" applyFill="1" applyAlignment="1">
      <alignment horizontal="left" wrapText="1"/>
    </xf>
    <xf numFmtId="0" fontId="0" fillId="5" borderId="0" xfId="0" applyFill="1" applyAlignment="1">
      <alignment wrapText="1"/>
    </xf>
    <xf numFmtId="0" fontId="0" fillId="5" borderId="0" xfId="0" applyFill="1" applyAlignment="1">
      <alignment horizontal="center" wrapText="1"/>
    </xf>
    <xf numFmtId="0" fontId="0" fillId="5" borderId="14" xfId="0" applyFill="1" applyBorder="1" applyAlignment="1">
      <alignment wrapText="1"/>
    </xf>
    <xf numFmtId="0" fontId="0" fillId="4" borderId="18" xfId="0" applyFill="1" applyBorder="1" applyAlignment="1">
      <alignment horizontal="right" wrapText="1"/>
    </xf>
    <xf numFmtId="0" fontId="0" fillId="7" borderId="0" xfId="0" applyFill="1" applyAlignment="1">
      <alignment horizontal="right" wrapText="1"/>
    </xf>
    <xf numFmtId="0" fontId="0" fillId="7" borderId="14" xfId="0" applyFill="1" applyBorder="1" applyAlignment="1">
      <alignment horizontal="right" wrapText="1"/>
    </xf>
    <xf numFmtId="0" fontId="0" fillId="6" borderId="0" xfId="0" applyFill="1" applyAlignment="1">
      <alignment horizontal="right" wrapText="1"/>
    </xf>
    <xf numFmtId="0" fontId="0" fillId="8" borderId="13" xfId="0" applyFill="1" applyBorder="1" applyAlignment="1">
      <alignment horizontal="right" wrapText="1"/>
    </xf>
    <xf numFmtId="0" fontId="0" fillId="8" borderId="0" xfId="0" applyFill="1" applyAlignment="1">
      <alignment horizontal="right" wrapText="1"/>
    </xf>
    <xf numFmtId="0" fontId="0" fillId="9" borderId="0" xfId="0" applyFill="1" applyAlignment="1">
      <alignment horizontal="right" wrapText="1"/>
    </xf>
    <xf numFmtId="0" fontId="0" fillId="10" borderId="18" xfId="0" applyFill="1" applyBorder="1" applyAlignment="1">
      <alignment horizontal="right" wrapText="1"/>
    </xf>
    <xf numFmtId="0" fontId="0" fillId="11" borderId="0" xfId="0" applyFill="1" applyAlignment="1">
      <alignment horizontal="center" wrapText="1"/>
    </xf>
    <xf numFmtId="0" fontId="0" fillId="11" borderId="14" xfId="0" applyFill="1" applyBorder="1" applyAlignment="1">
      <alignment horizontal="center" wrapText="1"/>
    </xf>
    <xf numFmtId="0" fontId="0" fillId="12" borderId="0" xfId="0" applyFill="1" applyAlignment="1">
      <alignment horizontal="right" wrapText="1"/>
    </xf>
    <xf numFmtId="0" fontId="0" fillId="12" borderId="14" xfId="0" applyFill="1" applyBorder="1" applyAlignment="1">
      <alignment horizontal="center" wrapText="1"/>
    </xf>
    <xf numFmtId="0" fontId="0" fillId="13" borderId="0" xfId="0" applyFill="1" applyAlignment="1">
      <alignment horizontal="center" wrapText="1"/>
    </xf>
    <xf numFmtId="0" fontId="0" fillId="13" borderId="14" xfId="0" applyFill="1" applyBorder="1" applyAlignment="1">
      <alignment horizontal="right" wrapText="1"/>
    </xf>
    <xf numFmtId="0" fontId="0" fillId="9" borderId="0" xfId="0" applyFill="1" applyAlignment="1">
      <alignment horizontal="center" wrapText="1"/>
    </xf>
    <xf numFmtId="0" fontId="0" fillId="7" borderId="0" xfId="0" applyFill="1" applyAlignment="1">
      <alignment horizontal="center" wrapText="1"/>
    </xf>
    <xf numFmtId="0" fontId="0" fillId="7" borderId="14" xfId="0" applyFill="1" applyBorder="1" applyAlignment="1">
      <alignment horizontal="center" wrapText="1"/>
    </xf>
    <xf numFmtId="0" fontId="0" fillId="5" borderId="17" xfId="0" applyFill="1" applyBorder="1"/>
    <xf numFmtId="14" fontId="0" fillId="0" borderId="17" xfId="0" applyNumberFormat="1" applyBorder="1"/>
    <xf numFmtId="14" fontId="0" fillId="0" borderId="17" xfId="0" applyNumberFormat="1" applyBorder="1" applyAlignment="1">
      <alignment horizontal="left"/>
    </xf>
    <xf numFmtId="0" fontId="0" fillId="0" borderId="17" xfId="0" applyBorder="1"/>
    <xf numFmtId="0" fontId="0" fillId="0" borderId="17" xfId="0" applyBorder="1" applyAlignment="1">
      <alignment horizontal="center"/>
    </xf>
    <xf numFmtId="1" fontId="0" fillId="0" borderId="17" xfId="0" applyNumberFormat="1" applyBorder="1"/>
    <xf numFmtId="0" fontId="0" fillId="0" borderId="17" xfId="0" applyBorder="1" applyAlignment="1">
      <alignment horizontal="right"/>
    </xf>
    <xf numFmtId="0" fontId="0" fillId="0" borderId="17" xfId="0" applyBorder="1" applyAlignment="1">
      <alignment horizontal="left"/>
    </xf>
    <xf numFmtId="0" fontId="0" fillId="0" borderId="0" xfId="0" applyAlignment="1">
      <alignment horizontal="left"/>
    </xf>
    <xf numFmtId="14" fontId="0" fillId="0" borderId="17" xfId="0" applyNumberFormat="1" applyBorder="1" applyAlignment="1">
      <alignment horizontal="right"/>
    </xf>
    <xf numFmtId="14" fontId="0" fillId="12" borderId="17" xfId="0" applyNumberFormat="1" applyFill="1" applyBorder="1"/>
    <xf numFmtId="1" fontId="0" fillId="6" borderId="17" xfId="0" applyNumberFormat="1" applyFill="1" applyBorder="1"/>
    <xf numFmtId="0" fontId="0" fillId="6" borderId="17" xfId="0" applyFill="1" applyBorder="1"/>
    <xf numFmtId="14" fontId="0" fillId="8" borderId="17" xfId="0" applyNumberFormat="1" applyFill="1" applyBorder="1"/>
    <xf numFmtId="0" fontId="7" fillId="4" borderId="3" xfId="0" applyFont="1" applyFill="1" applyBorder="1" applyProtection="1">
      <protection hidden="1"/>
    </xf>
    <xf numFmtId="0" fontId="0" fillId="4" borderId="5" xfId="0" applyFill="1" applyBorder="1" applyProtection="1">
      <protection hidden="1"/>
    </xf>
    <xf numFmtId="0" fontId="0" fillId="2" borderId="2" xfId="0" applyFill="1" applyBorder="1" applyProtection="1">
      <protection hidden="1"/>
    </xf>
    <xf numFmtId="49" fontId="0" fillId="2" borderId="2" xfId="0" applyNumberFormat="1" applyFill="1" applyBorder="1" applyProtection="1">
      <protection hidden="1"/>
    </xf>
    <xf numFmtId="0" fontId="0" fillId="0" borderId="1" xfId="0" applyBorder="1" applyProtection="1">
      <protection hidden="1"/>
    </xf>
    <xf numFmtId="0" fontId="0" fillId="2" borderId="8" xfId="0" applyFill="1" applyBorder="1" applyProtection="1">
      <protection hidden="1"/>
    </xf>
    <xf numFmtId="0" fontId="1" fillId="2" borderId="0" xfId="0" applyFont="1" applyFill="1" applyProtection="1">
      <protection hidden="1"/>
    </xf>
    <xf numFmtId="0" fontId="20" fillId="14" borderId="0" xfId="0" applyFont="1" applyFill="1" applyProtection="1">
      <protection hidden="1"/>
    </xf>
    <xf numFmtId="0" fontId="21" fillId="14" borderId="0" xfId="0" applyFont="1" applyFill="1" applyProtection="1">
      <protection hidden="1"/>
    </xf>
    <xf numFmtId="0" fontId="5" fillId="2" borderId="11" xfId="0" applyFont="1" applyFill="1" applyBorder="1" applyProtection="1">
      <protection hidden="1"/>
    </xf>
    <xf numFmtId="0" fontId="5" fillId="2" borderId="10" xfId="0" applyFont="1" applyFill="1" applyBorder="1" applyProtection="1">
      <protection hidden="1"/>
    </xf>
    <xf numFmtId="0" fontId="0" fillId="2" borderId="19" xfId="0" applyFill="1" applyBorder="1" applyProtection="1">
      <protection hidden="1"/>
    </xf>
    <xf numFmtId="0" fontId="0" fillId="2" borderId="20" xfId="0" applyFill="1" applyBorder="1" applyAlignment="1" applyProtection="1">
      <alignment horizontal="left"/>
      <protection hidden="1"/>
    </xf>
    <xf numFmtId="0" fontId="20" fillId="2" borderId="11" xfId="0" applyFont="1" applyFill="1" applyBorder="1" applyProtection="1">
      <protection hidden="1"/>
    </xf>
    <xf numFmtId="0" fontId="0" fillId="6" borderId="10" xfId="0" applyFill="1" applyBorder="1" applyProtection="1">
      <protection hidden="1"/>
    </xf>
    <xf numFmtId="0" fontId="0" fillId="5" borderId="12" xfId="0" applyFill="1" applyBorder="1" applyProtection="1">
      <protection hidden="1"/>
    </xf>
    <xf numFmtId="0" fontId="5" fillId="2" borderId="15" xfId="0" applyFont="1" applyFill="1" applyBorder="1" applyProtection="1">
      <protection hidden="1"/>
    </xf>
    <xf numFmtId="0" fontId="5" fillId="2" borderId="9" xfId="0" applyFont="1" applyFill="1" applyBorder="1" applyProtection="1">
      <protection hidden="1"/>
    </xf>
    <xf numFmtId="0" fontId="20" fillId="2" borderId="19" xfId="0" applyFont="1" applyFill="1" applyBorder="1" applyProtection="1">
      <protection hidden="1"/>
    </xf>
    <xf numFmtId="1" fontId="0" fillId="2" borderId="20" xfId="0" applyNumberFormat="1" applyFill="1" applyBorder="1" applyAlignment="1" applyProtection="1">
      <alignment horizontal="left"/>
      <protection hidden="1"/>
    </xf>
    <xf numFmtId="1" fontId="0" fillId="6" borderId="9" xfId="0" applyNumberFormat="1" applyFill="1" applyBorder="1" applyProtection="1">
      <protection hidden="1"/>
    </xf>
    <xf numFmtId="1" fontId="0" fillId="5" borderId="16" xfId="0" applyNumberFormat="1" applyFill="1" applyBorder="1" applyProtection="1">
      <protection hidden="1"/>
    </xf>
    <xf numFmtId="0" fontId="0" fillId="14" borderId="0" xfId="0" applyFill="1" applyProtection="1">
      <protection hidden="1"/>
    </xf>
    <xf numFmtId="0" fontId="22" fillId="2" borderId="3" xfId="0" applyFont="1" applyFill="1" applyBorder="1" applyProtection="1">
      <protection hidden="1"/>
    </xf>
    <xf numFmtId="0" fontId="20" fillId="2" borderId="4" xfId="0" applyFont="1" applyFill="1" applyBorder="1" applyProtection="1">
      <protection hidden="1"/>
    </xf>
    <xf numFmtId="4" fontId="0" fillId="0" borderId="0" xfId="0" applyNumberFormat="1" applyProtection="1">
      <protection hidden="1"/>
    </xf>
    <xf numFmtId="2" fontId="23" fillId="0" borderId="0" xfId="0" applyNumberFormat="1" applyFont="1" applyProtection="1">
      <protection hidden="1"/>
    </xf>
    <xf numFmtId="3" fontId="6" fillId="0" borderId="0" xfId="0" applyNumberFormat="1" applyFont="1" applyProtection="1">
      <protection hidden="1"/>
    </xf>
    <xf numFmtId="1" fontId="4" fillId="0" borderId="0" xfId="0" applyNumberFormat="1" applyFont="1" applyProtection="1">
      <protection hidden="1"/>
    </xf>
    <xf numFmtId="165" fontId="3" fillId="0" borderId="0" xfId="0" applyNumberFormat="1" applyFont="1" applyAlignment="1" applyProtection="1">
      <alignment horizontal="center"/>
      <protection hidden="1"/>
    </xf>
    <xf numFmtId="0" fontId="0" fillId="0" borderId="0" xfId="0" applyAlignment="1" applyProtection="1">
      <alignment horizontal="center"/>
      <protection hidden="1"/>
    </xf>
    <xf numFmtId="14" fontId="0" fillId="0" borderId="2" xfId="0" applyNumberFormat="1" applyBorder="1" applyProtection="1">
      <protection hidden="1"/>
    </xf>
    <xf numFmtId="0" fontId="0" fillId="0" borderId="6" xfId="0" applyBorder="1" applyProtection="1">
      <protection hidden="1"/>
    </xf>
    <xf numFmtId="0" fontId="0" fillId="0" borderId="7" xfId="0" applyBorder="1" applyProtection="1">
      <protection hidden="1"/>
    </xf>
    <xf numFmtId="4" fontId="0" fillId="0" borderId="7" xfId="0" applyNumberFormat="1" applyBorder="1" applyProtection="1">
      <protection hidden="1"/>
    </xf>
    <xf numFmtId="2" fontId="23" fillId="0" borderId="7" xfId="0" applyNumberFormat="1" applyFont="1" applyBorder="1" applyProtection="1">
      <protection hidden="1"/>
    </xf>
    <xf numFmtId="3" fontId="6" fillId="0" borderId="7" xfId="0" applyNumberFormat="1" applyFont="1" applyBorder="1" applyProtection="1">
      <protection hidden="1"/>
    </xf>
    <xf numFmtId="1" fontId="4" fillId="0" borderId="7" xfId="0" applyNumberFormat="1" applyFont="1" applyBorder="1" applyProtection="1">
      <protection hidden="1"/>
    </xf>
    <xf numFmtId="165" fontId="3" fillId="0" borderId="7" xfId="0" applyNumberFormat="1" applyFont="1" applyBorder="1" applyAlignment="1" applyProtection="1">
      <alignment horizontal="center"/>
      <protection hidden="1"/>
    </xf>
    <xf numFmtId="0" fontId="0" fillId="0" borderId="7" xfId="0" applyBorder="1" applyAlignment="1" applyProtection="1">
      <alignment horizontal="center"/>
      <protection hidden="1"/>
    </xf>
    <xf numFmtId="14" fontId="0" fillId="0" borderId="8" xfId="0" applyNumberFormat="1" applyBorder="1" applyProtection="1">
      <protection hidden="1"/>
    </xf>
    <xf numFmtId="4" fontId="20" fillId="2" borderId="4" xfId="0" applyNumberFormat="1" applyFont="1" applyFill="1" applyBorder="1" applyProtection="1">
      <protection hidden="1"/>
    </xf>
    <xf numFmtId="3" fontId="21" fillId="2" borderId="4" xfId="0" applyNumberFormat="1" applyFont="1" applyFill="1" applyBorder="1" applyProtection="1">
      <protection hidden="1"/>
    </xf>
    <xf numFmtId="2" fontId="0" fillId="0" borderId="0" xfId="0" applyNumberFormat="1" applyProtection="1">
      <protection hidden="1"/>
    </xf>
    <xf numFmtId="2" fontId="0" fillId="0" borderId="7" xfId="0" applyNumberFormat="1" applyBorder="1" applyProtection="1">
      <protection hidden="1"/>
    </xf>
    <xf numFmtId="164" fontId="4" fillId="3" borderId="12" xfId="0" applyNumberFormat="1" applyFont="1" applyFill="1" applyBorder="1" applyAlignment="1" applyProtection="1">
      <alignment horizontal="left"/>
      <protection locked="0"/>
    </xf>
    <xf numFmtId="3" fontId="4" fillId="3" borderId="16" xfId="0" applyNumberFormat="1" applyFont="1" applyFill="1" applyBorder="1" applyAlignment="1" applyProtection="1">
      <alignment horizontal="left"/>
      <protection locked="0"/>
    </xf>
    <xf numFmtId="14" fontId="0" fillId="9" borderId="17" xfId="0" applyNumberFormat="1" applyFill="1" applyBorder="1"/>
    <xf numFmtId="0" fontId="0" fillId="0" borderId="21" xfId="0" applyBorder="1" applyAlignment="1">
      <alignment horizontal="center"/>
    </xf>
    <xf numFmtId="0" fontId="0" fillId="16" borderId="0" xfId="0" applyFill="1" applyProtection="1">
      <protection hidden="1"/>
    </xf>
    <xf numFmtId="0" fontId="20" fillId="15" borderId="0" xfId="0" applyFont="1" applyFill="1" applyProtection="1">
      <protection hidden="1"/>
    </xf>
    <xf numFmtId="0" fontId="0" fillId="15" borderId="0" xfId="0" applyFill="1" applyProtection="1">
      <protection hidden="1"/>
    </xf>
    <xf numFmtId="0" fontId="21" fillId="15" borderId="0" xfId="0" applyFont="1" applyFill="1" applyProtection="1">
      <protection hidden="1"/>
    </xf>
    <xf numFmtId="0" fontId="20" fillId="17" borderId="19" xfId="0" applyFont="1" applyFill="1" applyBorder="1" applyProtection="1">
      <protection hidden="1"/>
    </xf>
    <xf numFmtId="1" fontId="0" fillId="17" borderId="20" xfId="0" applyNumberFormat="1" applyFill="1" applyBorder="1" applyAlignment="1" applyProtection="1">
      <alignment horizontal="left"/>
      <protection hidden="1"/>
    </xf>
    <xf numFmtId="0" fontId="20" fillId="18" borderId="0" xfId="0" applyFont="1" applyFill="1" applyProtection="1">
      <protection hidden="1"/>
    </xf>
    <xf numFmtId="0" fontId="0" fillId="18" borderId="0" xfId="0" applyFill="1" applyProtection="1">
      <protection hidden="1"/>
    </xf>
    <xf numFmtId="0" fontId="21" fillId="18" borderId="0" xfId="0" applyFont="1" applyFill="1" applyProtection="1">
      <protection hidden="1"/>
    </xf>
    <xf numFmtId="0" fontId="2" fillId="2" borderId="0" xfId="0" applyFont="1" applyFill="1" applyProtection="1">
      <protection hidden="1"/>
    </xf>
    <xf numFmtId="0" fontId="2" fillId="0" borderId="0" xfId="0" applyFont="1"/>
    <xf numFmtId="0" fontId="0" fillId="0" borderId="18" xfId="0" applyBorder="1"/>
    <xf numFmtId="0" fontId="2" fillId="9" borderId="0" xfId="0" applyFont="1" applyFill="1" applyAlignment="1">
      <alignment horizontal="center" wrapText="1"/>
    </xf>
    <xf numFmtId="0" fontId="2" fillId="7" borderId="14" xfId="0" applyFont="1" applyFill="1" applyBorder="1" applyAlignment="1">
      <alignment horizontal="center" wrapText="1"/>
    </xf>
    <xf numFmtId="0" fontId="2" fillId="5" borderId="0" xfId="0" applyFont="1" applyFill="1" applyAlignment="1">
      <alignment horizontal="center" wrapText="1"/>
    </xf>
    <xf numFmtId="14" fontId="2" fillId="0" borderId="17" xfId="0" applyNumberFormat="1" applyFont="1" applyBorder="1"/>
    <xf numFmtId="0" fontId="2" fillId="0" borderId="0" xfId="0" applyFont="1" applyAlignment="1">
      <alignment horizontal="left"/>
    </xf>
    <xf numFmtId="0" fontId="2" fillId="0" borderId="17" xfId="0" applyFont="1" applyBorder="1" applyAlignment="1">
      <alignment horizontal="center"/>
    </xf>
    <xf numFmtId="0" fontId="0" fillId="6" borderId="17" xfId="0" applyFill="1" applyBorder="1" applyAlignment="1">
      <alignment horizontal="right" wrapText="1"/>
    </xf>
    <xf numFmtId="14" fontId="0" fillId="19" borderId="17" xfId="0" applyNumberFormat="1" applyFill="1" applyBorder="1"/>
    <xf numFmtId="0" fontId="0" fillId="0" borderId="0" xfId="0" applyAlignment="1">
      <alignment horizontal="center"/>
    </xf>
    <xf numFmtId="14" fontId="0" fillId="19" borderId="17" xfId="0" applyNumberFormat="1" applyFill="1" applyBorder="1" applyAlignment="1">
      <alignment horizontal="right"/>
    </xf>
    <xf numFmtId="0" fontId="2" fillId="0" borderId="17" xfId="0" applyFont="1" applyBorder="1" applyAlignment="1">
      <alignment horizontal="left"/>
    </xf>
    <xf numFmtId="0" fontId="20" fillId="20" borderId="0" xfId="0" applyFont="1" applyFill="1" applyProtection="1">
      <protection hidden="1"/>
    </xf>
    <xf numFmtId="0" fontId="24" fillId="2" borderId="0" xfId="0" applyFont="1" applyFill="1" applyProtection="1">
      <protection hidden="1"/>
    </xf>
    <xf numFmtId="0" fontId="24" fillId="0" borderId="0" xfId="0" applyFont="1" applyProtection="1">
      <protection hidden="1"/>
    </xf>
    <xf numFmtId="0" fontId="20" fillId="21" borderId="0" xfId="0" applyFont="1" applyFill="1" applyProtection="1">
      <protection hidden="1"/>
    </xf>
    <xf numFmtId="0" fontId="0" fillId="21" borderId="0" xfId="0" applyFill="1" applyProtection="1">
      <protection hidden="1"/>
    </xf>
    <xf numFmtId="0" fontId="21" fillId="21" borderId="0" xfId="0" applyFont="1" applyFill="1" applyProtection="1">
      <protection hidden="1"/>
    </xf>
    <xf numFmtId="0" fontId="0" fillId="2" borderId="22" xfId="0" applyFill="1" applyBorder="1" applyProtection="1">
      <protection hidden="1"/>
    </xf>
    <xf numFmtId="49" fontId="2" fillId="21" borderId="23" xfId="0" applyNumberFormat="1" applyFont="1" applyFill="1" applyBorder="1" applyProtection="1">
      <protection hidden="1"/>
    </xf>
    <xf numFmtId="49" fontId="2" fillId="18" borderId="23" xfId="0" applyNumberFormat="1" applyFont="1" applyFill="1" applyBorder="1" applyProtection="1">
      <protection hidden="1"/>
    </xf>
    <xf numFmtId="49" fontId="2" fillId="15" borderId="23" xfId="0" applyNumberFormat="1" applyFont="1" applyFill="1" applyBorder="1" applyProtection="1">
      <protection hidden="1"/>
    </xf>
    <xf numFmtId="49" fontId="2" fillId="14" borderId="24" xfId="0" applyNumberFormat="1" applyFont="1" applyFill="1" applyBorder="1" applyProtection="1">
      <protection hidden="1"/>
    </xf>
    <xf numFmtId="14" fontId="2" fillId="19" borderId="17" xfId="0" applyNumberFormat="1" applyFont="1" applyFill="1" applyBorder="1"/>
    <xf numFmtId="14" fontId="0" fillId="0" borderId="19" xfId="0" applyNumberFormat="1" applyBorder="1" applyAlignment="1">
      <alignment horizontal="left"/>
    </xf>
    <xf numFmtId="0" fontId="2" fillId="0" borderId="17" xfId="0" applyFont="1" applyBorder="1"/>
    <xf numFmtId="0" fontId="0" fillId="0" borderId="20" xfId="0" applyBorder="1"/>
    <xf numFmtId="2" fontId="0" fillId="0" borderId="17" xfId="0" applyNumberFormat="1" applyBorder="1"/>
    <xf numFmtId="0" fontId="0" fillId="22" borderId="17" xfId="0" applyFill="1" applyBorder="1"/>
    <xf numFmtId="0" fontId="26" fillId="0" borderId="17" xfId="0" applyFont="1" applyBorder="1" applyAlignment="1">
      <alignment horizontal="left"/>
    </xf>
    <xf numFmtId="0" fontId="25" fillId="0" borderId="0" xfId="1"/>
    <xf numFmtId="0" fontId="0" fillId="22" borderId="17" xfId="0" applyFill="1" applyBorder="1" applyAlignment="1">
      <alignment horizontal="right" wrapText="1"/>
    </xf>
    <xf numFmtId="2" fontId="0" fillId="22" borderId="17" xfId="0" applyNumberFormat="1" applyFill="1" applyBorder="1"/>
    <xf numFmtId="1" fontId="0" fillId="19" borderId="17" xfId="0" applyNumberFormat="1" applyFill="1" applyBorder="1"/>
    <xf numFmtId="0" fontId="0" fillId="17" borderId="17" xfId="0" applyFill="1" applyBorder="1" applyAlignment="1">
      <alignment horizontal="left"/>
    </xf>
    <xf numFmtId="1" fontId="0" fillId="22" borderId="17" xfId="0" applyNumberFormat="1" applyFill="1" applyBorder="1"/>
    <xf numFmtId="49" fontId="0" fillId="2" borderId="0" xfId="0" applyNumberFormat="1" applyFill="1" applyProtection="1">
      <protection hidden="1"/>
    </xf>
    <xf numFmtId="0" fontId="2" fillId="0" borderId="0" xfId="2"/>
    <xf numFmtId="0" fontId="2" fillId="5" borderId="17" xfId="2" applyFill="1" applyBorder="1"/>
    <xf numFmtId="14" fontId="2" fillId="0" borderId="19" xfId="2" applyNumberFormat="1" applyBorder="1" applyAlignment="1">
      <alignment horizontal="left"/>
    </xf>
    <xf numFmtId="0" fontId="2" fillId="0" borderId="17" xfId="2" applyBorder="1"/>
    <xf numFmtId="0" fontId="2" fillId="0" borderId="20" xfId="2" applyBorder="1"/>
    <xf numFmtId="0" fontId="2" fillId="0" borderId="17" xfId="2" applyBorder="1" applyAlignment="1">
      <alignment horizontal="center"/>
    </xf>
    <xf numFmtId="2" fontId="2" fillId="0" borderId="17" xfId="2" applyNumberFormat="1" applyBorder="1"/>
    <xf numFmtId="1" fontId="2" fillId="0" borderId="17" xfId="2" applyNumberFormat="1" applyBorder="1"/>
    <xf numFmtId="0" fontId="2" fillId="0" borderId="17" xfId="2" applyBorder="1" applyAlignment="1">
      <alignment horizontal="right"/>
    </xf>
    <xf numFmtId="0" fontId="2" fillId="0" borderId="17" xfId="2" applyBorder="1" applyAlignment="1">
      <alignment horizontal="left"/>
    </xf>
    <xf numFmtId="0" fontId="2" fillId="0" borderId="0" xfId="2" applyAlignment="1">
      <alignment horizontal="left"/>
    </xf>
    <xf numFmtId="0" fontId="26" fillId="0" borderId="17" xfId="2" applyFont="1" applyBorder="1" applyAlignment="1">
      <alignment horizontal="left"/>
    </xf>
    <xf numFmtId="0" fontId="2" fillId="22" borderId="17" xfId="2" applyFill="1" applyBorder="1" applyAlignment="1">
      <alignment horizontal="right" wrapText="1"/>
    </xf>
    <xf numFmtId="2" fontId="2" fillId="22" borderId="17" xfId="2" applyNumberFormat="1" applyFill="1" applyBorder="1"/>
    <xf numFmtId="0" fontId="2" fillId="17" borderId="17" xfId="2" applyFill="1" applyBorder="1" applyAlignment="1">
      <alignment horizontal="left"/>
    </xf>
    <xf numFmtId="1" fontId="2" fillId="22" borderId="17" xfId="2" applyNumberFormat="1" applyFill="1" applyBorder="1"/>
    <xf numFmtId="0" fontId="2" fillId="22" borderId="17" xfId="2" applyFill="1" applyBorder="1"/>
    <xf numFmtId="0" fontId="20" fillId="2" borderId="11" xfId="2" applyFont="1" applyFill="1" applyBorder="1" applyProtection="1">
      <protection hidden="1"/>
    </xf>
    <xf numFmtId="0" fontId="20" fillId="2" borderId="10" xfId="2" applyFont="1" applyFill="1" applyBorder="1" applyProtection="1">
      <protection hidden="1"/>
    </xf>
    <xf numFmtId="164" fontId="21" fillId="3" borderId="12" xfId="2" applyNumberFormat="1" applyFont="1" applyFill="1" applyBorder="1" applyAlignment="1" applyProtection="1">
      <alignment horizontal="left"/>
      <protection locked="0"/>
    </xf>
    <xf numFmtId="0" fontId="20" fillId="2" borderId="19" xfId="2" applyFont="1" applyFill="1" applyBorder="1" applyProtection="1">
      <protection hidden="1"/>
    </xf>
    <xf numFmtId="0" fontId="20" fillId="2" borderId="20" xfId="2" applyFont="1" applyFill="1" applyBorder="1" applyAlignment="1" applyProtection="1">
      <alignment horizontal="left"/>
      <protection hidden="1"/>
    </xf>
    <xf numFmtId="0" fontId="20" fillId="6" borderId="10" xfId="2" applyFont="1" applyFill="1" applyBorder="1" applyProtection="1">
      <protection hidden="1"/>
    </xf>
    <xf numFmtId="0" fontId="20" fillId="5" borderId="12" xfId="2" applyFont="1" applyFill="1" applyBorder="1" applyProtection="1">
      <protection hidden="1"/>
    </xf>
    <xf numFmtId="0" fontId="20" fillId="2" borderId="15" xfId="2" applyFont="1" applyFill="1" applyBorder="1" applyProtection="1">
      <protection hidden="1"/>
    </xf>
    <xf numFmtId="0" fontId="20" fillId="2" borderId="9" xfId="2" applyFont="1" applyFill="1" applyBorder="1" applyProtection="1">
      <protection hidden="1"/>
    </xf>
    <xf numFmtId="3" fontId="21" fillId="3" borderId="16" xfId="2" applyNumberFormat="1" applyFont="1" applyFill="1" applyBorder="1" applyAlignment="1" applyProtection="1">
      <alignment horizontal="left"/>
      <protection locked="0"/>
    </xf>
    <xf numFmtId="1" fontId="20" fillId="2" borderId="20" xfId="2" applyNumberFormat="1" applyFont="1" applyFill="1" applyBorder="1" applyAlignment="1" applyProtection="1">
      <alignment horizontal="left"/>
      <protection hidden="1"/>
    </xf>
    <xf numFmtId="1" fontId="20" fillId="6" borderId="9" xfId="2" applyNumberFormat="1" applyFont="1" applyFill="1" applyBorder="1" applyProtection="1">
      <protection hidden="1"/>
    </xf>
    <xf numFmtId="1" fontId="20" fillId="5" borderId="16" xfId="2" applyNumberFormat="1" applyFont="1" applyFill="1" applyBorder="1" applyProtection="1">
      <protection hidden="1"/>
    </xf>
    <xf numFmtId="0" fontId="20" fillId="0" borderId="1" xfId="2" applyFont="1" applyBorder="1" applyProtection="1">
      <protection hidden="1"/>
    </xf>
    <xf numFmtId="0" fontId="20" fillId="0" borderId="0" xfId="2" applyFont="1" applyProtection="1">
      <protection hidden="1"/>
    </xf>
    <xf numFmtId="4" fontId="20" fillId="0" borderId="0" xfId="2" applyNumberFormat="1" applyFont="1" applyProtection="1">
      <protection hidden="1"/>
    </xf>
    <xf numFmtId="2" fontId="32" fillId="0" borderId="0" xfId="2" applyNumberFormat="1" applyFont="1" applyProtection="1">
      <protection hidden="1"/>
    </xf>
    <xf numFmtId="3" fontId="20" fillId="12" borderId="0" xfId="2" applyNumberFormat="1" applyFont="1" applyFill="1" applyProtection="1">
      <protection hidden="1"/>
    </xf>
    <xf numFmtId="3" fontId="21" fillId="0" borderId="0" xfId="2" applyNumberFormat="1" applyFont="1" applyProtection="1">
      <protection hidden="1"/>
    </xf>
    <xf numFmtId="1" fontId="21" fillId="0" borderId="0" xfId="2" applyNumberFormat="1" applyFont="1" applyProtection="1">
      <protection hidden="1"/>
    </xf>
    <xf numFmtId="0" fontId="20" fillId="0" borderId="18" xfId="2" applyFont="1" applyBorder="1" applyProtection="1">
      <protection hidden="1"/>
    </xf>
    <xf numFmtId="165" fontId="20" fillId="0" borderId="0" xfId="2" applyNumberFormat="1" applyFont="1" applyAlignment="1" applyProtection="1">
      <alignment horizontal="center"/>
      <protection hidden="1"/>
    </xf>
    <xf numFmtId="0" fontId="20" fillId="0" borderId="0" xfId="2" applyFont="1" applyAlignment="1" applyProtection="1">
      <alignment horizontal="center"/>
      <protection hidden="1"/>
    </xf>
    <xf numFmtId="14" fontId="20" fillId="0" borderId="2" xfId="2" applyNumberFormat="1" applyFont="1" applyBorder="1" applyProtection="1">
      <protection hidden="1"/>
    </xf>
    <xf numFmtId="0" fontId="20" fillId="0" borderId="6" xfId="2" applyFont="1" applyBorder="1" applyProtection="1">
      <protection hidden="1"/>
    </xf>
    <xf numFmtId="0" fontId="20" fillId="0" borderId="7" xfId="2" applyFont="1" applyBorder="1" applyProtection="1">
      <protection hidden="1"/>
    </xf>
    <xf numFmtId="4" fontId="20" fillId="0" borderId="7" xfId="2" applyNumberFormat="1" applyFont="1" applyBorder="1" applyProtection="1">
      <protection hidden="1"/>
    </xf>
    <xf numFmtId="2" fontId="32" fillId="0" borderId="7" xfId="2" applyNumberFormat="1" applyFont="1" applyBorder="1" applyProtection="1">
      <protection hidden="1"/>
    </xf>
    <xf numFmtId="3" fontId="20" fillId="12" borderId="7" xfId="2" applyNumberFormat="1" applyFont="1" applyFill="1" applyBorder="1" applyProtection="1">
      <protection hidden="1"/>
    </xf>
    <xf numFmtId="3" fontId="21" fillId="0" borderId="7" xfId="2" applyNumberFormat="1" applyFont="1" applyBorder="1" applyProtection="1">
      <protection hidden="1"/>
    </xf>
    <xf numFmtId="1" fontId="21" fillId="0" borderId="7" xfId="2" applyNumberFormat="1" applyFont="1" applyBorder="1" applyProtection="1">
      <protection hidden="1"/>
    </xf>
    <xf numFmtId="0" fontId="20" fillId="0" borderId="25" xfId="2" applyFont="1" applyBorder="1" applyProtection="1">
      <protection hidden="1"/>
    </xf>
    <xf numFmtId="165" fontId="20" fillId="0" borderId="7" xfId="2" applyNumberFormat="1" applyFont="1" applyBorder="1" applyAlignment="1" applyProtection="1">
      <alignment horizontal="center"/>
      <protection hidden="1"/>
    </xf>
    <xf numFmtId="0" fontId="20" fillId="0" borderId="7" xfId="2" applyFont="1" applyBorder="1" applyAlignment="1" applyProtection="1">
      <alignment horizontal="center"/>
      <protection hidden="1"/>
    </xf>
    <xf numFmtId="14" fontId="20" fillId="0" borderId="8" xfId="2" applyNumberFormat="1" applyFont="1" applyBorder="1" applyProtection="1">
      <protection hidden="1"/>
    </xf>
    <xf numFmtId="2" fontId="20" fillId="0" borderId="0" xfId="2" applyNumberFormat="1" applyFont="1" applyProtection="1">
      <protection hidden="1"/>
    </xf>
    <xf numFmtId="2" fontId="20" fillId="0" borderId="7" xfId="2" applyNumberFormat="1" a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rder="1" applyAlignment="1" applyProtection="1">
      <alignment horizontal="left"/>
      <protection hidden="1"/>
    </xf>
    <xf numFmtId="49" fontId="2" fillId="24" borderId="23" xfId="0" applyNumberFormat="1" applyFont="1" applyFill="1" applyBorder="1" applyProtection="1">
      <protection hidden="1"/>
    </xf>
    <xf numFmtId="0" fontId="20" fillId="24" borderId="0" xfId="2" applyFont="1" applyFill="1" applyProtection="1">
      <protection hidden="1"/>
    </xf>
    <xf numFmtId="0" fontId="21" fillId="24" borderId="0" xfId="2" applyFont="1" applyFill="1" applyProtection="1">
      <protection hidden="1"/>
    </xf>
    <xf numFmtId="0" fontId="2" fillId="5" borderId="0" xfId="0" applyFont="1" applyFill="1" applyAlignment="1">
      <alignment horizontal="right" vertical="center" wrapText="1"/>
    </xf>
    <xf numFmtId="0" fontId="0" fillId="5" borderId="0" xfId="0" applyFill="1" applyAlignment="1">
      <alignment horizontal="right" vertical="center" wrapText="1"/>
    </xf>
    <xf numFmtId="0" fontId="0" fillId="5" borderId="0" xfId="0" applyFill="1" applyAlignment="1">
      <alignment horizontal="left" vertical="center" wrapText="1"/>
    </xf>
    <xf numFmtId="0" fontId="0" fillId="5" borderId="0" xfId="0" applyFill="1" applyAlignment="1">
      <alignment vertical="center" wrapText="1"/>
    </xf>
    <xf numFmtId="0" fontId="0" fillId="5" borderId="0" xfId="0" applyFill="1" applyAlignment="1">
      <alignment horizontal="center" vertical="center" wrapText="1"/>
    </xf>
    <xf numFmtId="0" fontId="2" fillId="5" borderId="14" xfId="0" applyFont="1" applyFill="1" applyBorder="1" applyAlignment="1">
      <alignment vertical="center" wrapText="1"/>
    </xf>
    <xf numFmtId="2" fontId="2" fillId="4" borderId="18" xfId="0" applyNumberFormat="1" applyFont="1" applyFill="1" applyBorder="1" applyAlignment="1">
      <alignment horizontal="right" vertical="center" wrapText="1"/>
    </xf>
    <xf numFmtId="2" fontId="2" fillId="7" borderId="0" xfId="0" applyNumberFormat="1" applyFont="1" applyFill="1" applyAlignment="1">
      <alignment horizontal="right" vertical="center" wrapText="1"/>
    </xf>
    <xf numFmtId="0" fontId="0" fillId="7" borderId="0" xfId="0" applyFill="1" applyAlignment="1">
      <alignment horizontal="right" vertical="center" wrapText="1"/>
    </xf>
    <xf numFmtId="2" fontId="2" fillId="7" borderId="14" xfId="0" applyNumberFormat="1" applyFont="1" applyFill="1" applyBorder="1" applyAlignment="1">
      <alignment horizontal="right" vertical="center" wrapText="1"/>
    </xf>
    <xf numFmtId="2" fontId="2" fillId="6" borderId="0" xfId="0" applyNumberFormat="1" applyFont="1" applyFill="1" applyAlignment="1">
      <alignment horizontal="right" vertical="center" wrapText="1"/>
    </xf>
    <xf numFmtId="0" fontId="0" fillId="6" borderId="0" xfId="0" applyFill="1" applyAlignment="1">
      <alignment horizontal="right" vertical="center" wrapText="1"/>
    </xf>
    <xf numFmtId="2" fontId="0" fillId="6" borderId="0" xfId="0" applyNumberFormat="1" applyFill="1" applyAlignment="1">
      <alignment horizontal="right" vertical="center" wrapText="1"/>
    </xf>
    <xf numFmtId="2" fontId="2" fillId="8" borderId="13" xfId="0" applyNumberFormat="1" applyFont="1" applyFill="1" applyBorder="1" applyAlignment="1">
      <alignment horizontal="right" vertical="center" wrapText="1"/>
    </xf>
    <xf numFmtId="0" fontId="0" fillId="8" borderId="0" xfId="0" applyFill="1" applyAlignment="1">
      <alignment horizontal="right" vertical="center" wrapText="1"/>
    </xf>
    <xf numFmtId="0" fontId="2" fillId="8" borderId="0" xfId="0" applyFont="1" applyFill="1" applyAlignment="1">
      <alignment horizontal="right" vertical="center" wrapText="1"/>
    </xf>
    <xf numFmtId="2" fontId="2" fillId="9" borderId="0" xfId="0" applyNumberFormat="1" applyFont="1" applyFill="1" applyAlignment="1">
      <alignment horizontal="right" vertical="center" wrapText="1"/>
    </xf>
    <xf numFmtId="0" fontId="2" fillId="9" borderId="0" xfId="0" applyFont="1" applyFill="1" applyAlignment="1">
      <alignment horizontal="right" vertical="center" wrapText="1"/>
    </xf>
    <xf numFmtId="0" fontId="0" fillId="25" borderId="0" xfId="0" applyFill="1" applyAlignment="1">
      <alignment horizontal="right" vertical="center" wrapText="1"/>
    </xf>
    <xf numFmtId="2" fontId="2" fillId="25" borderId="0" xfId="0" applyNumberFormat="1" applyFont="1" applyFill="1" applyAlignment="1">
      <alignment horizontal="right" vertical="center" wrapText="1"/>
    </xf>
    <xf numFmtId="0" fontId="0" fillId="10" borderId="18" xfId="0" applyFill="1" applyBorder="1" applyAlignment="1">
      <alignment horizontal="right" vertical="center" wrapText="1"/>
    </xf>
    <xf numFmtId="0" fontId="0" fillId="11" borderId="0" xfId="0" applyFill="1" applyAlignment="1">
      <alignment horizontal="center" vertical="center" wrapText="1"/>
    </xf>
    <xf numFmtId="0" fontId="0" fillId="11" borderId="14" xfId="0" applyFill="1" applyBorder="1" applyAlignment="1">
      <alignment horizontal="center" vertical="center" wrapText="1"/>
    </xf>
    <xf numFmtId="0" fontId="0" fillId="12" borderId="0" xfId="0" applyFill="1" applyAlignment="1">
      <alignment horizontal="right" vertical="center" wrapText="1"/>
    </xf>
    <xf numFmtId="0" fontId="0" fillId="12" borderId="14" xfId="0" applyFill="1" applyBorder="1" applyAlignment="1">
      <alignment horizontal="center" vertical="center" wrapText="1"/>
    </xf>
    <xf numFmtId="0" fontId="0" fillId="12" borderId="0" xfId="0" applyFill="1" applyAlignment="1">
      <alignment horizontal="center" vertical="center" wrapText="1"/>
    </xf>
    <xf numFmtId="0" fontId="0" fillId="13" borderId="0" xfId="0" applyFill="1" applyAlignment="1">
      <alignment horizontal="center" vertical="center" wrapText="1"/>
    </xf>
    <xf numFmtId="0" fontId="0" fillId="13" borderId="14" xfId="0" applyFill="1" applyBorder="1" applyAlignment="1">
      <alignment horizontal="right" vertical="center" wrapText="1"/>
    </xf>
    <xf numFmtId="0" fontId="0" fillId="9" borderId="0" xfId="0" applyFill="1" applyAlignment="1">
      <alignment horizontal="center" vertical="center" wrapText="1"/>
    </xf>
    <xf numFmtId="0" fontId="0" fillId="7" borderId="0" xfId="0" applyFill="1" applyAlignment="1">
      <alignment horizontal="center" vertical="center" wrapText="1"/>
    </xf>
    <xf numFmtId="0" fontId="2" fillId="9" borderId="0" xfId="0" applyFont="1" applyFill="1" applyAlignment="1">
      <alignment horizontal="center" vertical="center" wrapText="1"/>
    </xf>
    <xf numFmtId="0" fontId="2" fillId="7" borderId="14" xfId="0" applyFont="1" applyFill="1" applyBorder="1" applyAlignment="1">
      <alignment horizontal="center" vertical="center" wrapText="1"/>
    </xf>
    <xf numFmtId="0" fontId="0" fillId="7" borderId="14" xfId="0" applyFill="1" applyBorder="1" applyAlignment="1">
      <alignment horizontal="center" vertical="center" wrapText="1"/>
    </xf>
    <xf numFmtId="2" fontId="2" fillId="5" borderId="0" xfId="0" applyNumberFormat="1" applyFont="1" applyFill="1" applyAlignment="1">
      <alignment horizontal="center" vertical="center" wrapText="1"/>
    </xf>
    <xf numFmtId="0" fontId="0" fillId="0" borderId="0" xfId="0" applyAlignment="1">
      <alignment wrapText="1"/>
    </xf>
    <xf numFmtId="2" fontId="0" fillId="0" borderId="17" xfId="0" applyNumberFormat="1" applyBorder="1" applyAlignment="1">
      <alignment horizontal="center"/>
    </xf>
    <xf numFmtId="14" fontId="0" fillId="0" borderId="17" xfId="0" applyNumberFormat="1" applyBorder="1" applyAlignment="1">
      <alignment horizontal="center"/>
    </xf>
    <xf numFmtId="0" fontId="25" fillId="0" borderId="0" xfId="1" applyAlignment="1">
      <alignment horizontal="left"/>
    </xf>
    <xf numFmtId="14" fontId="2" fillId="0" borderId="17" xfId="2" applyNumberFormat="1" applyBorder="1"/>
    <xf numFmtId="14" fontId="2" fillId="0" borderId="17" xfId="2" applyNumberFormat="1" applyBorder="1" applyAlignment="1">
      <alignment horizontal="right"/>
    </xf>
    <xf numFmtId="0" fontId="33" fillId="0" borderId="17" xfId="0" applyFont="1" applyBorder="1" applyAlignment="1">
      <alignment vertical="center"/>
    </xf>
    <xf numFmtId="14" fontId="33" fillId="0" borderId="17" xfId="0" applyNumberFormat="1" applyFont="1" applyBorder="1" applyAlignment="1">
      <alignment vertical="center"/>
    </xf>
    <xf numFmtId="14" fontId="33" fillId="0" borderId="17" xfId="0" applyNumberFormat="1" applyFont="1" applyBorder="1" applyAlignment="1">
      <alignment horizontal="left" vertical="center"/>
    </xf>
    <xf numFmtId="0" fontId="33" fillId="0" borderId="17" xfId="0" applyFont="1" applyBorder="1" applyAlignment="1">
      <alignment horizontal="center" vertical="center"/>
    </xf>
    <xf numFmtId="2" fontId="33" fillId="0" borderId="17" xfId="0" applyNumberFormat="1" applyFont="1" applyBorder="1" applyAlignment="1">
      <alignment vertical="center"/>
    </xf>
    <xf numFmtId="1" fontId="33" fillId="0" borderId="17" xfId="0" applyNumberFormat="1" applyFont="1" applyBorder="1" applyAlignment="1">
      <alignment vertical="center"/>
    </xf>
    <xf numFmtId="2" fontId="34" fillId="0" borderId="17" xfId="0" applyNumberFormat="1" applyFont="1" applyBorder="1" applyAlignment="1">
      <alignment vertical="center"/>
    </xf>
    <xf numFmtId="0" fontId="33" fillId="0" borderId="17" xfId="0" applyFont="1" applyBorder="1" applyAlignment="1">
      <alignment horizontal="right" vertical="center"/>
    </xf>
    <xf numFmtId="2" fontId="33" fillId="0" borderId="17" xfId="0" applyNumberFormat="1" applyFont="1" applyBorder="1" applyAlignment="1">
      <alignment horizontal="center" vertical="center"/>
    </xf>
    <xf numFmtId="0" fontId="33" fillId="0" borderId="17" xfId="0" applyFont="1" applyBorder="1" applyAlignment="1">
      <alignment horizontal="left" vertical="center"/>
    </xf>
    <xf numFmtId="0" fontId="25" fillId="0" borderId="0" xfId="1" applyBorder="1"/>
    <xf numFmtId="0" fontId="22" fillId="2" borderId="3" xfId="2" applyFont="1" applyFill="1" applyBorder="1" applyProtection="1">
      <protection hidden="1"/>
    </xf>
    <xf numFmtId="0" fontId="20" fillId="2" borderId="4" xfId="2" applyFont="1" applyFill="1" applyBorder="1" applyProtection="1">
      <protection hidden="1"/>
    </xf>
    <xf numFmtId="0" fontId="20" fillId="0" borderId="5" xfId="2" applyFont="1" applyBorder="1" applyProtection="1">
      <protection hidden="1"/>
    </xf>
    <xf numFmtId="4" fontId="20" fillId="2" borderId="4" xfId="2" applyNumberFormat="1" applyFont="1" applyFill="1" applyBorder="1" applyProtection="1">
      <protection hidden="1"/>
    </xf>
    <xf numFmtId="3" fontId="21" fillId="2" borderId="4" xfId="2" applyNumberFormat="1" applyFont="1" applyFill="1" applyBorder="1" applyProtection="1">
      <protection hidden="1"/>
    </xf>
    <xf numFmtId="0" fontId="22" fillId="4" borderId="27" xfId="2" applyFont="1" applyFill="1" applyBorder="1" applyAlignment="1" applyProtection="1">
      <alignment wrapText="1"/>
      <protection hidden="1"/>
    </xf>
    <xf numFmtId="0" fontId="22" fillId="4" borderId="28" xfId="2" applyFont="1" applyFill="1" applyBorder="1" applyAlignment="1" applyProtection="1">
      <alignment wrapText="1"/>
      <protection hidden="1"/>
    </xf>
    <xf numFmtId="0" fontId="22" fillId="4" borderId="20" xfId="2" applyFont="1" applyFill="1" applyBorder="1" applyAlignment="1" applyProtection="1">
      <alignment wrapText="1"/>
      <protection hidden="1"/>
    </xf>
    <xf numFmtId="0" fontId="21" fillId="4" borderId="17" xfId="2" applyFont="1" applyFill="1" applyBorder="1" applyAlignment="1" applyProtection="1">
      <alignment wrapText="1"/>
      <protection hidden="1"/>
    </xf>
    <xf numFmtId="0" fontId="20" fillId="4" borderId="17" xfId="2" applyFont="1" applyFill="1" applyBorder="1" applyAlignment="1" applyProtection="1">
      <alignment horizontal="center" wrapText="1"/>
      <protection hidden="1"/>
    </xf>
    <xf numFmtId="0" fontId="21" fillId="4" borderId="17" xfId="2" applyFont="1" applyFill="1" applyBorder="1" applyAlignment="1" applyProtection="1">
      <alignment horizontal="center" wrapText="1"/>
      <protection hidden="1"/>
    </xf>
    <xf numFmtId="0" fontId="20" fillId="4" borderId="29" xfId="2" applyFont="1" applyFill="1" applyBorder="1" applyAlignment="1" applyProtection="1">
      <alignment horizontal="center" wrapText="1"/>
      <protection hidden="1"/>
    </xf>
    <xf numFmtId="0" fontId="20" fillId="4" borderId="20" xfId="2" applyFont="1" applyFill="1" applyBorder="1" applyAlignment="1" applyProtection="1">
      <alignment horizontal="center" wrapText="1"/>
      <protection hidden="1"/>
    </xf>
    <xf numFmtId="0" fontId="22" fillId="4" borderId="17" xfId="2" applyFont="1" applyFill="1" applyBorder="1" applyAlignment="1" applyProtection="1">
      <alignment wrapText="1"/>
      <protection hidden="1"/>
    </xf>
    <xf numFmtId="0" fontId="21" fillId="23" borderId="17" xfId="2" applyFont="1" applyFill="1" applyBorder="1" applyAlignment="1" applyProtection="1">
      <alignment wrapText="1"/>
      <protection hidden="1"/>
    </xf>
    <xf numFmtId="0" fontId="20" fillId="23" borderId="17" xfId="2" applyFont="1" applyFill="1" applyBorder="1" applyAlignment="1" applyProtection="1">
      <alignment horizontal="center" wrapText="1"/>
      <protection hidden="1"/>
    </xf>
    <xf numFmtId="0" fontId="21" fillId="23" borderId="17" xfId="2" applyFont="1" applyFill="1" applyBorder="1" applyAlignment="1" applyProtection="1">
      <alignment horizontal="center" wrapText="1"/>
      <protection hidden="1"/>
    </xf>
    <xf numFmtId="3" fontId="20" fillId="0" borderId="0" xfId="2" applyNumberFormat="1" applyFont="1" applyProtection="1">
      <protection hidden="1"/>
    </xf>
    <xf numFmtId="3" fontId="20" fillId="0" borderId="7" xfId="2" applyNumberFormat="1" applyFont="1" applyBorder="1" applyProtection="1">
      <protection hidden="1"/>
    </xf>
    <xf numFmtId="3" fontId="21" fillId="26" borderId="0" xfId="2" applyNumberFormat="1" applyFont="1" applyFill="1" applyProtection="1">
      <protection hidden="1"/>
    </xf>
    <xf numFmtId="3" fontId="21" fillId="26" borderId="7" xfId="2" applyNumberFormat="1" applyFont="1" applyFill="1" applyBorder="1" applyProtection="1">
      <protection hidden="1"/>
    </xf>
    <xf numFmtId="0" fontId="22" fillId="4" borderId="27" xfId="0" applyFont="1" applyFill="1" applyBorder="1" applyAlignment="1" applyProtection="1">
      <alignment wrapText="1"/>
      <protection hidden="1"/>
    </xf>
    <xf numFmtId="0" fontId="22" fillId="4" borderId="28" xfId="0" applyFont="1" applyFill="1" applyBorder="1" applyAlignment="1" applyProtection="1">
      <alignment wrapText="1"/>
      <protection hidden="1"/>
    </xf>
    <xf numFmtId="0" fontId="22" fillId="4" borderId="17" xfId="0" applyFont="1" applyFill="1" applyBorder="1" applyAlignment="1" applyProtection="1">
      <alignment wrapText="1"/>
      <protection hidden="1"/>
    </xf>
    <xf numFmtId="0" fontId="22" fillId="4" borderId="20" xfId="0" applyFont="1" applyFill="1" applyBorder="1" applyAlignment="1" applyProtection="1">
      <alignment wrapText="1"/>
      <protection hidden="1"/>
    </xf>
    <xf numFmtId="0" fontId="21" fillId="4" borderId="17" xfId="0" applyFont="1" applyFill="1" applyBorder="1" applyAlignment="1" applyProtection="1">
      <alignment wrapText="1"/>
      <protection hidden="1"/>
    </xf>
    <xf numFmtId="0" fontId="20" fillId="4" borderId="17" xfId="0" applyFont="1" applyFill="1" applyBorder="1" applyAlignment="1" applyProtection="1">
      <alignment horizontal="center" wrapText="1"/>
      <protection hidden="1"/>
    </xf>
    <xf numFmtId="0" fontId="21" fillId="4" borderId="17" xfId="0" applyFont="1" applyFill="1" applyBorder="1" applyAlignment="1" applyProtection="1">
      <alignment horizontal="center" wrapText="1"/>
      <protection hidden="1"/>
    </xf>
    <xf numFmtId="0" fontId="20" fillId="4" borderId="29" xfId="0" applyFont="1" applyFill="1" applyBorder="1" applyAlignment="1" applyProtection="1">
      <alignment horizontal="center" wrapText="1"/>
      <protection hidden="1"/>
    </xf>
    <xf numFmtId="0" fontId="20" fillId="4" borderId="20" xfId="0" applyFont="1" applyFill="1" applyBorder="1" applyAlignment="1" applyProtection="1">
      <alignment horizontal="center" wrapText="1"/>
      <protection hidden="1"/>
    </xf>
    <xf numFmtId="0" fontId="21" fillId="23" borderId="17" xfId="0" applyFont="1" applyFill="1" applyBorder="1" applyAlignment="1" applyProtection="1">
      <alignment wrapText="1"/>
      <protection hidden="1"/>
    </xf>
    <xf numFmtId="0" fontId="21" fillId="23" borderId="17" xfId="0" applyFont="1" applyFill="1" applyBorder="1" applyAlignment="1" applyProtection="1">
      <alignment horizontal="center" wrapText="1"/>
      <protection hidden="1"/>
    </xf>
    <xf numFmtId="3" fontId="0" fillId="0" borderId="0" xfId="0" applyNumberFormat="1" applyProtection="1">
      <protection hidden="1"/>
    </xf>
    <xf numFmtId="3" fontId="0" fillId="0" borderId="7" xfId="0" applyNumberFormat="1" applyBorder="1" applyProtection="1">
      <protection hidden="1"/>
    </xf>
    <xf numFmtId="3" fontId="6" fillId="26" borderId="0" xfId="0" applyNumberFormat="1" applyFont="1" applyFill="1" applyProtection="1">
      <protection hidden="1"/>
    </xf>
    <xf numFmtId="3" fontId="6" fillId="26" borderId="7" xfId="0" applyNumberFormat="1" applyFont="1" applyFill="1" applyBorder="1" applyProtection="1">
      <protection hidden="1"/>
    </xf>
    <xf numFmtId="0" fontId="0" fillId="2" borderId="1" xfId="0" applyFill="1" applyBorder="1" applyProtection="1">
      <protection hidden="1"/>
    </xf>
    <xf numFmtId="0" fontId="0" fillId="2" borderId="6" xfId="0" applyFill="1" applyBorder="1" applyProtection="1">
      <protection hidden="1"/>
    </xf>
    <xf numFmtId="3" fontId="20" fillId="0" borderId="13" xfId="2" applyNumberFormat="1" applyFont="1" applyBorder="1" applyProtection="1">
      <protection hidden="1"/>
    </xf>
    <xf numFmtId="3" fontId="20" fillId="0" borderId="26" xfId="2" applyNumberFormat="1" applyFont="1" applyBorder="1" applyProtection="1">
      <protection hidden="1"/>
    </xf>
    <xf numFmtId="0" fontId="2" fillId="5" borderId="17" xfId="0" applyFont="1" applyFill="1" applyBorder="1" applyAlignment="1">
      <alignment horizontal="right" vertical="center" wrapText="1"/>
    </xf>
    <xf numFmtId="14" fontId="33" fillId="0" borderId="17" xfId="0" applyNumberFormat="1" applyFont="1" applyBorder="1" applyAlignment="1">
      <alignment horizontal="right" vertical="center"/>
    </xf>
    <xf numFmtId="0" fontId="35" fillId="0" borderId="0" xfId="1" applyFont="1" applyFill="1" applyBorder="1"/>
    <xf numFmtId="0" fontId="35" fillId="0" borderId="17" xfId="1" applyFont="1" applyFill="1" applyBorder="1"/>
    <xf numFmtId="14" fontId="33" fillId="0" borderId="19" xfId="0" applyNumberFormat="1" applyFont="1" applyBorder="1" applyAlignment="1">
      <alignment horizontal="left" vertical="center"/>
    </xf>
    <xf numFmtId="0" fontId="33" fillId="0" borderId="20" xfId="0" applyFont="1" applyBorder="1" applyAlignment="1">
      <alignment vertical="center"/>
    </xf>
    <xf numFmtId="0" fontId="33" fillId="0" borderId="0" xfId="0" applyFont="1" applyAlignment="1">
      <alignment vertical="center"/>
    </xf>
    <xf numFmtId="14" fontId="29" fillId="0" borderId="17" xfId="0" applyNumberFormat="1" applyFont="1" applyBorder="1" applyAlignment="1">
      <alignment horizontal="left" vertical="center"/>
    </xf>
    <xf numFmtId="0" fontId="29" fillId="0" borderId="17" xfId="0" applyFont="1" applyBorder="1" applyAlignment="1">
      <alignment vertical="center"/>
    </xf>
    <xf numFmtId="0" fontId="29" fillId="0" borderId="17" xfId="0" applyFont="1" applyBorder="1" applyAlignment="1">
      <alignment horizontal="center" vertical="center"/>
    </xf>
    <xf numFmtId="2" fontId="29" fillId="0" borderId="17" xfId="0" applyNumberFormat="1" applyFont="1" applyBorder="1" applyAlignment="1">
      <alignment vertical="center"/>
    </xf>
    <xf numFmtId="1" fontId="29" fillId="0" borderId="17" xfId="0" applyNumberFormat="1" applyFont="1" applyBorder="1" applyAlignment="1">
      <alignment vertical="center"/>
    </xf>
    <xf numFmtId="0" fontId="29" fillId="0" borderId="17" xfId="0" applyFont="1" applyBorder="1" applyAlignment="1">
      <alignment horizontal="right" vertical="center"/>
    </xf>
    <xf numFmtId="2" fontId="29" fillId="0" borderId="17" xfId="0" applyNumberFormat="1" applyFont="1" applyBorder="1" applyAlignment="1">
      <alignment horizontal="center" vertical="center"/>
    </xf>
    <xf numFmtId="14" fontId="33" fillId="0" borderId="17" xfId="0" applyNumberFormat="1" applyFont="1" applyBorder="1" applyAlignment="1">
      <alignment horizontal="center" vertical="center"/>
    </xf>
    <xf numFmtId="0" fontId="35" fillId="0" borderId="0" xfId="1" applyFont="1" applyBorder="1"/>
    <xf numFmtId="0" fontId="33" fillId="0" borderId="0" xfId="0" applyFont="1" applyAlignment="1">
      <alignment horizontal="left" vertical="center"/>
    </xf>
    <xf numFmtId="0" fontId="29" fillId="0" borderId="0" xfId="0" applyFont="1" applyAlignment="1">
      <alignment vertical="center"/>
    </xf>
    <xf numFmtId="0" fontId="25" fillId="0" borderId="17" xfId="1" applyBorder="1"/>
    <xf numFmtId="0" fontId="35" fillId="0" borderId="17" xfId="1" applyFont="1" applyBorder="1"/>
    <xf numFmtId="49" fontId="2" fillId="27" borderId="23" xfId="0" applyNumberFormat="1" applyFont="1" applyFill="1" applyBorder="1" applyProtection="1">
      <protection hidden="1"/>
    </xf>
    <xf numFmtId="0" fontId="20" fillId="27" borderId="0" xfId="2" applyFont="1" applyFill="1" applyProtection="1">
      <protection hidden="1"/>
    </xf>
    <xf numFmtId="0" fontId="21" fillId="27" borderId="0" xfId="2" applyFont="1" applyFill="1" applyProtection="1">
      <protection hidden="1"/>
    </xf>
    <xf numFmtId="0" fontId="20" fillId="0" borderId="19" xfId="2" applyFont="1" applyBorder="1" applyProtection="1">
      <protection hidden="1"/>
    </xf>
    <xf numFmtId="1" fontId="20" fillId="0" borderId="20" xfId="2" applyNumberFormat="1" applyFont="1" applyBorder="1" applyAlignment="1" applyProtection="1">
      <alignment horizontal="left"/>
      <protection hidden="1"/>
    </xf>
    <xf numFmtId="0" fontId="20" fillId="0" borderId="11" xfId="2" applyFont="1" applyBorder="1" applyProtection="1">
      <protection hidden="1"/>
    </xf>
    <xf numFmtId="0" fontId="20" fillId="0" borderId="10" xfId="2" applyFont="1" applyBorder="1" applyProtection="1">
      <protection hidden="1"/>
    </xf>
    <xf numFmtId="0" fontId="20" fillId="0" borderId="20" xfId="2" applyFont="1" applyBorder="1" applyAlignment="1" applyProtection="1">
      <alignment horizontal="left"/>
      <protection hidden="1"/>
    </xf>
    <xf numFmtId="0" fontId="20" fillId="0" borderId="15" xfId="2" applyFont="1" applyBorder="1" applyProtection="1">
      <protection hidden="1"/>
    </xf>
    <xf numFmtId="0" fontId="20" fillId="0" borderId="9" xfId="2" applyFont="1" applyBorder="1" applyProtection="1">
      <protection hidden="1"/>
    </xf>
    <xf numFmtId="0" fontId="22" fillId="0" borderId="3" xfId="2" applyFont="1" applyBorder="1" applyProtection="1">
      <protection hidden="1"/>
    </xf>
    <xf numFmtId="0" fontId="20" fillId="0" borderId="4" xfId="2" applyFont="1" applyBorder="1" applyProtection="1">
      <protection hidden="1"/>
    </xf>
    <xf numFmtId="4" fontId="20" fillId="0" borderId="4" xfId="2" applyNumberFormat="1" applyFont="1" applyBorder="1" applyProtection="1">
      <protection hidden="1"/>
    </xf>
    <xf numFmtId="3" fontId="21" fillId="0" borderId="4" xfId="2" applyNumberFormat="1" applyFont="1" applyBorder="1" applyProtection="1">
      <protection hidden="1"/>
    </xf>
    <xf numFmtId="0" fontId="20" fillId="28" borderId="0" xfId="2" applyFont="1" applyFill="1" applyProtection="1">
      <protection hidden="1"/>
    </xf>
    <xf numFmtId="0" fontId="21" fillId="28" borderId="0" xfId="2" applyFont="1" applyFill="1" applyProtection="1">
      <protection hidden="1"/>
    </xf>
    <xf numFmtId="0" fontId="25" fillId="0" borderId="0" xfId="1" applyFill="1" applyBorder="1"/>
    <xf numFmtId="0" fontId="2" fillId="12" borderId="0" xfId="0" applyFont="1" applyFill="1" applyAlignment="1">
      <alignment horizontal="center" vertical="center" wrapText="1"/>
    </xf>
    <xf numFmtId="0" fontId="20" fillId="29" borderId="0" xfId="2" applyFont="1" applyFill="1" applyProtection="1">
      <protection hidden="1"/>
    </xf>
    <xf numFmtId="0" fontId="36" fillId="29" borderId="0" xfId="2" applyFont="1" applyFill="1" applyProtection="1">
      <protection hidden="1"/>
    </xf>
    <xf numFmtId="0" fontId="37" fillId="29" borderId="0" xfId="2" applyFont="1" applyFill="1" applyProtection="1">
      <protection hidden="1"/>
    </xf>
    <xf numFmtId="49" fontId="38" fillId="29" borderId="23" xfId="0" applyNumberFormat="1" applyFont="1" applyFill="1" applyBorder="1" applyProtection="1">
      <protection hidden="1"/>
    </xf>
    <xf numFmtId="0" fontId="33" fillId="0" borderId="16" xfId="0" applyFont="1" applyBorder="1" applyAlignment="1">
      <alignment horizontal="center" vertical="center"/>
    </xf>
    <xf numFmtId="2" fontId="34" fillId="0" borderId="17" xfId="0" applyNumberFormat="1" applyFont="1" applyBorder="1" applyAlignment="1">
      <alignment horizontal="center" vertical="center"/>
    </xf>
    <xf numFmtId="0" fontId="33" fillId="0" borderId="16" xfId="0" applyFont="1" applyBorder="1" applyAlignment="1">
      <alignment vertical="center"/>
    </xf>
    <xf numFmtId="0" fontId="33" fillId="0" borderId="16" xfId="0" applyFont="1" applyBorder="1" applyAlignment="1">
      <alignment horizontal="left" vertical="center"/>
    </xf>
    <xf numFmtId="14" fontId="33" fillId="18" borderId="17" xfId="0" applyNumberFormat="1" applyFont="1" applyFill="1" applyBorder="1" applyAlignment="1">
      <alignment vertical="center"/>
    </xf>
    <xf numFmtId="14" fontId="33" fillId="30" borderId="17" xfId="0" applyNumberFormat="1" applyFont="1" applyFill="1" applyBorder="1" applyAlignment="1">
      <alignment vertical="center"/>
    </xf>
    <xf numFmtId="0" fontId="33" fillId="0" borderId="16" xfId="0" applyFont="1" applyBorder="1" applyAlignment="1">
      <alignment horizontal="right" vertical="center"/>
    </xf>
    <xf numFmtId="0" fontId="33" fillId="0" borderId="20" xfId="0" applyFont="1" applyBorder="1" applyAlignment="1">
      <alignment horizontal="center" vertical="center"/>
    </xf>
    <xf numFmtId="0" fontId="33" fillId="0" borderId="20" xfId="0" applyFont="1" applyBorder="1" applyAlignment="1">
      <alignment horizontal="left" vertical="center"/>
    </xf>
    <xf numFmtId="2" fontId="34" fillId="0" borderId="20" xfId="0" applyNumberFormat="1" applyFont="1" applyBorder="1" applyAlignment="1">
      <alignment horizontal="center" vertical="center"/>
    </xf>
    <xf numFmtId="0" fontId="25" fillId="0" borderId="17" xfId="1" applyFill="1" applyBorder="1"/>
    <xf numFmtId="0" fontId="33" fillId="0" borderId="20" xfId="0" applyFont="1" applyBorder="1" applyAlignment="1">
      <alignment horizontal="right" vertical="center"/>
    </xf>
    <xf numFmtId="0" fontId="36" fillId="31" borderId="0" xfId="2" applyFont="1" applyFill="1" applyProtection="1">
      <protection hidden="1"/>
    </xf>
    <xf numFmtId="0" fontId="20" fillId="31" borderId="0" xfId="2" applyFont="1" applyFill="1" applyProtection="1">
      <protection hidden="1"/>
    </xf>
    <xf numFmtId="0" fontId="37" fillId="31" borderId="0" xfId="2" applyFont="1" applyFill="1" applyProtection="1">
      <protection hidden="1"/>
    </xf>
    <xf numFmtId="49" fontId="38" fillId="31" borderId="23" xfId="0" applyNumberFormat="1" applyFont="1" applyFill="1" applyBorder="1" applyProtection="1">
      <protection hidden="1"/>
    </xf>
    <xf numFmtId="14" fontId="33" fillId="20" borderId="17" xfId="0" applyNumberFormat="1" applyFont="1" applyFill="1" applyBorder="1" applyAlignment="1">
      <alignment vertical="center"/>
    </xf>
    <xf numFmtId="0" fontId="0" fillId="32" borderId="17" xfId="0" applyFill="1" applyBorder="1"/>
    <xf numFmtId="1" fontId="0" fillId="32" borderId="17" xfId="0" applyNumberFormat="1" applyFill="1" applyBorder="1"/>
    <xf numFmtId="2" fontId="34" fillId="32" borderId="17" xfId="0" applyNumberFormat="1" applyFont="1" applyFill="1" applyBorder="1" applyAlignment="1">
      <alignment vertical="center"/>
    </xf>
    <xf numFmtId="6" fontId="33" fillId="0" borderId="20" xfId="0" applyNumberFormat="1" applyFont="1" applyBorder="1" applyAlignment="1">
      <alignment horizontal="left" vertical="center"/>
    </xf>
    <xf numFmtId="0" fontId="25" fillId="0" borderId="0" xfId="1" applyAlignment="1">
      <alignment horizontal="left" vertical="center"/>
    </xf>
    <xf numFmtId="0" fontId="20" fillId="0" borderId="1" xfId="2" applyFont="1" applyFill="1" applyBorder="1" applyProtection="1">
      <protection hidden="1"/>
    </xf>
  </cellXfs>
  <cellStyles count="3">
    <cellStyle name="Hyperlink" xfId="1" builtinId="8"/>
    <cellStyle name="Normal" xfId="0" builtinId="0"/>
    <cellStyle name="Normal 2" xfId="2" xr:uid="{77FBB136-23FF-1D49-9AF8-E1B8AD718D15}"/>
  </cellStyles>
  <dxfs count="0"/>
  <tableStyles count="0" defaultTableStyle="TableStyleMedium9" defaultPivotStyle="PivotStyleMedium7"/>
  <colors>
    <mruColors>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622300</xdr:colOff>
      <xdr:row>26</xdr:row>
      <xdr:rowOff>38100</xdr:rowOff>
    </xdr:from>
    <xdr:to>
      <xdr:col>26</xdr:col>
      <xdr:colOff>368300</xdr:colOff>
      <xdr:row>78</xdr:row>
      <xdr:rowOff>100034</xdr:rowOff>
    </xdr:to>
    <xdr:pic>
      <xdr:nvPicPr>
        <xdr:cNvPr id="2" name="Picture 1" descr="sa_power_networks_network_map.pd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366500" y="4470400"/>
          <a:ext cx="7137400" cy="8863034"/>
        </a:xfrm>
        <a:prstGeom prst="rect">
          <a:avLst/>
        </a:prstGeom>
      </xdr:spPr>
    </xdr:pic>
    <xdr:clientData/>
  </xdr:twoCellAnchor>
  <xdr:twoCellAnchor editAs="oneCell">
    <xdr:from>
      <xdr:col>16</xdr:col>
      <xdr:colOff>482600</xdr:colOff>
      <xdr:row>0</xdr:row>
      <xdr:rowOff>0</xdr:rowOff>
    </xdr:from>
    <xdr:to>
      <xdr:col>18</xdr:col>
      <xdr:colOff>393700</xdr:colOff>
      <xdr:row>4</xdr:row>
      <xdr:rowOff>57785</xdr:rowOff>
    </xdr:to>
    <xdr:pic>
      <xdr:nvPicPr>
        <xdr:cNvPr id="3" name="Picture 2" descr="Alviss-Consulting-Logo-Inline.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575800" y="0"/>
          <a:ext cx="1651000" cy="743585"/>
        </a:xfrm>
        <a:prstGeom prst="rect">
          <a:avLst/>
        </a:prstGeom>
      </xdr:spPr>
    </xdr:pic>
    <xdr:clientData/>
  </xdr:twoCellAnchor>
  <xdr:twoCellAnchor editAs="oneCell">
    <xdr:from>
      <xdr:col>8</xdr:col>
      <xdr:colOff>38100</xdr:colOff>
      <xdr:row>0</xdr:row>
      <xdr:rowOff>0</xdr:rowOff>
    </xdr:from>
    <xdr:to>
      <xdr:col>15</xdr:col>
      <xdr:colOff>14119</xdr:colOff>
      <xdr:row>4</xdr:row>
      <xdr:rowOff>38100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622800" y="0"/>
          <a:ext cx="4484519" cy="723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energymadeeasy.gov.au/plan?id=ORI77150MRE&amp;postcode=5000" TargetMode="External"/><Relationship Id="rId3" Type="http://schemas.openxmlformats.org/officeDocument/2006/relationships/hyperlink" Target="https://www.energymadeeasy.gov.au/plan?id=FXP103013MRE&amp;postcode=5000" TargetMode="External"/><Relationship Id="rId7" Type="http://schemas.openxmlformats.org/officeDocument/2006/relationships/hyperlink" Target="https://assets.kogan.com/files/energy/pdf/rates/2021june/KE-SAPN-combined-market2.pdf" TargetMode="External"/><Relationship Id="rId2" Type="http://schemas.openxmlformats.org/officeDocument/2006/relationships/hyperlink" Target="https://uploads-ssl.webflow.com/5be398fec98f64eddec9df1c/5be398fec98f64c42cc9df5f_LCL711480MR_CZae.pdf" TargetMode="External"/><Relationship Id="rId1" Type="http://schemas.openxmlformats.org/officeDocument/2006/relationships/hyperlink" Target="https://www.energymadeeasy.gov.au/plan?id=FXP103012MRE&amp;postcode=5000" TargetMode="External"/><Relationship Id="rId6" Type="http://schemas.openxmlformats.org/officeDocument/2006/relationships/hyperlink" Target="https://www.energymadeeasy.gov.au/plan?id=TAN259156MRE1&amp;postcode=5000" TargetMode="External"/><Relationship Id="rId5" Type="http://schemas.openxmlformats.org/officeDocument/2006/relationships/hyperlink" Target="https://www.energymadeeasy.gov.au/plan?id=POW15455MRE&amp;postcode=5000" TargetMode="External"/><Relationship Id="rId4" Type="http://schemas.openxmlformats.org/officeDocument/2006/relationships/hyperlink" Target="https://www.energymadeeasy.gov.au/plan?id=AGL15407MRE&amp;postcode=5000" TargetMode="External"/><Relationship Id="rId9" Type="http://schemas.openxmlformats.org/officeDocument/2006/relationships/hyperlink" Target="https://www.energymadeeasy.gov.au/plan?id=DEN255564MRE1&amp;postcode=5000"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energymadeeasy.gov.au/offer/930745?postcode=5000" TargetMode="External"/><Relationship Id="rId13" Type="http://schemas.openxmlformats.org/officeDocument/2006/relationships/hyperlink" Target="https://www.energymadeeasy.gov.au/offer/936466?postcode=5000" TargetMode="External"/><Relationship Id="rId18" Type="http://schemas.openxmlformats.org/officeDocument/2006/relationships/hyperlink" Target="https://www.energymadeeasy.gov.au/plan?id=FXP103013MRE&amp;postcode=5000" TargetMode="External"/><Relationship Id="rId3" Type="http://schemas.openxmlformats.org/officeDocument/2006/relationships/hyperlink" Target="https://www.energymadeeasy.gov.au/offer/930746?postcode=5000" TargetMode="External"/><Relationship Id="rId7" Type="http://schemas.openxmlformats.org/officeDocument/2006/relationships/hyperlink" Target="https://www.energymadeeasy.gov.au/offer/929733/print?postcode=5000&amp;fuelType=E&amp;distributor-E=42" TargetMode="External"/><Relationship Id="rId12" Type="http://schemas.openxmlformats.org/officeDocument/2006/relationships/hyperlink" Target="https://www.energymadeeasy.gov.au/offer/922894?utm_source=amaysim+Energy&amp;utm_campaign=bpi-retailer&amp;utm_medium=retailer&amp;postcode=5000" TargetMode="External"/><Relationship Id="rId17" Type="http://schemas.openxmlformats.org/officeDocument/2006/relationships/hyperlink" Target="https://www.energymadeeasy.gov.au/plan?id=FXP103012MRE&amp;postcode=5000" TargetMode="External"/><Relationship Id="rId2" Type="http://schemas.openxmlformats.org/officeDocument/2006/relationships/hyperlink" Target="https://www.energymadeeasy.gov.au/offer/929734/print?postcode=5000&amp;fuelType=E&amp;distributor-E=42" TargetMode="External"/><Relationship Id="rId16" Type="http://schemas.openxmlformats.org/officeDocument/2006/relationships/hyperlink" Target="https://www.energymadeeasy.gov.au/plan?id=DIA34658MRE&amp;postcode=5000" TargetMode="External"/><Relationship Id="rId20" Type="http://schemas.openxmlformats.org/officeDocument/2006/relationships/comments" Target="../comments18.xml"/><Relationship Id="rId1" Type="http://schemas.openxmlformats.org/officeDocument/2006/relationships/hyperlink" Target="https://www.energymadeeasy.gov.au/offer/911807?postcode=5000" TargetMode="External"/><Relationship Id="rId6" Type="http://schemas.openxmlformats.org/officeDocument/2006/relationships/hyperlink" Target="https://www.energymadeeasy.gov.au/offer/911806?postcode=5000" TargetMode="External"/><Relationship Id="rId11" Type="http://schemas.openxmlformats.org/officeDocument/2006/relationships/hyperlink" Target="https://uploads-ssl.webflow.com/5be398fec98f64eddec9df1c/5be398fec98f64c42cc9df5f_LCL711480MR_CZae.pdf" TargetMode="External"/><Relationship Id="rId5" Type="http://schemas.openxmlformats.org/officeDocument/2006/relationships/hyperlink" Target="https://s3-ap-southeast-2.amazonaws.com/psau-wordpress/wp-content/uploads/2019/06/30212117/PSH-SAPN-90701-MR.pdf" TargetMode="External"/><Relationship Id="rId15" Type="http://schemas.openxmlformats.org/officeDocument/2006/relationships/hyperlink" Target="https://www.energymadeeasy.gov.au/offer/687976?postcode=5000" TargetMode="External"/><Relationship Id="rId10" Type="http://schemas.openxmlformats.org/officeDocument/2006/relationships/hyperlink" Target="https://s3-ap-southeast-2.amazonaws.com/psau-wordpress/wp-content/uploads/2019/06/30212117/PSH-SAPN-90701-MR.pdf" TargetMode="External"/><Relationship Id="rId19" Type="http://schemas.openxmlformats.org/officeDocument/2006/relationships/vmlDrawing" Target="../drawings/vmlDrawing18.vml"/><Relationship Id="rId4" Type="http://schemas.openxmlformats.org/officeDocument/2006/relationships/hyperlink" Target="https://www.energymadeeasy.gov.au/offer/930474/print?postcode=5000&amp;fuelType=E&amp;distributor-E=42" TargetMode="External"/><Relationship Id="rId9" Type="http://schemas.openxmlformats.org/officeDocument/2006/relationships/hyperlink" Target="https://www.energymadeeasy.gov.au/offer/930473/print?postcode=5000&amp;fuelType=E&amp;distributor-E=42" TargetMode="External"/><Relationship Id="rId14" Type="http://schemas.openxmlformats.org/officeDocument/2006/relationships/hyperlink" Target="https://www.energymadeeasy.gov.au/offer/936475?postcode=5000"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energymadeeasy.gov.au/offer/930745?postcode=5000" TargetMode="External"/><Relationship Id="rId13" Type="http://schemas.openxmlformats.org/officeDocument/2006/relationships/hyperlink" Target="https://www.energymadeeasy.gov.au/offer/936466?postcode=5000" TargetMode="External"/><Relationship Id="rId3" Type="http://schemas.openxmlformats.org/officeDocument/2006/relationships/hyperlink" Target="https://www.energymadeeasy.gov.au/offer/930746?postcode=5000" TargetMode="External"/><Relationship Id="rId7" Type="http://schemas.openxmlformats.org/officeDocument/2006/relationships/hyperlink" Target="https://www.energymadeeasy.gov.au/offer/929733/print?postcode=5000&amp;fuelType=E&amp;distributor-E=42" TargetMode="External"/><Relationship Id="rId12" Type="http://schemas.openxmlformats.org/officeDocument/2006/relationships/hyperlink" Target="https://www.energymadeeasy.gov.au/offer/922894?utm_source=amaysim+Energy&amp;utm_campaign=bpi-retailer&amp;utm_medium=retailer&amp;postcode=5000" TargetMode="External"/><Relationship Id="rId2" Type="http://schemas.openxmlformats.org/officeDocument/2006/relationships/hyperlink" Target="https://www.energymadeeasy.gov.au/offer/929734/print?postcode=5000&amp;fuelType=E&amp;distributor-E=42" TargetMode="External"/><Relationship Id="rId16" Type="http://schemas.openxmlformats.org/officeDocument/2006/relationships/hyperlink" Target="https://www.energymadeeasy.gov.au/offer/664422?postcode=5000" TargetMode="External"/><Relationship Id="rId1" Type="http://schemas.openxmlformats.org/officeDocument/2006/relationships/hyperlink" Target="https://www.energymadeeasy.gov.au/offer/911807?postcode=5000" TargetMode="External"/><Relationship Id="rId6" Type="http://schemas.openxmlformats.org/officeDocument/2006/relationships/hyperlink" Target="https://www.energymadeeasy.gov.au/offer/911806?postcode=5000" TargetMode="External"/><Relationship Id="rId11" Type="http://schemas.openxmlformats.org/officeDocument/2006/relationships/hyperlink" Target="https://uploads-ssl.webflow.com/5be398fec98f64eddec9df1c/5be398fec98f64c42cc9df5f_LCL711480MR_CZae.pdf" TargetMode="External"/><Relationship Id="rId5" Type="http://schemas.openxmlformats.org/officeDocument/2006/relationships/hyperlink" Target="https://s3-ap-southeast-2.amazonaws.com/psau-wordpress/wp-content/uploads/2019/06/30212117/PSH-SAPN-90701-MR.pdf" TargetMode="External"/><Relationship Id="rId15" Type="http://schemas.openxmlformats.org/officeDocument/2006/relationships/hyperlink" Target="https://www.energymadeeasy.gov.au/offer/664425?postcode=5000" TargetMode="External"/><Relationship Id="rId10" Type="http://schemas.openxmlformats.org/officeDocument/2006/relationships/hyperlink" Target="https://s3-ap-southeast-2.amazonaws.com/psau-wordpress/wp-content/uploads/2019/06/30212117/PSH-SAPN-90701-MR.pdf" TargetMode="External"/><Relationship Id="rId4" Type="http://schemas.openxmlformats.org/officeDocument/2006/relationships/hyperlink" Target="https://www.energymadeeasy.gov.au/offer/930474/print?postcode=5000&amp;fuelType=E&amp;distributor-E=42" TargetMode="External"/><Relationship Id="rId9" Type="http://schemas.openxmlformats.org/officeDocument/2006/relationships/hyperlink" Target="https://www.energymadeeasy.gov.au/offer/930473/print?postcode=5000&amp;fuelType=E&amp;distributor-E=42" TargetMode="External"/><Relationship Id="rId14" Type="http://schemas.openxmlformats.org/officeDocument/2006/relationships/hyperlink" Target="https://www.energymadeeasy.gov.au/offer/936475?postcode=5000"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K124"/>
  <sheetViews>
    <sheetView showGridLines="0" workbookViewId="0">
      <selection activeCell="A15" sqref="A15:A34"/>
    </sheetView>
  </sheetViews>
  <sheetFormatPr baseColWidth="10" defaultRowHeight="13" x14ac:dyDescent="0.15"/>
  <cols>
    <col min="1" max="2" width="7.5" style="1" customWidth="1"/>
    <col min="3" max="3" width="7.6640625" style="1" customWidth="1"/>
    <col min="4" max="13" width="7.5" style="1" customWidth="1"/>
    <col min="14" max="14" width="12.6640625" style="1" customWidth="1"/>
    <col min="15" max="15" width="9" style="1" customWidth="1"/>
    <col min="16" max="16" width="6.5" style="1" customWidth="1"/>
    <col min="17" max="17" width="12" style="1" customWidth="1"/>
    <col min="18" max="21" width="10.83203125" style="1"/>
    <col min="22" max="22" width="15.83203125" style="1" customWidth="1"/>
    <col min="23" max="23" width="14.1640625" style="1" customWidth="1"/>
    <col min="24" max="24" width="7.5" style="1" customWidth="1"/>
    <col min="25" max="25" width="16.5" style="1" customWidth="1"/>
    <col min="26" max="26" width="10.5" style="1" customWidth="1"/>
    <col min="27" max="27" width="13.1640625" style="1" customWidth="1"/>
    <col min="28" max="31" width="7.5" style="1" customWidth="1"/>
    <col min="32" max="16384" width="10.83203125" style="1"/>
  </cols>
  <sheetData>
    <row r="1" spans="1:37" ht="14" x14ac:dyDescent="0.15">
      <c r="A1" s="2" t="s">
        <v>151</v>
      </c>
      <c r="B1" s="3"/>
      <c r="C1" s="3"/>
      <c r="D1" s="3"/>
      <c r="E1" s="3"/>
      <c r="F1" s="3"/>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spans="1:37" x14ac:dyDescent="0.15">
      <c r="A2" s="5" t="s">
        <v>111</v>
      </c>
      <c r="B2" s="6"/>
      <c r="C2" s="6"/>
      <c r="D2" s="6"/>
      <c r="E2" s="6"/>
      <c r="F2" s="7"/>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row>
    <row r="3" spans="1:37" ht="14" x14ac:dyDescent="0.15">
      <c r="A3" s="8" t="s">
        <v>870</v>
      </c>
      <c r="B3" s="3"/>
      <c r="C3" s="3"/>
      <c r="D3" s="3"/>
      <c r="E3" s="3"/>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row>
    <row r="4" spans="1:37" x14ac:dyDescent="0.1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row>
    <row r="5" spans="1:37" ht="14" thickBot="1" x14ac:dyDescent="0.2">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spans="1:37" x14ac:dyDescent="0.15">
      <c r="A6" s="3" t="s">
        <v>113</v>
      </c>
      <c r="B6" s="4"/>
      <c r="C6" s="4"/>
      <c r="D6" s="4"/>
      <c r="E6" s="4"/>
      <c r="F6" s="4"/>
      <c r="G6" s="4"/>
      <c r="H6" s="4"/>
      <c r="I6" s="4"/>
      <c r="J6" s="4"/>
      <c r="K6" s="4"/>
      <c r="L6" s="4"/>
      <c r="M6" s="4"/>
      <c r="N6" s="4"/>
      <c r="O6" s="4"/>
      <c r="P6" s="4"/>
      <c r="Q6" s="4"/>
      <c r="R6" s="4"/>
      <c r="S6" s="9" t="s">
        <v>150</v>
      </c>
      <c r="T6" s="10"/>
      <c r="U6" s="10"/>
      <c r="V6" s="10"/>
      <c r="W6" s="10"/>
      <c r="X6" s="10"/>
      <c r="Y6" s="11"/>
      <c r="Z6" s="4"/>
      <c r="AA6" s="4"/>
      <c r="AB6" s="4"/>
      <c r="AC6" s="4"/>
      <c r="AD6" s="4"/>
      <c r="AE6" s="4"/>
      <c r="AF6" s="4"/>
      <c r="AG6" s="4"/>
      <c r="AH6" s="4"/>
      <c r="AI6" s="4"/>
      <c r="AJ6" s="4"/>
      <c r="AK6" s="4"/>
    </row>
    <row r="7" spans="1:37" x14ac:dyDescent="0.15">
      <c r="A7" s="4" t="s">
        <v>149</v>
      </c>
      <c r="B7" s="4"/>
      <c r="C7" s="4"/>
      <c r="D7" s="4"/>
      <c r="E7" s="4"/>
      <c r="F7" s="4"/>
      <c r="G7" s="4"/>
      <c r="H7" s="4"/>
      <c r="I7" s="4"/>
      <c r="J7" s="4"/>
      <c r="K7" s="4"/>
      <c r="L7" s="4"/>
      <c r="M7" s="4"/>
      <c r="N7" s="4"/>
      <c r="O7" s="4"/>
      <c r="P7" s="4"/>
      <c r="Q7" s="4"/>
      <c r="R7" s="4"/>
      <c r="S7" s="12" t="s">
        <v>212</v>
      </c>
      <c r="T7" s="13"/>
      <c r="U7" s="13"/>
      <c r="V7" s="13"/>
      <c r="W7" s="13"/>
      <c r="X7" s="13"/>
      <c r="Y7" s="14"/>
      <c r="Z7" s="4"/>
      <c r="AA7" s="4"/>
      <c r="AB7" s="4"/>
      <c r="AC7" s="4"/>
      <c r="AD7" s="4"/>
      <c r="AE7" s="4"/>
      <c r="AF7" s="4"/>
      <c r="AG7" s="4"/>
      <c r="AH7" s="4"/>
      <c r="AI7" s="4"/>
      <c r="AJ7" s="4"/>
      <c r="AK7" s="4"/>
    </row>
    <row r="8" spans="1:37" x14ac:dyDescent="0.15">
      <c r="A8" s="4" t="s">
        <v>293</v>
      </c>
      <c r="B8" s="4"/>
      <c r="C8" s="4"/>
      <c r="D8" s="4"/>
      <c r="E8" s="4"/>
      <c r="F8" s="4"/>
      <c r="G8" s="4"/>
      <c r="H8" s="4"/>
      <c r="I8" s="4"/>
      <c r="J8" s="4"/>
      <c r="K8" s="4"/>
      <c r="L8" s="4"/>
      <c r="M8" s="4"/>
      <c r="N8" s="4"/>
      <c r="O8" s="4"/>
      <c r="P8" s="4"/>
      <c r="Q8" s="4"/>
      <c r="R8" s="4"/>
      <c r="S8" s="12" t="s">
        <v>182</v>
      </c>
      <c r="T8" s="13"/>
      <c r="U8" s="13"/>
      <c r="V8" s="13"/>
      <c r="W8" s="13"/>
      <c r="X8" s="13"/>
      <c r="Y8" s="14"/>
      <c r="Z8" s="4"/>
      <c r="AA8" s="4"/>
      <c r="AB8" s="4"/>
      <c r="AC8" s="4"/>
      <c r="AD8" s="4"/>
      <c r="AE8" s="4"/>
      <c r="AF8" s="4"/>
      <c r="AG8" s="4"/>
      <c r="AH8" s="4"/>
      <c r="AI8" s="4"/>
      <c r="AJ8" s="4"/>
      <c r="AK8" s="4"/>
    </row>
    <row r="9" spans="1:37" x14ac:dyDescent="0.15">
      <c r="A9" s="4" t="s">
        <v>176</v>
      </c>
      <c r="B9" s="4"/>
      <c r="C9" s="4"/>
      <c r="D9" s="4"/>
      <c r="E9" s="4"/>
      <c r="F9" s="4"/>
      <c r="G9" s="4"/>
      <c r="H9" s="4"/>
      <c r="I9" s="4"/>
      <c r="J9" s="4"/>
      <c r="K9" s="4"/>
      <c r="L9" s="4"/>
      <c r="M9" s="4"/>
      <c r="N9" s="4"/>
      <c r="O9" s="4"/>
      <c r="P9" s="4"/>
      <c r="Q9" s="4"/>
      <c r="R9" s="4"/>
      <c r="S9" s="12" t="s">
        <v>210</v>
      </c>
      <c r="T9" s="13"/>
      <c r="U9" s="13"/>
      <c r="V9" s="13"/>
      <c r="W9" s="13"/>
      <c r="X9" s="13"/>
      <c r="Y9" s="14"/>
      <c r="Z9" s="4"/>
      <c r="AA9" s="4"/>
      <c r="AB9" s="4"/>
      <c r="AC9" s="4"/>
      <c r="AD9" s="4"/>
      <c r="AE9" s="4"/>
      <c r="AF9" s="4"/>
      <c r="AG9" s="4"/>
      <c r="AH9" s="4"/>
      <c r="AI9" s="4"/>
      <c r="AJ9" s="4"/>
      <c r="AK9" s="4"/>
    </row>
    <row r="10" spans="1:37" ht="14" thickBot="1" x14ac:dyDescent="0.2">
      <c r="A10" s="4" t="s">
        <v>184</v>
      </c>
      <c r="B10" s="4"/>
      <c r="C10" s="4"/>
      <c r="D10" s="4"/>
      <c r="E10" s="4"/>
      <c r="F10" s="4"/>
      <c r="G10" s="4"/>
      <c r="H10" s="4"/>
      <c r="I10" s="4"/>
      <c r="J10" s="4"/>
      <c r="K10" s="4"/>
      <c r="L10" s="4"/>
      <c r="M10" s="4"/>
      <c r="N10" s="4"/>
      <c r="O10" s="4"/>
      <c r="P10" s="4"/>
      <c r="Q10" s="4"/>
      <c r="R10" s="4"/>
      <c r="S10" s="15" t="s">
        <v>294</v>
      </c>
      <c r="T10" s="16"/>
      <c r="U10" s="16"/>
      <c r="V10" s="16"/>
      <c r="W10" s="16"/>
      <c r="X10" s="16"/>
      <c r="Y10" s="17"/>
      <c r="Z10" s="4"/>
      <c r="AA10" s="4"/>
      <c r="AB10" s="4"/>
      <c r="AC10" s="4"/>
      <c r="AD10" s="4"/>
      <c r="AE10" s="4"/>
      <c r="AF10" s="4"/>
      <c r="AG10" s="4"/>
      <c r="AH10" s="4"/>
      <c r="AI10" s="4"/>
      <c r="AJ10" s="4"/>
      <c r="AK10" s="4"/>
    </row>
    <row r="11" spans="1:37" x14ac:dyDescent="0.1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row>
    <row r="12" spans="1:37" ht="15" thickBot="1" x14ac:dyDescent="0.2">
      <c r="A12" s="22" t="s">
        <v>167</v>
      </c>
      <c r="B12" s="4"/>
      <c r="C12" s="4"/>
      <c r="D12" s="4"/>
      <c r="E12" s="4"/>
      <c r="F12" s="4"/>
      <c r="G12" s="4"/>
      <c r="H12" s="4"/>
      <c r="I12" s="4"/>
      <c r="J12" s="4"/>
      <c r="K12" s="4"/>
      <c r="L12" s="4"/>
      <c r="M12" s="4"/>
      <c r="O12" s="4"/>
      <c r="P12" s="4"/>
      <c r="Q12" s="4"/>
      <c r="R12" s="4"/>
      <c r="S12" s="4"/>
      <c r="T12" s="4"/>
      <c r="U12" s="4"/>
      <c r="V12" s="4"/>
      <c r="W12" s="4"/>
      <c r="X12" s="4"/>
      <c r="Y12" s="4"/>
      <c r="Z12" s="4"/>
      <c r="AA12" s="4"/>
      <c r="AB12" s="4"/>
      <c r="AC12" s="4"/>
      <c r="AD12" s="4"/>
      <c r="AE12" s="4"/>
      <c r="AF12" s="4"/>
      <c r="AG12" s="4"/>
      <c r="AH12" s="4"/>
      <c r="AI12" s="4"/>
      <c r="AJ12" s="4"/>
      <c r="AK12" s="4"/>
    </row>
    <row r="13" spans="1:37" ht="15" thickBot="1" x14ac:dyDescent="0.2">
      <c r="A13" s="21" t="s">
        <v>168</v>
      </c>
      <c r="B13" s="4"/>
      <c r="C13" s="4"/>
      <c r="D13" s="4"/>
      <c r="E13" s="4"/>
      <c r="F13" s="4"/>
      <c r="G13" s="4"/>
      <c r="H13" s="4"/>
      <c r="I13" s="4"/>
      <c r="J13" s="4"/>
      <c r="K13" s="4"/>
      <c r="L13" s="4"/>
      <c r="M13" s="4"/>
      <c r="N13" s="59" t="s">
        <v>295</v>
      </c>
      <c r="O13" s="60"/>
      <c r="P13" s="4"/>
      <c r="Q13" s="137" t="s">
        <v>211</v>
      </c>
      <c r="R13" s="4"/>
      <c r="S13" s="4"/>
      <c r="T13" s="4"/>
      <c r="U13" s="4"/>
      <c r="V13" s="4"/>
      <c r="W13" s="4"/>
      <c r="X13" s="4"/>
      <c r="Y13" s="4"/>
      <c r="Z13" s="4"/>
      <c r="AA13" s="4"/>
      <c r="AB13" s="4"/>
      <c r="AC13" s="4"/>
      <c r="AD13" s="4"/>
      <c r="AE13" s="4"/>
      <c r="AF13" s="4"/>
      <c r="AG13" s="4"/>
      <c r="AH13" s="4"/>
      <c r="AI13" s="4"/>
      <c r="AJ13" s="4"/>
      <c r="AK13" s="4"/>
    </row>
    <row r="14" spans="1:37" x14ac:dyDescent="0.15">
      <c r="A14" s="4"/>
      <c r="B14" s="4"/>
      <c r="C14" s="4"/>
      <c r="D14" s="4"/>
      <c r="E14" s="4"/>
      <c r="F14" s="4"/>
      <c r="G14" s="4"/>
      <c r="H14" s="4"/>
      <c r="I14" s="4"/>
      <c r="J14" s="4"/>
      <c r="K14" s="4"/>
      <c r="L14" s="4"/>
      <c r="N14" s="302" t="s">
        <v>138</v>
      </c>
      <c r="O14" s="61"/>
      <c r="P14" s="4"/>
      <c r="Q14" s="363" t="s">
        <v>900</v>
      </c>
      <c r="R14" s="4"/>
      <c r="S14" s="9" t="s">
        <v>173</v>
      </c>
      <c r="T14" s="10"/>
      <c r="U14" s="10"/>
      <c r="V14" s="10"/>
      <c r="W14" s="10"/>
      <c r="X14" s="10"/>
      <c r="Y14" s="10"/>
      <c r="Z14" s="10"/>
      <c r="AA14" s="11"/>
      <c r="AB14" s="4"/>
      <c r="AC14" s="4"/>
      <c r="AD14" s="4"/>
      <c r="AE14" s="4"/>
      <c r="AF14" s="4"/>
      <c r="AG14" s="4"/>
      <c r="AH14" s="4"/>
      <c r="AI14" s="4"/>
      <c r="AJ14" s="4"/>
      <c r="AK14" s="4"/>
    </row>
    <row r="15" spans="1:37" x14ac:dyDescent="0.15">
      <c r="A15" s="3" t="s">
        <v>192</v>
      </c>
      <c r="B15" s="4"/>
      <c r="C15" s="4"/>
      <c r="D15" s="4"/>
      <c r="E15" s="4"/>
      <c r="F15" s="4"/>
      <c r="G15" s="4"/>
      <c r="H15" s="4"/>
      <c r="I15" s="4"/>
      <c r="J15" s="4"/>
      <c r="K15" s="4"/>
      <c r="L15" s="4"/>
      <c r="N15" s="302" t="s">
        <v>139</v>
      </c>
      <c r="O15" s="61"/>
      <c r="P15" s="4"/>
      <c r="Q15" s="347" t="s">
        <v>869</v>
      </c>
      <c r="R15" s="4"/>
      <c r="S15" s="12" t="s">
        <v>183</v>
      </c>
      <c r="T15" s="13"/>
      <c r="U15" s="13"/>
      <c r="V15" s="13"/>
      <c r="W15" s="13"/>
      <c r="X15" s="13"/>
      <c r="Y15" s="13"/>
      <c r="Z15" s="13"/>
      <c r="AA15" s="14"/>
      <c r="AB15" s="4"/>
      <c r="AC15" s="4"/>
      <c r="AD15" s="4"/>
      <c r="AE15" s="4"/>
      <c r="AF15" s="4"/>
      <c r="AG15" s="4"/>
      <c r="AH15" s="4"/>
      <c r="AI15" s="4"/>
      <c r="AJ15" s="4"/>
      <c r="AK15" s="4"/>
    </row>
    <row r="16" spans="1:37" x14ac:dyDescent="0.15">
      <c r="A16" s="117" t="s">
        <v>903</v>
      </c>
      <c r="B16" s="4"/>
      <c r="C16" s="4"/>
      <c r="D16" s="4"/>
      <c r="E16" s="4"/>
      <c r="F16" s="4"/>
      <c r="G16" s="4"/>
      <c r="H16" s="4"/>
      <c r="I16" s="4"/>
      <c r="J16" s="4"/>
      <c r="K16" s="4"/>
      <c r="L16" s="4"/>
      <c r="N16" s="302" t="s">
        <v>142</v>
      </c>
      <c r="O16" s="61"/>
      <c r="P16" s="4"/>
      <c r="Q16" s="326" t="s">
        <v>855</v>
      </c>
      <c r="R16" s="4"/>
      <c r="S16" s="12" t="s">
        <v>132</v>
      </c>
      <c r="T16" s="13"/>
      <c r="U16" s="13"/>
      <c r="V16" s="13"/>
      <c r="W16" s="13"/>
      <c r="X16" s="13"/>
      <c r="Y16" s="13"/>
      <c r="Z16" s="13"/>
      <c r="AA16" s="14"/>
      <c r="AB16" s="4"/>
      <c r="AC16" s="4"/>
      <c r="AD16" s="4"/>
      <c r="AE16" s="4"/>
      <c r="AF16" s="4"/>
      <c r="AG16" s="4"/>
      <c r="AH16" s="4"/>
      <c r="AI16" s="4"/>
      <c r="AJ16" s="4"/>
      <c r="AK16" s="4"/>
    </row>
    <row r="17" spans="1:37" x14ac:dyDescent="0.15">
      <c r="A17" s="117" t="s">
        <v>904</v>
      </c>
      <c r="B17" s="4"/>
      <c r="C17" s="4"/>
      <c r="D17" s="4"/>
      <c r="E17" s="4"/>
      <c r="F17" s="4"/>
      <c r="G17" s="4"/>
      <c r="H17" s="4"/>
      <c r="I17" s="4"/>
      <c r="J17" s="4"/>
      <c r="K17" s="4"/>
      <c r="L17" s="4"/>
      <c r="N17" s="302" t="s">
        <v>143</v>
      </c>
      <c r="O17" s="61"/>
      <c r="P17" s="4"/>
      <c r="Q17" s="212" t="s">
        <v>639</v>
      </c>
      <c r="R17" s="4"/>
      <c r="S17" s="12" t="s">
        <v>112</v>
      </c>
      <c r="T17" s="13"/>
      <c r="U17" s="13"/>
      <c r="V17" s="13"/>
      <c r="W17" s="13"/>
      <c r="X17" s="13"/>
      <c r="Y17" s="13"/>
      <c r="Z17" s="13"/>
      <c r="AA17" s="14"/>
      <c r="AB17" s="4"/>
      <c r="AC17" s="4"/>
      <c r="AD17" s="4"/>
      <c r="AE17" s="4"/>
      <c r="AF17" s="4"/>
      <c r="AG17" s="4"/>
      <c r="AH17" s="4"/>
      <c r="AI17" s="4"/>
      <c r="AJ17" s="4"/>
      <c r="AK17" s="4"/>
    </row>
    <row r="18" spans="1:37" x14ac:dyDescent="0.15">
      <c r="A18" s="117" t="s">
        <v>905</v>
      </c>
      <c r="B18" s="4"/>
      <c r="C18" s="4"/>
      <c r="D18" s="4"/>
      <c r="E18" s="4"/>
      <c r="F18" s="4"/>
      <c r="G18" s="4"/>
      <c r="H18" s="4"/>
      <c r="I18" s="4"/>
      <c r="J18" s="4"/>
      <c r="K18" s="4"/>
      <c r="L18" s="4"/>
      <c r="N18" s="302" t="s">
        <v>144</v>
      </c>
      <c r="O18" s="61"/>
      <c r="P18" s="4"/>
      <c r="Q18" s="138" t="s">
        <v>531</v>
      </c>
      <c r="R18" s="4"/>
      <c r="S18" s="12" t="s">
        <v>188</v>
      </c>
      <c r="T18" s="13"/>
      <c r="U18" s="13"/>
      <c r="V18" s="13"/>
      <c r="W18" s="13"/>
      <c r="X18" s="13"/>
      <c r="Y18" s="13"/>
      <c r="Z18" s="13"/>
      <c r="AA18" s="14"/>
      <c r="AB18" s="4"/>
      <c r="AC18" s="4"/>
      <c r="AD18" s="4"/>
      <c r="AE18" s="4"/>
      <c r="AF18" s="4"/>
      <c r="AG18" s="4"/>
      <c r="AH18" s="4"/>
      <c r="AI18" s="4"/>
      <c r="AJ18" s="4"/>
      <c r="AK18" s="4"/>
    </row>
    <row r="19" spans="1:37" x14ac:dyDescent="0.15">
      <c r="A19" s="117" t="s">
        <v>906</v>
      </c>
      <c r="B19" s="4"/>
      <c r="C19" s="4"/>
      <c r="D19" s="4"/>
      <c r="E19" s="4"/>
      <c r="F19" s="4"/>
      <c r="G19" s="4"/>
      <c r="H19" s="4"/>
      <c r="I19" s="4"/>
      <c r="J19" s="4"/>
      <c r="K19" s="4"/>
      <c r="L19" s="4"/>
      <c r="N19" s="302" t="s">
        <v>145</v>
      </c>
      <c r="O19" s="61"/>
      <c r="P19" s="4"/>
      <c r="Q19" s="139" t="s">
        <v>449</v>
      </c>
      <c r="R19" s="4"/>
      <c r="S19" s="12" t="s">
        <v>156</v>
      </c>
      <c r="T19" s="13"/>
      <c r="U19" s="13"/>
      <c r="V19" s="13"/>
      <c r="W19" s="13"/>
      <c r="X19" s="13"/>
      <c r="Y19" s="13"/>
      <c r="Z19" s="13"/>
      <c r="AA19" s="14"/>
      <c r="AB19" s="4"/>
      <c r="AC19" s="4"/>
      <c r="AD19" s="4"/>
      <c r="AE19" s="4"/>
      <c r="AF19" s="4"/>
      <c r="AG19" s="4"/>
      <c r="AH19" s="4"/>
      <c r="AI19" s="4"/>
      <c r="AJ19" s="4"/>
      <c r="AK19" s="4"/>
    </row>
    <row r="20" spans="1:37" x14ac:dyDescent="0.15">
      <c r="A20" s="117" t="s">
        <v>907</v>
      </c>
      <c r="B20" s="4"/>
      <c r="C20" s="4"/>
      <c r="D20" s="4"/>
      <c r="E20" s="4"/>
      <c r="F20" s="4"/>
      <c r="G20" s="4"/>
      <c r="H20" s="4"/>
      <c r="I20" s="4"/>
      <c r="J20" s="4"/>
      <c r="K20" s="4"/>
      <c r="L20" s="4"/>
      <c r="N20" s="302" t="s">
        <v>146</v>
      </c>
      <c r="O20" s="62"/>
      <c r="P20" s="155"/>
      <c r="Q20" s="140" t="s">
        <v>441</v>
      </c>
      <c r="R20" s="4"/>
      <c r="S20" s="12" t="s">
        <v>110</v>
      </c>
      <c r="T20" s="13"/>
      <c r="U20" s="13"/>
      <c r="V20" s="13"/>
      <c r="W20" s="13"/>
      <c r="X20" s="13"/>
      <c r="Y20" s="13"/>
      <c r="Z20" s="13"/>
      <c r="AA20" s="14"/>
      <c r="AB20" s="4"/>
      <c r="AC20" s="4"/>
      <c r="AD20" s="4"/>
      <c r="AE20" s="4"/>
      <c r="AF20" s="4"/>
      <c r="AG20" s="4"/>
      <c r="AH20" s="4"/>
      <c r="AI20" s="4"/>
      <c r="AJ20" s="4"/>
      <c r="AK20" s="4"/>
    </row>
    <row r="21" spans="1:37" ht="14" thickBot="1" x14ac:dyDescent="0.2">
      <c r="A21" s="117" t="s">
        <v>908</v>
      </c>
      <c r="B21" s="4"/>
      <c r="C21" s="4"/>
      <c r="D21" s="4"/>
      <c r="E21" s="4"/>
      <c r="F21" s="4"/>
      <c r="G21" s="4"/>
      <c r="H21" s="4"/>
      <c r="I21" s="4"/>
      <c r="J21" s="4"/>
      <c r="K21" s="4"/>
      <c r="L21" s="4"/>
      <c r="N21" s="302" t="s">
        <v>147</v>
      </c>
      <c r="O21" s="61"/>
      <c r="P21" s="4"/>
      <c r="Q21" s="141" t="s">
        <v>126</v>
      </c>
      <c r="R21" s="4"/>
      <c r="S21" s="12" t="s">
        <v>169</v>
      </c>
      <c r="T21" s="13"/>
      <c r="U21" s="13"/>
      <c r="V21" s="13"/>
      <c r="W21" s="13"/>
      <c r="X21" s="13"/>
      <c r="Y21" s="13"/>
      <c r="Z21" s="13"/>
      <c r="AA21" s="14"/>
      <c r="AB21" s="4"/>
      <c r="AC21" s="4"/>
      <c r="AD21" s="4"/>
      <c r="AE21" s="4"/>
      <c r="AF21" s="4"/>
      <c r="AG21" s="4"/>
      <c r="AH21" s="4"/>
      <c r="AI21" s="4"/>
      <c r="AJ21" s="4"/>
      <c r="AK21" s="4"/>
    </row>
    <row r="22" spans="1:37" ht="14" thickBot="1" x14ac:dyDescent="0.2">
      <c r="A22" s="4" t="s">
        <v>442</v>
      </c>
      <c r="B22" s="4"/>
      <c r="C22" s="4"/>
      <c r="D22" s="4"/>
      <c r="E22" s="4"/>
      <c r="F22" s="4"/>
      <c r="G22" s="4"/>
      <c r="H22" s="4"/>
      <c r="I22" s="4"/>
      <c r="J22" s="4"/>
      <c r="K22" s="4"/>
      <c r="L22" s="4"/>
      <c r="N22" s="302" t="s">
        <v>148</v>
      </c>
      <c r="O22" s="61"/>
      <c r="P22" s="4"/>
      <c r="Q22" s="4"/>
      <c r="R22" s="4"/>
      <c r="S22" s="15" t="s">
        <v>213</v>
      </c>
      <c r="T22" s="16"/>
      <c r="U22" s="16"/>
      <c r="V22" s="16"/>
      <c r="W22" s="16"/>
      <c r="X22" s="16"/>
      <c r="Y22" s="16"/>
      <c r="Z22" s="16"/>
      <c r="AA22" s="17"/>
      <c r="AB22" s="4"/>
      <c r="AC22" s="4"/>
      <c r="AD22" s="4"/>
      <c r="AE22" s="4"/>
      <c r="AF22" s="4"/>
      <c r="AG22" s="4"/>
      <c r="AH22" s="4"/>
      <c r="AI22" s="4"/>
      <c r="AJ22" s="4"/>
      <c r="AK22" s="4"/>
    </row>
    <row r="23" spans="1:37" x14ac:dyDescent="0.15">
      <c r="A23" s="4" t="s">
        <v>443</v>
      </c>
      <c r="B23" s="4"/>
      <c r="C23" s="4"/>
      <c r="D23" s="4"/>
      <c r="E23" s="4"/>
      <c r="F23" s="4"/>
      <c r="G23" s="4"/>
      <c r="H23" s="4"/>
      <c r="I23" s="4"/>
      <c r="J23" s="19"/>
      <c r="K23" s="4"/>
      <c r="L23" s="4"/>
      <c r="N23" s="63" t="s">
        <v>448</v>
      </c>
      <c r="O23" s="61"/>
      <c r="P23" s="4"/>
      <c r="Q23" s="4"/>
      <c r="R23" s="4"/>
      <c r="S23" s="4"/>
      <c r="T23" s="4"/>
      <c r="U23" s="4"/>
      <c r="V23" s="4"/>
      <c r="W23" s="4"/>
      <c r="X23" s="4"/>
      <c r="Y23" s="4"/>
      <c r="Z23" s="4"/>
      <c r="AA23" s="4"/>
      <c r="AB23" s="4"/>
      <c r="AC23" s="4"/>
      <c r="AD23" s="4"/>
      <c r="AE23" s="4"/>
      <c r="AF23" s="4"/>
      <c r="AG23" s="4"/>
      <c r="AH23" s="4"/>
      <c r="AI23" s="4"/>
      <c r="AJ23" s="4"/>
      <c r="AK23" s="4"/>
    </row>
    <row r="24" spans="1:37" x14ac:dyDescent="0.15">
      <c r="A24" s="4" t="s">
        <v>444</v>
      </c>
      <c r="B24" s="4"/>
      <c r="C24" s="4"/>
      <c r="D24" s="4"/>
      <c r="E24" s="4"/>
      <c r="F24" s="4"/>
      <c r="G24" s="4"/>
      <c r="H24" s="4"/>
      <c r="I24" s="4"/>
      <c r="J24" s="19"/>
      <c r="K24" s="4"/>
      <c r="L24" s="4"/>
      <c r="N24" s="302" t="s">
        <v>594</v>
      </c>
      <c r="O24" s="61"/>
      <c r="P24" s="4"/>
      <c r="Q24" s="4"/>
      <c r="R24" s="4"/>
      <c r="S24" s="4"/>
      <c r="T24" s="4"/>
      <c r="U24" s="4"/>
      <c r="V24" s="4"/>
      <c r="W24" s="4"/>
      <c r="X24" s="4"/>
      <c r="Y24" s="4"/>
      <c r="Z24" s="4"/>
      <c r="AA24" s="4"/>
      <c r="AB24" s="4"/>
      <c r="AC24" s="4"/>
      <c r="AD24" s="4"/>
      <c r="AE24" s="4"/>
      <c r="AF24" s="4"/>
      <c r="AG24" s="4"/>
      <c r="AH24" s="4"/>
      <c r="AI24" s="4"/>
      <c r="AJ24" s="4"/>
      <c r="AK24" s="4"/>
    </row>
    <row r="25" spans="1:37" x14ac:dyDescent="0.15">
      <c r="A25" s="4" t="s">
        <v>445</v>
      </c>
      <c r="B25" s="4"/>
      <c r="C25" s="4"/>
      <c r="D25" s="4"/>
      <c r="E25" s="4"/>
      <c r="F25" s="4"/>
      <c r="G25" s="4"/>
      <c r="H25" s="4"/>
      <c r="I25" s="4"/>
      <c r="J25" s="4"/>
      <c r="K25" s="4"/>
      <c r="L25" s="4"/>
      <c r="N25" s="302" t="s">
        <v>125</v>
      </c>
      <c r="O25" s="61"/>
      <c r="P25" s="4"/>
      <c r="Q25" s="4"/>
      <c r="R25" s="4"/>
      <c r="S25" s="4"/>
      <c r="T25" s="4"/>
      <c r="U25" s="4"/>
      <c r="V25" s="4"/>
      <c r="W25" s="4"/>
      <c r="X25" s="4"/>
      <c r="Y25" s="4"/>
      <c r="Z25" s="4"/>
      <c r="AA25" s="4"/>
      <c r="AB25" s="4"/>
      <c r="AC25" s="4"/>
      <c r="AD25" s="4"/>
      <c r="AE25" s="4"/>
      <c r="AF25" s="4"/>
      <c r="AG25" s="4"/>
      <c r="AH25" s="4"/>
      <c r="AI25" s="4"/>
      <c r="AJ25" s="4"/>
      <c r="AK25" s="4"/>
    </row>
    <row r="26" spans="1:37" x14ac:dyDescent="0.15">
      <c r="A26" s="4" t="s">
        <v>446</v>
      </c>
      <c r="B26" s="4"/>
      <c r="C26" s="4"/>
      <c r="D26" s="4"/>
      <c r="E26" s="4"/>
      <c r="F26" s="4"/>
      <c r="G26" s="4"/>
      <c r="H26" s="4"/>
      <c r="I26" s="4"/>
      <c r="J26" s="4"/>
      <c r="L26" s="4"/>
      <c r="N26" s="302" t="s">
        <v>600</v>
      </c>
      <c r="O26" s="61"/>
      <c r="P26" s="4"/>
      <c r="Q26" s="4"/>
      <c r="R26" s="4"/>
      <c r="S26" s="4"/>
      <c r="T26" s="4"/>
      <c r="U26" s="4"/>
      <c r="V26" s="4"/>
      <c r="W26" s="4"/>
      <c r="X26" s="4"/>
      <c r="Y26" s="4"/>
      <c r="Z26" s="4"/>
      <c r="AA26" s="4"/>
      <c r="AB26" s="4"/>
      <c r="AC26" s="4"/>
      <c r="AD26" s="4"/>
      <c r="AE26" s="4"/>
      <c r="AF26" s="4"/>
      <c r="AG26" s="4"/>
      <c r="AH26" s="4"/>
      <c r="AI26" s="4"/>
      <c r="AJ26" s="4"/>
      <c r="AK26" s="4"/>
    </row>
    <row r="27" spans="1:37" x14ac:dyDescent="0.15">
      <c r="A27" s="117" t="s">
        <v>450</v>
      </c>
      <c r="B27" s="4"/>
      <c r="C27" s="4"/>
      <c r="D27" s="4"/>
      <c r="E27" s="4"/>
      <c r="F27" s="4"/>
      <c r="G27" s="4"/>
      <c r="H27" s="4"/>
      <c r="I27" s="4"/>
      <c r="J27" s="4"/>
      <c r="K27" s="4"/>
      <c r="L27" s="4"/>
      <c r="N27" s="302" t="s">
        <v>635</v>
      </c>
      <c r="O27" s="61"/>
      <c r="P27" s="4"/>
      <c r="Q27" s="4"/>
      <c r="R27" s="4"/>
      <c r="S27" s="4"/>
      <c r="T27" s="4"/>
      <c r="U27" s="4"/>
      <c r="V27" s="4"/>
      <c r="W27" s="4"/>
      <c r="X27" s="4"/>
      <c r="Y27" s="4"/>
      <c r="Z27" s="4"/>
      <c r="AA27" s="4"/>
      <c r="AB27" s="4"/>
      <c r="AC27" s="4"/>
      <c r="AD27" s="4"/>
      <c r="AE27" s="4"/>
      <c r="AF27" s="4"/>
      <c r="AG27" s="4"/>
      <c r="AH27" s="4"/>
      <c r="AI27" s="4"/>
      <c r="AJ27" s="4"/>
      <c r="AK27" s="4"/>
    </row>
    <row r="28" spans="1:37" x14ac:dyDescent="0.15">
      <c r="A28" s="117" t="s">
        <v>530</v>
      </c>
      <c r="B28" s="4"/>
      <c r="C28" s="4"/>
      <c r="D28" s="4"/>
      <c r="E28" s="4"/>
      <c r="F28" s="4"/>
      <c r="G28" s="4"/>
      <c r="H28" s="4"/>
      <c r="I28" s="4"/>
      <c r="J28" s="4"/>
      <c r="K28" s="4"/>
      <c r="L28" s="4"/>
      <c r="N28" s="302" t="s">
        <v>608</v>
      </c>
      <c r="O28" s="61"/>
      <c r="P28" s="4"/>
      <c r="Q28" s="4"/>
      <c r="R28" s="4"/>
      <c r="S28" s="4"/>
      <c r="T28" s="4"/>
      <c r="U28" s="4"/>
      <c r="V28" s="4"/>
      <c r="W28" s="4"/>
      <c r="X28" s="4"/>
      <c r="Y28" s="4"/>
      <c r="Z28" s="4"/>
      <c r="AA28" s="4"/>
      <c r="AB28" s="4"/>
      <c r="AC28" s="4"/>
      <c r="AD28" s="4"/>
      <c r="AE28" s="4"/>
      <c r="AF28" s="4"/>
      <c r="AG28" s="4"/>
      <c r="AH28" s="4"/>
      <c r="AI28" s="4"/>
      <c r="AJ28" s="4"/>
      <c r="AK28" s="4"/>
    </row>
    <row r="29" spans="1:37" x14ac:dyDescent="0.15">
      <c r="A29" s="117" t="s">
        <v>532</v>
      </c>
      <c r="B29" s="4"/>
      <c r="C29" s="4"/>
      <c r="D29" s="4"/>
      <c r="E29" s="4"/>
      <c r="F29" s="4"/>
      <c r="G29" s="4"/>
      <c r="H29" s="4"/>
      <c r="I29" s="4"/>
      <c r="J29" s="4"/>
      <c r="K29" s="4"/>
      <c r="L29" s="4"/>
      <c r="N29" s="302" t="s">
        <v>682</v>
      </c>
      <c r="O29" s="61"/>
      <c r="P29" s="4"/>
      <c r="Q29" s="4"/>
      <c r="R29" s="4"/>
      <c r="S29" s="4"/>
      <c r="T29" s="4"/>
      <c r="U29" s="4"/>
      <c r="V29" s="4"/>
      <c r="W29" s="4"/>
      <c r="X29" s="4"/>
      <c r="Y29" s="4"/>
      <c r="Z29" s="4"/>
      <c r="AA29" s="4"/>
      <c r="AB29" s="4"/>
      <c r="AC29" s="4"/>
      <c r="AD29" s="4"/>
      <c r="AE29" s="4"/>
      <c r="AF29" s="4"/>
      <c r="AG29" s="4"/>
      <c r="AH29" s="4"/>
      <c r="AI29" s="4"/>
      <c r="AJ29" s="4"/>
      <c r="AK29" s="4"/>
    </row>
    <row r="30" spans="1:37" x14ac:dyDescent="0.15">
      <c r="A30" s="117" t="s">
        <v>640</v>
      </c>
      <c r="B30" s="4"/>
      <c r="C30" s="4"/>
      <c r="D30" s="4"/>
      <c r="E30" s="4"/>
      <c r="F30" s="4"/>
      <c r="G30" s="4"/>
      <c r="H30" s="4"/>
      <c r="I30" s="4"/>
      <c r="J30" s="4"/>
      <c r="K30" s="4"/>
      <c r="L30" s="4"/>
      <c r="N30" s="302" t="s">
        <v>685</v>
      </c>
      <c r="O30" s="61"/>
      <c r="P30" s="4"/>
      <c r="Q30" s="4"/>
      <c r="R30" s="4"/>
      <c r="S30" s="4"/>
      <c r="T30" s="4"/>
      <c r="U30" s="4"/>
      <c r="V30" s="4"/>
      <c r="W30" s="4"/>
      <c r="X30" s="4"/>
      <c r="Y30" s="4"/>
      <c r="Z30" s="4"/>
      <c r="AA30" s="4"/>
      <c r="AB30" s="4"/>
      <c r="AC30" s="4"/>
      <c r="AD30" s="4"/>
      <c r="AE30" s="4"/>
      <c r="AF30" s="4"/>
      <c r="AG30" s="4"/>
      <c r="AH30" s="4"/>
      <c r="AI30" s="4"/>
      <c r="AJ30" s="4"/>
      <c r="AK30" s="4"/>
    </row>
    <row r="31" spans="1:37" x14ac:dyDescent="0.15">
      <c r="A31" s="117" t="s">
        <v>856</v>
      </c>
      <c r="L31" s="4"/>
      <c r="N31" s="302" t="s">
        <v>801</v>
      </c>
      <c r="O31" s="61"/>
      <c r="P31" s="4"/>
      <c r="Q31" s="4"/>
      <c r="R31" s="4"/>
      <c r="S31" s="4"/>
      <c r="T31" s="4"/>
      <c r="U31" s="4"/>
      <c r="V31" s="4"/>
      <c r="W31" s="4"/>
      <c r="X31" s="4"/>
      <c r="Y31" s="4"/>
      <c r="Z31" s="4"/>
      <c r="AA31" s="4"/>
      <c r="AB31" s="4"/>
      <c r="AC31" s="4"/>
      <c r="AD31" s="4"/>
      <c r="AE31" s="4"/>
      <c r="AF31" s="4"/>
      <c r="AG31" s="4"/>
      <c r="AH31" s="4"/>
      <c r="AI31" s="4"/>
      <c r="AJ31" s="4"/>
      <c r="AK31" s="4"/>
    </row>
    <row r="32" spans="1:37" x14ac:dyDescent="0.15">
      <c r="A32" s="117" t="s">
        <v>871</v>
      </c>
      <c r="B32" s="4"/>
      <c r="C32" s="4"/>
      <c r="D32" s="4"/>
      <c r="E32" s="4"/>
      <c r="F32" s="4"/>
      <c r="G32" s="4"/>
      <c r="H32" s="4"/>
      <c r="I32" s="4"/>
      <c r="J32" s="4"/>
      <c r="K32" s="4"/>
      <c r="L32" s="4"/>
      <c r="N32" s="302" t="s">
        <v>688</v>
      </c>
      <c r="O32" s="61"/>
      <c r="P32" s="4"/>
      <c r="Q32" s="4"/>
      <c r="R32" s="4"/>
      <c r="S32" s="4"/>
      <c r="T32" s="4"/>
      <c r="U32" s="4"/>
      <c r="V32" s="4"/>
      <c r="W32" s="4"/>
      <c r="X32" s="4"/>
      <c r="Y32" s="4"/>
      <c r="Z32" s="4"/>
      <c r="AA32" s="4"/>
      <c r="AB32" s="4"/>
      <c r="AC32" s="4"/>
      <c r="AD32" s="4"/>
      <c r="AE32" s="4"/>
      <c r="AF32" s="4"/>
      <c r="AG32" s="4"/>
      <c r="AH32" s="4"/>
      <c r="AI32" s="4"/>
      <c r="AJ32" s="4"/>
      <c r="AK32" s="4"/>
    </row>
    <row r="33" spans="1:37" x14ac:dyDescent="0.15">
      <c r="A33" s="117" t="s">
        <v>909</v>
      </c>
      <c r="B33" s="4"/>
      <c r="C33" s="4"/>
      <c r="D33" s="4"/>
      <c r="E33" s="4"/>
      <c r="F33" s="4"/>
      <c r="G33" s="4"/>
      <c r="H33" s="4"/>
      <c r="I33" s="4"/>
      <c r="J33" s="19"/>
      <c r="K33" s="4"/>
      <c r="L33" s="4"/>
      <c r="N33" s="302" t="s">
        <v>690</v>
      </c>
      <c r="O33" s="61"/>
      <c r="P33" s="4"/>
      <c r="Q33" s="4"/>
      <c r="R33" s="4"/>
      <c r="S33" s="4"/>
      <c r="T33" s="4"/>
      <c r="U33" s="4"/>
      <c r="V33" s="4"/>
      <c r="W33" s="4"/>
      <c r="X33" s="4"/>
      <c r="Y33" s="4"/>
      <c r="Z33" s="4"/>
      <c r="AA33" s="4"/>
      <c r="AB33" s="4"/>
      <c r="AC33" s="4"/>
      <c r="AD33" s="4"/>
      <c r="AE33" s="4"/>
      <c r="AF33" s="4"/>
      <c r="AG33" s="4"/>
      <c r="AH33" s="4"/>
      <c r="AI33" s="4"/>
      <c r="AJ33" s="4"/>
      <c r="AK33" s="4"/>
    </row>
    <row r="34" spans="1:37" ht="14" x14ac:dyDescent="0.15">
      <c r="A34" s="21" t="s">
        <v>447</v>
      </c>
      <c r="B34" s="4"/>
      <c r="C34" s="4"/>
      <c r="D34" s="4"/>
      <c r="E34" s="4"/>
      <c r="F34" s="4"/>
      <c r="G34" s="4"/>
      <c r="H34" s="4"/>
      <c r="I34" s="4"/>
      <c r="J34" s="4"/>
      <c r="K34" s="4"/>
      <c r="L34" s="4"/>
      <c r="N34" s="302" t="s">
        <v>695</v>
      </c>
      <c r="O34" s="61"/>
      <c r="P34" s="4"/>
      <c r="Q34" s="4"/>
      <c r="R34" s="4"/>
      <c r="S34" s="4"/>
      <c r="T34" s="4"/>
      <c r="U34" s="4"/>
      <c r="V34" s="4"/>
      <c r="W34" s="4"/>
      <c r="X34" s="4"/>
      <c r="Y34" s="4"/>
      <c r="Z34" s="4"/>
      <c r="AA34" s="4"/>
      <c r="AB34" s="4"/>
      <c r="AC34" s="4"/>
      <c r="AD34" s="4"/>
      <c r="AE34" s="4"/>
      <c r="AF34" s="4"/>
      <c r="AG34" s="4"/>
      <c r="AH34" s="4"/>
      <c r="AI34" s="4"/>
      <c r="AJ34" s="4"/>
      <c r="AK34" s="4"/>
    </row>
    <row r="35" spans="1:37" x14ac:dyDescent="0.15">
      <c r="A35" s="3"/>
      <c r="B35" s="4"/>
      <c r="C35" s="4"/>
      <c r="D35" s="4"/>
      <c r="E35" s="4"/>
      <c r="F35" s="4"/>
      <c r="G35" s="4"/>
      <c r="H35" s="4"/>
      <c r="I35" s="4"/>
      <c r="J35" s="4"/>
      <c r="K35" s="4"/>
      <c r="L35" s="4"/>
      <c r="N35" s="302" t="s">
        <v>832</v>
      </c>
      <c r="O35" s="61"/>
      <c r="P35" s="4"/>
      <c r="Q35" s="4"/>
      <c r="R35" s="4"/>
      <c r="S35" s="4"/>
      <c r="T35" s="4"/>
      <c r="U35" s="4"/>
      <c r="V35" s="4"/>
      <c r="W35" s="4"/>
      <c r="X35" s="4"/>
      <c r="Y35" s="4"/>
      <c r="Z35" s="4"/>
      <c r="AA35" s="4"/>
      <c r="AB35" s="4"/>
      <c r="AC35" s="4"/>
      <c r="AD35" s="4"/>
      <c r="AE35" s="4"/>
      <c r="AF35" s="4"/>
      <c r="AG35" s="4"/>
      <c r="AH35" s="4"/>
      <c r="AI35" s="4"/>
      <c r="AJ35" s="4"/>
      <c r="AK35" s="4"/>
    </row>
    <row r="36" spans="1:37" x14ac:dyDescent="0.15">
      <c r="A36" s="3" t="s">
        <v>172</v>
      </c>
      <c r="B36" s="4"/>
      <c r="C36" s="4"/>
      <c r="D36" s="4"/>
      <c r="E36" s="4"/>
      <c r="F36" s="4"/>
      <c r="G36" s="4"/>
      <c r="H36" s="4"/>
      <c r="I36" s="4"/>
      <c r="J36" s="4"/>
      <c r="K36" s="4"/>
      <c r="L36" s="4"/>
      <c r="N36" s="302" t="s">
        <v>835</v>
      </c>
      <c r="O36" s="61"/>
      <c r="P36" s="4"/>
      <c r="Q36" s="4"/>
      <c r="R36" s="4"/>
      <c r="S36" s="4"/>
      <c r="T36" s="4"/>
      <c r="U36" s="4"/>
      <c r="V36" s="4"/>
      <c r="W36" s="4"/>
      <c r="X36" s="4"/>
      <c r="Y36" s="4"/>
      <c r="Z36" s="4"/>
      <c r="AA36" s="4"/>
      <c r="AB36" s="4"/>
      <c r="AC36" s="4"/>
      <c r="AD36" s="4"/>
      <c r="AE36" s="4"/>
      <c r="AF36" s="4"/>
      <c r="AG36" s="4"/>
      <c r="AH36" s="4"/>
      <c r="AI36" s="4"/>
      <c r="AJ36" s="4"/>
      <c r="AK36" s="4"/>
    </row>
    <row r="37" spans="1:37" x14ac:dyDescent="0.15">
      <c r="A37" s="117" t="s">
        <v>901</v>
      </c>
      <c r="B37" s="4"/>
      <c r="C37" s="4"/>
      <c r="D37" s="4"/>
      <c r="E37" s="4"/>
      <c r="F37" s="4"/>
      <c r="G37" s="4"/>
      <c r="H37" s="4"/>
      <c r="I37" s="4"/>
      <c r="J37" s="4"/>
      <c r="K37" s="4"/>
      <c r="L37" s="4"/>
      <c r="N37" s="302" t="s">
        <v>838</v>
      </c>
      <c r="O37" s="61"/>
      <c r="P37" s="4"/>
      <c r="Q37" s="4"/>
      <c r="R37" s="4"/>
      <c r="S37" s="4"/>
      <c r="T37" s="4"/>
      <c r="U37" s="4"/>
      <c r="V37" s="4"/>
      <c r="W37" s="4"/>
      <c r="X37" s="4"/>
      <c r="Y37" s="4"/>
      <c r="Z37" s="4"/>
      <c r="AA37" s="4"/>
      <c r="AB37" s="4"/>
      <c r="AC37" s="4"/>
      <c r="AD37" s="4"/>
      <c r="AE37" s="4"/>
      <c r="AF37" s="4"/>
      <c r="AG37" s="4"/>
      <c r="AH37" s="4"/>
      <c r="AI37" s="4"/>
      <c r="AJ37" s="4"/>
      <c r="AK37" s="4"/>
    </row>
    <row r="38" spans="1:37" ht="14" thickBot="1" x14ac:dyDescent="0.2">
      <c r="A38" s="117" t="s">
        <v>902</v>
      </c>
      <c r="B38" s="4"/>
      <c r="C38" s="4"/>
      <c r="D38" s="4"/>
      <c r="E38" s="4"/>
      <c r="F38" s="4"/>
      <c r="H38" s="4"/>
      <c r="I38" s="4"/>
      <c r="K38" s="4"/>
      <c r="L38" s="4"/>
      <c r="N38" s="303" t="s">
        <v>842</v>
      </c>
      <c r="O38" s="64"/>
      <c r="P38" s="4"/>
      <c r="Q38" s="4"/>
      <c r="R38" s="4"/>
      <c r="S38" s="4"/>
      <c r="T38" s="4"/>
      <c r="U38" s="4"/>
      <c r="V38" s="4"/>
      <c r="W38" s="4"/>
      <c r="X38" s="4"/>
      <c r="Y38" s="4"/>
      <c r="Z38" s="4"/>
      <c r="AA38" s="4"/>
      <c r="AB38" s="4"/>
      <c r="AC38" s="4"/>
      <c r="AD38" s="4"/>
      <c r="AE38" s="4"/>
      <c r="AF38" s="4"/>
      <c r="AG38" s="4"/>
      <c r="AH38" s="4"/>
      <c r="AI38" s="4"/>
      <c r="AJ38" s="4"/>
      <c r="AK38" s="4"/>
    </row>
    <row r="39" spans="1:37" x14ac:dyDescent="0.15">
      <c r="A39" s="4" t="s">
        <v>403</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row>
    <row r="40" spans="1:37" x14ac:dyDescent="0.15">
      <c r="A40" s="4" t="s">
        <v>404</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row>
    <row r="41" spans="1:37" x14ac:dyDescent="0.15">
      <c r="A41" s="4" t="s">
        <v>405</v>
      </c>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row>
    <row r="42" spans="1:37" x14ac:dyDescent="0.15">
      <c r="A42" s="4" t="s">
        <v>406</v>
      </c>
      <c r="G42" s="108"/>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row>
    <row r="43" spans="1:37" x14ac:dyDescent="0.15">
      <c r="A43" s="4" t="s">
        <v>407</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row>
    <row r="44" spans="1:37" ht="16" x14ac:dyDescent="0.2">
      <c r="A44" s="132" t="s">
        <v>408</v>
      </c>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row>
    <row r="45" spans="1:37" x14ac:dyDescent="0.1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row>
    <row r="46" spans="1:37" x14ac:dyDescent="0.15">
      <c r="A46" s="4" t="s">
        <v>127</v>
      </c>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row>
    <row r="47" spans="1:37" x14ac:dyDescent="0.15">
      <c r="A47" s="4" t="s">
        <v>116</v>
      </c>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row>
    <row r="48" spans="1:37" x14ac:dyDescent="0.15">
      <c r="A48" s="4" t="s">
        <v>117</v>
      </c>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row>
    <row r="49" spans="1:37" x14ac:dyDescent="0.15">
      <c r="A49" s="4" t="s">
        <v>118</v>
      </c>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row>
    <row r="50" spans="1:37" x14ac:dyDescent="0.1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row>
    <row r="51" spans="1:37" x14ac:dyDescent="0.15">
      <c r="A51" s="4" t="s">
        <v>120</v>
      </c>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row>
    <row r="52" spans="1:37" x14ac:dyDescent="0.15">
      <c r="A52" s="117" t="s">
        <v>451</v>
      </c>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1:37" x14ac:dyDescent="0.15">
      <c r="A53" s="4" t="s">
        <v>121</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row>
    <row r="54" spans="1:37" x14ac:dyDescent="0.15">
      <c r="A54" s="4" t="s">
        <v>122</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row>
    <row r="55" spans="1:37" ht="16" x14ac:dyDescent="0.2">
      <c r="A55" s="133"/>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row>
    <row r="56" spans="1:37" x14ac:dyDescent="0.15">
      <c r="A56" s="65" t="s">
        <v>123</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row>
    <row r="57" spans="1:37" x14ac:dyDescent="0.15">
      <c r="A57" s="4" t="s">
        <v>124</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row>
    <row r="58" spans="1:37" ht="16" x14ac:dyDescent="0.2">
      <c r="A58" s="133" t="s">
        <v>119</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row>
    <row r="59" spans="1:37" ht="16" x14ac:dyDescent="0.2">
      <c r="A59" s="132" t="s">
        <v>114</v>
      </c>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row>
    <row r="60" spans="1:37" ht="16" x14ac:dyDescent="0.2">
      <c r="A60" s="133" t="s">
        <v>115</v>
      </c>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row>
    <row r="61" spans="1:37" x14ac:dyDescent="0.1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row>
    <row r="62" spans="1:37" x14ac:dyDescent="0.1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row>
    <row r="63" spans="1:37" x14ac:dyDescent="0.1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row>
    <row r="64" spans="1:37" x14ac:dyDescent="0.1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row>
    <row r="65" spans="1:37" x14ac:dyDescent="0.1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row>
    <row r="66" spans="1:37" x14ac:dyDescent="0.1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1:37" x14ac:dyDescent="0.1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row>
    <row r="68" spans="1:37" x14ac:dyDescent="0.1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row>
    <row r="69" spans="1:37" x14ac:dyDescent="0.1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row>
    <row r="70" spans="1:37" x14ac:dyDescent="0.1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row>
    <row r="71" spans="1:37" x14ac:dyDescent="0.1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row>
    <row r="72" spans="1:37" x14ac:dyDescent="0.1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row>
    <row r="73" spans="1:37" x14ac:dyDescent="0.1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row>
    <row r="74" spans="1:37" x14ac:dyDescent="0.1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row>
    <row r="75" spans="1:37" x14ac:dyDescent="0.1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row>
    <row r="76" spans="1:37" x14ac:dyDescent="0.1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row>
    <row r="77" spans="1:37" x14ac:dyDescent="0.1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row>
    <row r="78" spans="1:37" x14ac:dyDescent="0.1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row>
    <row r="79" spans="1:37" x14ac:dyDescent="0.1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row>
    <row r="80" spans="1:37" x14ac:dyDescent="0.1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row>
    <row r="81" spans="1:37" x14ac:dyDescent="0.15">
      <c r="A81" s="4"/>
      <c r="B81" s="4"/>
      <c r="C81" s="4"/>
      <c r="D81" s="4"/>
      <c r="E81" s="4"/>
      <c r="F81" s="4"/>
      <c r="G81" s="4"/>
      <c r="H81" s="4"/>
      <c r="I81" s="4"/>
      <c r="J81" s="4"/>
      <c r="K81" s="4"/>
      <c r="L81" s="4"/>
      <c r="M81" s="4"/>
      <c r="N81" s="4"/>
      <c r="O81" s="4"/>
      <c r="P81" s="4"/>
      <c r="Q81" s="4"/>
      <c r="R81" s="4"/>
      <c r="S81" s="4"/>
      <c r="T81" s="4" t="s">
        <v>157</v>
      </c>
      <c r="U81" s="4"/>
      <c r="V81" s="4"/>
      <c r="W81" s="4"/>
      <c r="X81" s="4"/>
      <c r="Y81" s="4"/>
      <c r="Z81" s="4"/>
      <c r="AA81" s="4"/>
      <c r="AB81" s="4"/>
      <c r="AC81" s="4"/>
      <c r="AD81" s="4"/>
      <c r="AE81" s="4"/>
      <c r="AF81" s="4"/>
      <c r="AG81" s="4"/>
      <c r="AH81" s="4"/>
      <c r="AI81" s="4"/>
      <c r="AJ81" s="4"/>
      <c r="AK81" s="4"/>
    </row>
    <row r="82" spans="1:37" x14ac:dyDescent="0.1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row>
    <row r="83" spans="1:37" x14ac:dyDescent="0.1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row>
    <row r="84" spans="1:37" x14ac:dyDescent="0.1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row>
    <row r="85" spans="1:37" x14ac:dyDescent="0.1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row>
    <row r="86" spans="1:37" x14ac:dyDescent="0.1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row>
    <row r="87" spans="1:37" x14ac:dyDescent="0.1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row>
    <row r="88" spans="1:37" x14ac:dyDescent="0.1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row>
    <row r="89" spans="1:37" x14ac:dyDescent="0.1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row>
    <row r="90" spans="1:37" x14ac:dyDescent="0.1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row>
    <row r="91" spans="1:37" x14ac:dyDescent="0.1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spans="1:37" x14ac:dyDescent="0.1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spans="1:37" x14ac:dyDescent="0.15">
      <c r="A93" s="4"/>
      <c r="B93" s="4"/>
      <c r="C93" s="4"/>
      <c r="D93" s="4"/>
      <c r="E93" s="4"/>
      <c r="F93" s="4"/>
      <c r="G93" s="4"/>
      <c r="H93" s="4"/>
      <c r="I93" s="4"/>
      <c r="J93" s="4"/>
      <c r="K93" s="4"/>
      <c r="L93" s="4"/>
      <c r="M93" s="4"/>
      <c r="N93" s="4"/>
      <c r="Q93" s="4"/>
      <c r="R93" s="4"/>
      <c r="S93" s="4"/>
      <c r="T93" s="4"/>
      <c r="U93" s="4"/>
      <c r="V93" s="4"/>
      <c r="W93" s="4"/>
      <c r="X93" s="4"/>
      <c r="Y93" s="4"/>
      <c r="Z93" s="4"/>
      <c r="AA93" s="4"/>
      <c r="AB93" s="4"/>
      <c r="AC93" s="4"/>
      <c r="AD93" s="4"/>
      <c r="AE93" s="4"/>
      <c r="AF93" s="4"/>
      <c r="AG93" s="4"/>
      <c r="AH93" s="4"/>
      <c r="AI93" s="4"/>
      <c r="AJ93" s="4"/>
      <c r="AK93" s="4"/>
    </row>
    <row r="94" spans="1:37" x14ac:dyDescent="0.1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spans="1:37" x14ac:dyDescent="0.1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spans="1:37" x14ac:dyDescent="0.1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spans="1:37" x14ac:dyDescent="0.1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spans="1:37" x14ac:dyDescent="0.1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spans="1:37" x14ac:dyDescent="0.1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spans="1:37" x14ac:dyDescent="0.1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spans="1:37" x14ac:dyDescent="0.1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spans="1:37" x14ac:dyDescent="0.1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spans="1:37" x14ac:dyDescent="0.1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spans="1:37" x14ac:dyDescent="0.1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spans="1:37" x14ac:dyDescent="0.1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spans="1:37" x14ac:dyDescent="0.1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spans="1:37" x14ac:dyDescent="0.1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spans="1:37" x14ac:dyDescent="0.1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spans="1:37" x14ac:dyDescent="0.1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spans="1:37" x14ac:dyDescent="0.1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spans="1:37" x14ac:dyDescent="0.1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spans="1:37" x14ac:dyDescent="0.1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spans="1:37" x14ac:dyDescent="0.1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spans="1:37" x14ac:dyDescent="0.1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spans="1:37" x14ac:dyDescent="0.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spans="1:37" x14ac:dyDescent="0.1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spans="1:37" x14ac:dyDescent="0.1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spans="1:37" x14ac:dyDescent="0.1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spans="1:37" x14ac:dyDescent="0.1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spans="1:37" x14ac:dyDescent="0.1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spans="1:37" x14ac:dyDescent="0.1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spans="1:37" x14ac:dyDescent="0.15">
      <c r="A122" s="4"/>
      <c r="B122" s="4"/>
      <c r="C122" s="4"/>
      <c r="D122" s="4"/>
      <c r="E122" s="4"/>
      <c r="F122" s="4"/>
      <c r="G122" s="4"/>
      <c r="H122" s="4"/>
      <c r="I122" s="4"/>
      <c r="J122" s="4"/>
      <c r="K122" s="4"/>
      <c r="L122" s="4"/>
      <c r="M122" s="4"/>
      <c r="Q122" s="4"/>
      <c r="R122" s="4"/>
      <c r="S122" s="4"/>
      <c r="T122" s="4"/>
      <c r="U122" s="4"/>
      <c r="V122" s="4"/>
      <c r="W122" s="4"/>
      <c r="X122" s="4"/>
      <c r="Y122" s="4"/>
      <c r="Z122" s="4"/>
      <c r="AA122" s="4"/>
      <c r="AB122" s="4"/>
      <c r="AC122" s="4"/>
      <c r="AD122" s="4"/>
      <c r="AE122" s="4"/>
      <c r="AF122" s="4"/>
      <c r="AG122" s="4"/>
      <c r="AH122" s="4"/>
      <c r="AI122" s="4"/>
      <c r="AJ122" s="4"/>
      <c r="AK122" s="4"/>
    </row>
    <row r="123" spans="1:37" x14ac:dyDescent="0.15">
      <c r="A123" s="4"/>
      <c r="B123" s="4"/>
      <c r="C123" s="4"/>
      <c r="D123" s="4"/>
      <c r="E123" s="4"/>
      <c r="F123" s="4"/>
      <c r="G123" s="4"/>
      <c r="H123" s="4"/>
      <c r="I123" s="4"/>
      <c r="J123" s="4"/>
      <c r="K123" s="4"/>
      <c r="L123" s="4"/>
      <c r="M123" s="4"/>
    </row>
    <row r="124" spans="1:37" x14ac:dyDescent="0.15">
      <c r="A124" s="4"/>
      <c r="B124" s="4"/>
      <c r="C124" s="4"/>
      <c r="D124" s="4"/>
      <c r="E124" s="4"/>
      <c r="F124" s="4"/>
      <c r="G124" s="4"/>
      <c r="H124" s="4"/>
      <c r="I124" s="4"/>
      <c r="J124" s="4"/>
      <c r="K124" s="4"/>
      <c r="L124" s="4"/>
      <c r="M124" s="4"/>
    </row>
  </sheetData>
  <sheetProtection algorithmName="SHA-512" hashValue="rGioUyegBhNszvVdxR3dbOJfoz/knF4ZO84o+sfaKUQOMDVdmYrhevHIBfDHW74zOQyJ4gawwYF43AkaCxTgCQ==" saltValue="u6BbxRRHlCPh2GjH/7GU1w==" spinCount="100000" sheet="1" objects="1" scenarios="1"/>
  <phoneticPr fontId="8" type="noConversion"/>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8C0D-42BF-984A-9163-C028D909C669}">
  <sheetPr codeName="Sheet4"/>
  <dimension ref="A1:CJ47"/>
  <sheetViews>
    <sheetView zoomScale="90" zoomScaleNormal="90" workbookViewId="0">
      <selection activeCell="C4" sqref="C4:C5"/>
    </sheetView>
  </sheetViews>
  <sheetFormatPr baseColWidth="10" defaultRowHeight="13" x14ac:dyDescent="0.15"/>
  <cols>
    <col min="1" max="1" width="21.6640625" style="135" customWidth="1"/>
    <col min="2" max="2" width="27.5" style="135" customWidth="1"/>
    <col min="3" max="10" width="13.83203125" style="135" customWidth="1"/>
    <col min="11" max="12" width="13.83203125" style="135" hidden="1" customWidth="1"/>
    <col min="13" max="18" width="13.83203125" style="135" customWidth="1"/>
    <col min="19" max="22" width="13.83203125" style="135" hidden="1" customWidth="1"/>
    <col min="23" max="28" width="13.83203125" style="135" customWidth="1"/>
    <col min="29" max="16384" width="10.83203125" style="135"/>
  </cols>
  <sheetData>
    <row r="1" spans="1:88" ht="14" x14ac:dyDescent="0.15">
      <c r="A1" s="134" t="s">
        <v>340</v>
      </c>
      <c r="B1" s="134"/>
      <c r="C1" s="134"/>
      <c r="D1" s="134"/>
      <c r="E1" s="134"/>
      <c r="F1" s="134"/>
      <c r="G1" s="134"/>
      <c r="H1" s="134"/>
      <c r="I1" s="134"/>
      <c r="J1" s="134"/>
      <c r="K1" s="134">
        <v>3</v>
      </c>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row>
    <row r="2" spans="1:88" ht="14" x14ac:dyDescent="0.15">
      <c r="A2" s="136" t="s">
        <v>152</v>
      </c>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row>
    <row r="3" spans="1:88" ht="14" x14ac:dyDescent="0.15">
      <c r="A3" s="136"/>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row>
    <row r="4" spans="1:88" ht="14" x14ac:dyDescent="0.15">
      <c r="A4" s="68" t="s">
        <v>341</v>
      </c>
      <c r="B4" s="69"/>
      <c r="C4" s="104">
        <v>3</v>
      </c>
      <c r="D4" s="134"/>
      <c r="E4" s="70" t="s">
        <v>366</v>
      </c>
      <c r="F4" s="71">
        <f>IF(C4&lt;K1,(630),(1260))</f>
        <v>1260</v>
      </c>
      <c r="G4" s="72"/>
      <c r="H4" s="73" t="s">
        <v>367</v>
      </c>
      <c r="I4" s="74" t="s">
        <v>368</v>
      </c>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row>
    <row r="5" spans="1:88" ht="14" x14ac:dyDescent="0.15">
      <c r="A5" s="75" t="s">
        <v>369</v>
      </c>
      <c r="B5" s="76"/>
      <c r="C5" s="105">
        <v>1500</v>
      </c>
      <c r="D5" s="134"/>
      <c r="E5" s="77" t="s">
        <v>370</v>
      </c>
      <c r="F5" s="78">
        <f>C5-(F4-F6)</f>
        <v>892.68</v>
      </c>
      <c r="G5" s="20" t="s">
        <v>371</v>
      </c>
      <c r="H5" s="79">
        <f>F5*80/100</f>
        <v>714.14399999999989</v>
      </c>
      <c r="I5" s="80">
        <f>F5*20/100</f>
        <v>178.53599999999997</v>
      </c>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row>
    <row r="6" spans="1:88" ht="14" x14ac:dyDescent="0.15">
      <c r="D6" s="134"/>
      <c r="E6" s="77" t="s">
        <v>372</v>
      </c>
      <c r="F6" s="78">
        <f>IF(C4&lt;K1,(F4*22.1/100),(F4*51.8/100))</f>
        <v>652.67999999999995</v>
      </c>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row>
    <row r="7" spans="1:88" ht="15" thickBot="1" x14ac:dyDescent="0.2">
      <c r="A7" s="134"/>
      <c r="B7" s="134"/>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row>
    <row r="8" spans="1:88" ht="14" x14ac:dyDescent="0.15">
      <c r="A8" s="82" t="s">
        <v>356</v>
      </c>
      <c r="B8" s="83"/>
      <c r="C8" s="83"/>
      <c r="D8" s="83"/>
      <c r="E8" s="83"/>
      <c r="F8" s="83"/>
      <c r="G8" s="83"/>
      <c r="H8" s="83"/>
      <c r="I8" s="83"/>
      <c r="J8" s="83"/>
      <c r="K8" s="83"/>
      <c r="L8" s="83"/>
      <c r="M8" s="83"/>
      <c r="N8" s="83"/>
      <c r="O8" s="83"/>
      <c r="P8" s="83"/>
      <c r="Q8" s="83"/>
      <c r="R8" s="83"/>
      <c r="S8" s="83"/>
      <c r="T8" s="83"/>
      <c r="U8" s="83"/>
      <c r="V8" s="83"/>
      <c r="W8" s="83"/>
      <c r="X8" s="83"/>
      <c r="Y8" s="83"/>
      <c r="Z8" s="83"/>
      <c r="AA8" s="83"/>
      <c r="AB8" s="18"/>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row>
    <row r="9" spans="1:88" ht="90" x14ac:dyDescent="0.15">
      <c r="A9" s="287" t="s">
        <v>231</v>
      </c>
      <c r="B9" s="288" t="s">
        <v>243</v>
      </c>
      <c r="C9" s="289" t="s">
        <v>244</v>
      </c>
      <c r="D9" s="289" t="s">
        <v>227</v>
      </c>
      <c r="E9" s="290" t="s">
        <v>357</v>
      </c>
      <c r="F9" s="290" t="s">
        <v>358</v>
      </c>
      <c r="G9" s="290" t="s">
        <v>321</v>
      </c>
      <c r="H9" s="290" t="s">
        <v>328</v>
      </c>
      <c r="I9" s="290" t="s">
        <v>329</v>
      </c>
      <c r="J9" s="290" t="s">
        <v>799</v>
      </c>
      <c r="K9" s="296" t="s">
        <v>246</v>
      </c>
      <c r="L9" s="296" t="s">
        <v>247</v>
      </c>
      <c r="M9" s="291" t="s">
        <v>248</v>
      </c>
      <c r="N9" s="292" t="s">
        <v>249</v>
      </c>
      <c r="O9" s="292" t="s">
        <v>250</v>
      </c>
      <c r="P9" s="292" t="s">
        <v>251</v>
      </c>
      <c r="Q9" s="292" t="s">
        <v>365</v>
      </c>
      <c r="R9" s="293" t="s">
        <v>373</v>
      </c>
      <c r="S9" s="297" t="s">
        <v>255</v>
      </c>
      <c r="T9" s="297" t="s">
        <v>224</v>
      </c>
      <c r="U9" s="297" t="s">
        <v>374</v>
      </c>
      <c r="V9" s="297" t="s">
        <v>375</v>
      </c>
      <c r="W9" s="293" t="s">
        <v>376</v>
      </c>
      <c r="X9" s="293" t="s">
        <v>436</v>
      </c>
      <c r="Y9" s="292" t="s">
        <v>155</v>
      </c>
      <c r="Z9" s="292" t="s">
        <v>225</v>
      </c>
      <c r="AA9" s="292" t="s">
        <v>226</v>
      </c>
      <c r="AB9" s="294" t="s">
        <v>221</v>
      </c>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row>
    <row r="10" spans="1:88" ht="14" x14ac:dyDescent="0.15">
      <c r="A10" s="63" t="str">
        <f>'Tariff Jul 2019'!K2</f>
        <v>AGL</v>
      </c>
      <c r="B10" s="1" t="str">
        <f>'Tariff Jul 2019'!L2</f>
        <v>Smart Saver</v>
      </c>
      <c r="C10" s="84">
        <f>91*'Tariff Jul 2019'!M2/100</f>
        <v>73.709999999999994</v>
      </c>
      <c r="D10" s="84">
        <f>$F$5*'Tariff Jul 2019'!N2/100</f>
        <v>327.6947127272727</v>
      </c>
      <c r="E10" s="84">
        <v>0</v>
      </c>
      <c r="F10" s="85">
        <v>0</v>
      </c>
      <c r="G10" s="84">
        <v>0</v>
      </c>
      <c r="H10" s="84">
        <v>0</v>
      </c>
      <c r="I10" s="84">
        <v>0</v>
      </c>
      <c r="J10" s="84">
        <f>SUM(C10:I10)</f>
        <v>401.40471272727268</v>
      </c>
      <c r="K10" s="298">
        <f>(J10-C10)*4</f>
        <v>1310.7788509090908</v>
      </c>
      <c r="L10" s="86">
        <f>J10*4</f>
        <v>1605.6188509090907</v>
      </c>
      <c r="M10" s="86">
        <f>L10*1.1</f>
        <v>1766.180736</v>
      </c>
      <c r="N10" s="1">
        <f>'Tariff Jul 2019'!AW2</f>
        <v>8</v>
      </c>
      <c r="O10" s="1">
        <f>'Tariff Jul 2019'!AX2</f>
        <v>0</v>
      </c>
      <c r="P10" s="1">
        <f>'Tariff Jul 2019'!AY2</f>
        <v>0</v>
      </c>
      <c r="Q10" s="1">
        <f>'Tariff Jul 2019'!AZ2</f>
        <v>0</v>
      </c>
      <c r="R10" s="87">
        <f>($F$6*'Tariff Jul 2019'!AT2/100)*4</f>
        <v>425.54735999999997</v>
      </c>
      <c r="S10" s="298">
        <f>L10-(L10*N10/100)</f>
        <v>1477.1693428363635</v>
      </c>
      <c r="T10" s="298">
        <f>S10</f>
        <v>1477.1693428363635</v>
      </c>
      <c r="U10" s="298">
        <f>S10-R10</f>
        <v>1051.6219828363635</v>
      </c>
      <c r="V10" s="298">
        <f>T10-R10</f>
        <v>1051.6219828363635</v>
      </c>
      <c r="W10" s="300">
        <f>U10*1.1</f>
        <v>1156.7841811199999</v>
      </c>
      <c r="X10" s="300">
        <f>V10*1.1</f>
        <v>1156.7841811199999</v>
      </c>
      <c r="Y10" s="88">
        <f>'Tariff Jul 2019'!AT2</f>
        <v>16.3</v>
      </c>
      <c r="Z10" s="89">
        <f>'Tariff Jul 2019'!BI2</f>
        <v>0</v>
      </c>
      <c r="AA10" s="89" t="str">
        <f>'Tariff Jul 2019'!BJ2</f>
        <v>n</v>
      </c>
      <c r="AB10" s="90">
        <f>'Tariff Jul 2019'!G2</f>
        <v>42185</v>
      </c>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row>
    <row r="11" spans="1:88" ht="14" x14ac:dyDescent="0.15">
      <c r="A11" s="63" t="str">
        <f>'Tariff Jul 2019'!K3</f>
        <v>Alinta Energy</v>
      </c>
      <c r="B11" s="1" t="str">
        <f>'Tariff Jul 2019'!L3</f>
        <v>No fuss</v>
      </c>
      <c r="C11" s="84">
        <f>91*'Tariff Jul 2019'!M3/100</f>
        <v>75.53</v>
      </c>
      <c r="D11" s="84">
        <f>IF($F$5&gt;='Tariff Jul 2019'!P3,('Tariff Jul 2019'!P3*'Tariff Jul 2019'!N3/100),($F$5*'Tariff Jul 2019'!N3/100))</f>
        <v>90.463636363636354</v>
      </c>
      <c r="E11" s="84">
        <f>IF($F$5&lt;'Tariff Jul 2019'!P3,0,IF(($F$5-'Tariff Jul 2019'!P3)&lt;='Tariff Jul 2019'!R3,(($F$5-'Tariff Jul 2019'!P3)*'Tariff Jul 2019'!Q3/100),(('Tariff Jul 2019'!R3-'Tariff Jul 2019'!P3)*'Tariff Jul 2019'!Q3/100)))</f>
        <v>0</v>
      </c>
      <c r="F11" s="85">
        <f>IF($F$5&lt;'Tariff Jul 2019'!R3,0,IF(($F$5-'Tariff Jul 2019'!R3)&lt;='Tariff Jul 2019'!T3,(($F$5-'Tariff Jul 2019'!R3)*'Tariff Jul 2019'!S3/100),(('Tariff Jul 2019'!T3-'Tariff Jul 2019'!R3)*'Tariff Jul 2019'!S3/100)))</f>
        <v>0</v>
      </c>
      <c r="G11" s="84">
        <v>0</v>
      </c>
      <c r="H11" s="84">
        <v>0</v>
      </c>
      <c r="I11" s="84">
        <f>IF(($F$5&lt;'Tariff Jul 2019'!T3),(0),($F$5-'Tariff Jul 2019'!T3)*'Tariff Jul 2019'!U3/100)</f>
        <v>199.0866</v>
      </c>
      <c r="J11" s="84">
        <f t="shared" ref="J11:J23" si="0">SUM(C11:I11)</f>
        <v>365.08023636363635</v>
      </c>
      <c r="K11" s="298">
        <f>(J11-C11)*4</f>
        <v>1158.2009454545455</v>
      </c>
      <c r="L11" s="86">
        <f t="shared" ref="L11:L23" si="1">J11*4</f>
        <v>1460.3209454545454</v>
      </c>
      <c r="M11" s="86">
        <f t="shared" ref="M11:M23" si="2">L11*1.1</f>
        <v>1606.35304</v>
      </c>
      <c r="N11" s="1">
        <f>'Tariff Jul 2019'!AW3</f>
        <v>0</v>
      </c>
      <c r="O11" s="1">
        <f>'Tariff Jul 2019'!AX3</f>
        <v>0</v>
      </c>
      <c r="P11" s="1">
        <f>'Tariff Jul 2019'!AY3</f>
        <v>0</v>
      </c>
      <c r="Q11" s="1">
        <f>'Tariff Jul 2019'!AZ3</f>
        <v>0</v>
      </c>
      <c r="R11" s="87">
        <f>($F$6*'Tariff Jul 2019'!AT3/100)*4</f>
        <v>248.01839999999996</v>
      </c>
      <c r="S11" s="298">
        <f>L11</f>
        <v>1460.3209454545454</v>
      </c>
      <c r="T11" s="298">
        <f>S11</f>
        <v>1460.3209454545454</v>
      </c>
      <c r="U11" s="298">
        <f t="shared" ref="U11:U27" si="3">S11-R11</f>
        <v>1212.3025454545455</v>
      </c>
      <c r="V11" s="298">
        <f t="shared" ref="V11:V27" si="4">T11-R11</f>
        <v>1212.3025454545455</v>
      </c>
      <c r="W11" s="300">
        <f t="shared" ref="W11:X23" si="5">U11*1.1</f>
        <v>1333.5328000000002</v>
      </c>
      <c r="X11" s="300">
        <f t="shared" si="5"/>
        <v>1333.5328000000002</v>
      </c>
      <c r="Y11" s="88">
        <f>'Tariff Jul 2019'!AT3</f>
        <v>9.5</v>
      </c>
      <c r="Z11" s="89">
        <f>'Tariff Jul 2019'!BI3</f>
        <v>0</v>
      </c>
      <c r="AA11" s="89" t="str">
        <f>'Tariff Jul 2019'!BJ3</f>
        <v>n</v>
      </c>
      <c r="AB11" s="90">
        <f>'Tariff Jul 2019'!G3</f>
        <v>42185</v>
      </c>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row>
    <row r="12" spans="1:88" ht="14" x14ac:dyDescent="0.15">
      <c r="A12" s="63" t="str">
        <f>'Tariff Jul 2019'!K4</f>
        <v>Click Energy</v>
      </c>
      <c r="B12" s="1" t="str">
        <f>'Tariff Jul 2019'!L4</f>
        <v>Banksia Solar</v>
      </c>
      <c r="C12" s="84">
        <f>91*'Tariff Jul 2019'!M4/100</f>
        <v>82.445999999999998</v>
      </c>
      <c r="D12" s="84">
        <f>$F$5*'Tariff Jul 2019'!N4/100</f>
        <v>319.82289818181812</v>
      </c>
      <c r="E12" s="84">
        <v>0</v>
      </c>
      <c r="F12" s="85">
        <v>0</v>
      </c>
      <c r="G12" s="84">
        <v>0</v>
      </c>
      <c r="H12" s="84">
        <v>0</v>
      </c>
      <c r="I12" s="84">
        <v>0</v>
      </c>
      <c r="J12" s="84">
        <f t="shared" si="0"/>
        <v>402.26889818181814</v>
      </c>
      <c r="K12" s="298">
        <f t="shared" ref="K12:K23" si="6">(J12-C12)*4</f>
        <v>1279.2915927272725</v>
      </c>
      <c r="L12" s="86">
        <f t="shared" si="1"/>
        <v>1609.0755927272726</v>
      </c>
      <c r="M12" s="86">
        <f t="shared" si="2"/>
        <v>1769.983152</v>
      </c>
      <c r="N12" s="1">
        <f>'Tariff Jul 2019'!AW4</f>
        <v>0</v>
      </c>
      <c r="O12" s="1">
        <f>'Tariff Jul 2019'!AX4</f>
        <v>0</v>
      </c>
      <c r="P12" s="1">
        <f>'Tariff Jul 2019'!AY4</f>
        <v>0</v>
      </c>
      <c r="Q12" s="1">
        <f>'Tariff Jul 2019'!AZ4</f>
        <v>0</v>
      </c>
      <c r="R12" s="87">
        <f>($F$6*'Tariff Jul 2019'!AT4/100)*4</f>
        <v>443.82239999999996</v>
      </c>
      <c r="S12" s="298">
        <f>L12</f>
        <v>1609.0755927272726</v>
      </c>
      <c r="T12" s="298">
        <f>S12</f>
        <v>1609.0755927272726</v>
      </c>
      <c r="U12" s="298">
        <f t="shared" si="3"/>
        <v>1165.2531927272726</v>
      </c>
      <c r="V12" s="298">
        <f t="shared" si="4"/>
        <v>1165.2531927272726</v>
      </c>
      <c r="W12" s="300">
        <f t="shared" si="5"/>
        <v>1281.7785119999999</v>
      </c>
      <c r="X12" s="300">
        <f t="shared" si="5"/>
        <v>1281.7785119999999</v>
      </c>
      <c r="Y12" s="88">
        <f>'Tariff Jul 2019'!AT4</f>
        <v>17</v>
      </c>
      <c r="Z12" s="89">
        <f>'Tariff Jul 2019'!BI4</f>
        <v>0</v>
      </c>
      <c r="AA12" s="89" t="str">
        <f>'Tariff Jul 2019'!BJ4</f>
        <v>n</v>
      </c>
      <c r="AB12" s="90">
        <f>'Tariff Jul 2019'!G4</f>
        <v>42185</v>
      </c>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row>
    <row r="13" spans="1:88" ht="14" x14ac:dyDescent="0.15">
      <c r="A13" s="63" t="str">
        <f>'Tariff Jul 2019'!K5</f>
        <v>Commander</v>
      </c>
      <c r="B13" s="1" t="str">
        <f>'Tariff Jul 2019'!L5</f>
        <v>Market offer</v>
      </c>
      <c r="C13" s="84">
        <f>91*'Tariff Jul 2019'!M5/100</f>
        <v>80.808000000000007</v>
      </c>
      <c r="D13" s="84">
        <f>IF($F$5&gt;='Tariff Jul 2019'!P5,('Tariff Jul 2019'!P5*'Tariff Jul 2019'!N5/100),($F$5*'Tariff Jul 2019'!N5/100))</f>
        <v>289.30947272727269</v>
      </c>
      <c r="E13" s="84">
        <f>IF($F$5&lt;'Tariff Jul 2019'!P5,0,IF(($F$5-'Tariff Jul 2019'!P5)&lt;='Tariff Jul 2019'!R5,(($F$5-'Tariff Jul 2019'!P5)*'Tariff Jul 2019'!Q5/100),(('Tariff Jul 2019'!R5-'Tariff Jul 2019'!P5)*'Tariff Jul 2019'!Q5/100)))</f>
        <v>0</v>
      </c>
      <c r="F13" s="85">
        <f>IF($F$5&lt;'Tariff Jul 2019'!R5,0,IF(($F$5-'Tariff Jul 2019'!R5)&lt;='Tariff Jul 2019'!T5,(($F$5-'Tariff Jul 2019'!R5)*'Tariff Jul 2019'!S5/100),(('Tariff Jul 2019'!T5-'Tariff Jul 2019'!R5)*'Tariff Jul 2019'!S5/100)))</f>
        <v>0</v>
      </c>
      <c r="G13" s="84">
        <v>0</v>
      </c>
      <c r="H13" s="84">
        <v>0</v>
      </c>
      <c r="I13" s="84">
        <f>IF(($F$5&lt;'Tariff Jul 2019'!T5),(0),($F$5-'Tariff Jul 2019'!T5)*'Tariff Jul 2019'!U5/100)</f>
        <v>0</v>
      </c>
      <c r="J13" s="84">
        <f t="shared" si="0"/>
        <v>370.11747272727268</v>
      </c>
      <c r="K13" s="298">
        <f t="shared" si="6"/>
        <v>1157.2378909090908</v>
      </c>
      <c r="L13" s="86">
        <f t="shared" si="1"/>
        <v>1480.4698909090907</v>
      </c>
      <c r="M13" s="86">
        <f t="shared" si="2"/>
        <v>1628.5168799999999</v>
      </c>
      <c r="N13" s="1">
        <f>'Tariff Jul 2019'!AW5</f>
        <v>0</v>
      </c>
      <c r="O13" s="1">
        <f>'Tariff Jul 2019'!AX5</f>
        <v>0</v>
      </c>
      <c r="P13" s="1">
        <f>'Tariff Jul 2019'!AY5</f>
        <v>0</v>
      </c>
      <c r="Q13" s="1">
        <f>'Tariff Jul 2019'!AZ5</f>
        <v>0</v>
      </c>
      <c r="R13" s="87">
        <f>($F$6*'Tariff Jul 2019'!AT5/100)*4</f>
        <v>302.84351999999996</v>
      </c>
      <c r="S13" s="298">
        <f>L13</f>
        <v>1480.4698909090907</v>
      </c>
      <c r="T13" s="298">
        <f>S13</f>
        <v>1480.4698909090907</v>
      </c>
      <c r="U13" s="298">
        <f t="shared" si="3"/>
        <v>1177.6263709090908</v>
      </c>
      <c r="V13" s="298">
        <f t="shared" si="4"/>
        <v>1177.6263709090908</v>
      </c>
      <c r="W13" s="300">
        <f t="shared" si="5"/>
        <v>1295.3890080000001</v>
      </c>
      <c r="X13" s="300">
        <f t="shared" si="5"/>
        <v>1295.3890080000001</v>
      </c>
      <c r="Y13" s="88">
        <f>'Tariff Jul 2019'!AT5</f>
        <v>11.6</v>
      </c>
      <c r="Z13" s="89">
        <f>'Tariff Jul 2019'!BI5</f>
        <v>0</v>
      </c>
      <c r="AA13" s="89" t="str">
        <f>'Tariff Jul 2019'!BJ5</f>
        <v>n</v>
      </c>
      <c r="AB13" s="90">
        <f>'Tariff Jul 2019'!G5</f>
        <v>42185</v>
      </c>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row>
    <row r="14" spans="1:88" ht="14" x14ac:dyDescent="0.15">
      <c r="A14" s="63" t="str">
        <f>'Tariff Jul 2019'!K6</f>
        <v>Diamond Energy</v>
      </c>
      <c r="B14" s="1" t="str">
        <f>'Tariff Jul 2019'!L6</f>
        <v>Pay on time discount</v>
      </c>
      <c r="C14" s="84">
        <f>91*'Tariff Jul 2019'!M6/100</f>
        <v>79.124499999999998</v>
      </c>
      <c r="D14" s="84">
        <f>IF($F$5&gt;='Tariff Jul 2019'!P6,('Tariff Jul 2019'!P6*'Tariff Jul 2019'!N6/100),($F$5*'Tariff Jul 2019'!N6/100))</f>
        <v>99.78</v>
      </c>
      <c r="E14" s="84">
        <f>IF($F$5&lt;'Tariff Jul 2019'!P6,0,IF(($F$5-'Tariff Jul 2019'!P6)&lt;='Tariff Jul 2019'!R6,(($F$5-'Tariff Jul 2019'!P6)*'Tariff Jul 2019'!Q6/100),(('Tariff Jul 2019'!R6-'Tariff Jul 2019'!P6)*'Tariff Jul 2019'!Q6/100)))</f>
        <v>212.712852</v>
      </c>
      <c r="F14" s="85">
        <f>IF($F$5&lt;'Tariff Jul 2019'!R6,0,IF(($F$5-'Tariff Jul 2019'!R6)&lt;='Tariff Jul 2019'!T6,(($F$5-'Tariff Jul 2019'!R6)*'Tariff Jul 2019'!S6/100),(('Tariff Jul 2019'!T6-'Tariff Jul 2019'!R6)*'Tariff Jul 2019'!S6/100)))</f>
        <v>0</v>
      </c>
      <c r="G14" s="84">
        <v>0</v>
      </c>
      <c r="H14" s="84">
        <v>0</v>
      </c>
      <c r="I14" s="84">
        <f>IF(($F$5&lt;'Tariff Jul 2019'!T6),(0),($F$5-'Tariff Jul 2019'!T6)*'Tariff Jul 2019'!U6/100)</f>
        <v>0</v>
      </c>
      <c r="J14" s="84">
        <f t="shared" si="0"/>
        <v>391.61735199999998</v>
      </c>
      <c r="K14" s="298">
        <f t="shared" si="6"/>
        <v>1249.9714079999999</v>
      </c>
      <c r="L14" s="86">
        <f t="shared" si="1"/>
        <v>1566.4694079999999</v>
      </c>
      <c r="M14" s="86">
        <f t="shared" si="2"/>
        <v>1723.1163488</v>
      </c>
      <c r="N14" s="1">
        <f>'Tariff Jul 2019'!AW6</f>
        <v>0</v>
      </c>
      <c r="O14" s="1">
        <f>'Tariff Jul 2019'!AX6</f>
        <v>0</v>
      </c>
      <c r="P14" s="1">
        <f>'Tariff Jul 2019'!AY6</f>
        <v>7</v>
      </c>
      <c r="Q14" s="1">
        <f>'Tariff Jul 2019'!AZ6</f>
        <v>0</v>
      </c>
      <c r="R14" s="87">
        <f>($F$6*'Tariff Jul 2019'!AT6/100)*4</f>
        <v>313.28640000000001</v>
      </c>
      <c r="S14" s="298">
        <f>L14</f>
        <v>1566.4694079999999</v>
      </c>
      <c r="T14" s="298">
        <f>S14-(S14*P14/100)</f>
        <v>1456.81654944</v>
      </c>
      <c r="U14" s="298">
        <f t="shared" si="3"/>
        <v>1253.183008</v>
      </c>
      <c r="V14" s="298">
        <f t="shared" si="4"/>
        <v>1143.5301494400001</v>
      </c>
      <c r="W14" s="300">
        <f t="shared" si="5"/>
        <v>1378.5013088000001</v>
      </c>
      <c r="X14" s="300">
        <f t="shared" si="5"/>
        <v>1257.8831643840001</v>
      </c>
      <c r="Y14" s="88">
        <f>'Tariff Jul 2019'!AT6</f>
        <v>12</v>
      </c>
      <c r="Z14" s="89">
        <f>'Tariff Jul 2019'!BI6</f>
        <v>0</v>
      </c>
      <c r="AA14" s="89" t="str">
        <f>'Tariff Jul 2019'!BJ6</f>
        <v>n</v>
      </c>
      <c r="AB14" s="90">
        <f>'Tariff Jul 2019'!G6</f>
        <v>41820</v>
      </c>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row>
    <row r="15" spans="1:88" ht="14" x14ac:dyDescent="0.15">
      <c r="A15" s="63" t="str">
        <f>'Tariff Jul 2019'!K7</f>
        <v>Dodo Power &amp; Gas</v>
      </c>
      <c r="B15" s="1" t="str">
        <f>'Tariff Jul 2019'!L7</f>
        <v>Market offer</v>
      </c>
      <c r="C15" s="84">
        <f>91*'Tariff Jul 2019'!M7/100</f>
        <v>80.808000000000007</v>
      </c>
      <c r="D15" s="84">
        <f>IF($F$5&gt;='Tariff Jul 2019'!P7,('Tariff Jul 2019'!P7*'Tariff Jul 2019'!N7/100),($F$5*'Tariff Jul 2019'!N7/100))</f>
        <v>289.30947272727269</v>
      </c>
      <c r="E15" s="84">
        <f>IF($F$5&lt;'Tariff Jul 2019'!P7,0,IF(($F$5-'Tariff Jul 2019'!P7)&lt;='Tariff Jul 2019'!R7,(($F$5-'Tariff Jul 2019'!P7)*'Tariff Jul 2019'!Q7/100),(('Tariff Jul 2019'!R7-'Tariff Jul 2019'!P7)*'Tariff Jul 2019'!Q7/100)))</f>
        <v>0</v>
      </c>
      <c r="F15" s="85">
        <f>IF($F$5&lt;'Tariff Jul 2019'!R7,0,IF(($F$5-'Tariff Jul 2019'!R7)&lt;='Tariff Jul 2019'!T7,(($F$5-'Tariff Jul 2019'!R7)*'Tariff Jul 2019'!S7/100),(('Tariff Jul 2019'!T7-'Tariff Jul 2019'!R7)*'Tariff Jul 2019'!S7/100)))</f>
        <v>0</v>
      </c>
      <c r="G15" s="84">
        <v>0</v>
      </c>
      <c r="H15" s="84">
        <v>0</v>
      </c>
      <c r="I15" s="84">
        <f>IF(($F$5&lt;'Tariff Jul 2019'!T7),(0),($F$5-'Tariff Jul 2019'!T7)*'Tariff Jul 2019'!U7/100)</f>
        <v>0</v>
      </c>
      <c r="J15" s="84">
        <f t="shared" si="0"/>
        <v>370.11747272727268</v>
      </c>
      <c r="K15" s="298">
        <f t="shared" si="6"/>
        <v>1157.2378909090908</v>
      </c>
      <c r="L15" s="86">
        <f t="shared" si="1"/>
        <v>1480.4698909090907</v>
      </c>
      <c r="M15" s="86">
        <f t="shared" si="2"/>
        <v>1628.5168799999999</v>
      </c>
      <c r="N15" s="1">
        <f>'Tariff Jul 2019'!AW7</f>
        <v>0</v>
      </c>
      <c r="O15" s="1">
        <f>'Tariff Jul 2019'!AX7</f>
        <v>0</v>
      </c>
      <c r="P15" s="1">
        <f>'Tariff Jul 2019'!AY7</f>
        <v>0</v>
      </c>
      <c r="Q15" s="1">
        <f>'Tariff Jul 2019'!AZ7</f>
        <v>0</v>
      </c>
      <c r="R15" s="87">
        <f>($F$6*'Tariff Jul 2019'!AT7/100)*4</f>
        <v>302.84351999999996</v>
      </c>
      <c r="S15" s="298">
        <f>L15</f>
        <v>1480.4698909090907</v>
      </c>
      <c r="T15" s="298">
        <f t="shared" ref="T15:T20" si="7">S15</f>
        <v>1480.4698909090907</v>
      </c>
      <c r="U15" s="298">
        <f t="shared" si="3"/>
        <v>1177.6263709090908</v>
      </c>
      <c r="V15" s="298">
        <f t="shared" si="4"/>
        <v>1177.6263709090908</v>
      </c>
      <c r="W15" s="300">
        <f t="shared" si="5"/>
        <v>1295.3890080000001</v>
      </c>
      <c r="X15" s="300">
        <f t="shared" si="5"/>
        <v>1295.3890080000001</v>
      </c>
      <c r="Y15" s="88">
        <f>'Tariff Jul 2019'!AT7</f>
        <v>11.6</v>
      </c>
      <c r="Z15" s="89">
        <f>'Tariff Jul 2019'!BI7</f>
        <v>0</v>
      </c>
      <c r="AA15" s="89" t="str">
        <f>'Tariff Jul 2019'!BJ7</f>
        <v>n</v>
      </c>
      <c r="AB15" s="90">
        <f>'Tariff Jul 2019'!G7</f>
        <v>42185</v>
      </c>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row>
    <row r="16" spans="1:88" ht="14" x14ac:dyDescent="0.15">
      <c r="A16" s="63" t="str">
        <f>'Tariff Jul 2019'!K8</f>
        <v>EnergyAustralia</v>
      </c>
      <c r="B16" s="1" t="str">
        <f>'Tariff Jul 2019'!L8</f>
        <v>Total Plan</v>
      </c>
      <c r="C16" s="84">
        <f>91*'Tariff Jul 2019'!M8/100</f>
        <v>70.97999999999999</v>
      </c>
      <c r="D16" s="84">
        <f>$F$5*'Tariff Jul 2019'!N8/100</f>
        <v>330.29159999999996</v>
      </c>
      <c r="E16" s="84">
        <v>0</v>
      </c>
      <c r="F16" s="85">
        <v>0</v>
      </c>
      <c r="G16" s="84">
        <v>0</v>
      </c>
      <c r="H16" s="84">
        <v>0</v>
      </c>
      <c r="I16" s="84">
        <v>0</v>
      </c>
      <c r="J16" s="84">
        <f t="shared" si="0"/>
        <v>401.27159999999992</v>
      </c>
      <c r="K16" s="298">
        <f t="shared" si="6"/>
        <v>1321.1663999999996</v>
      </c>
      <c r="L16" s="86">
        <f t="shared" si="1"/>
        <v>1605.0863999999997</v>
      </c>
      <c r="M16" s="86">
        <f t="shared" si="2"/>
        <v>1765.5950399999997</v>
      </c>
      <c r="N16" s="1">
        <f>'Tariff Jul 2019'!AW8</f>
        <v>6</v>
      </c>
      <c r="O16" s="1">
        <f>'Tariff Jul 2019'!AX8</f>
        <v>0</v>
      </c>
      <c r="P16" s="1">
        <f>'Tariff Jul 2019'!AY8</f>
        <v>0</v>
      </c>
      <c r="Q16" s="1">
        <f>'Tariff Jul 2019'!AZ8</f>
        <v>0</v>
      </c>
      <c r="R16" s="87">
        <f>($F$6*'Tariff Jul 2019'!AT8/100)*4</f>
        <v>391.60799999999995</v>
      </c>
      <c r="S16" s="298">
        <f>L16-(L16*N16/100)</f>
        <v>1508.7812159999996</v>
      </c>
      <c r="T16" s="298">
        <f t="shared" si="7"/>
        <v>1508.7812159999996</v>
      </c>
      <c r="U16" s="298">
        <f t="shared" si="3"/>
        <v>1117.1732159999997</v>
      </c>
      <c r="V16" s="298">
        <f t="shared" si="4"/>
        <v>1117.1732159999997</v>
      </c>
      <c r="W16" s="300">
        <f t="shared" si="5"/>
        <v>1228.8905375999998</v>
      </c>
      <c r="X16" s="300">
        <f t="shared" si="5"/>
        <v>1228.8905375999998</v>
      </c>
      <c r="Y16" s="88">
        <f>'Tariff Jul 2019'!AT8</f>
        <v>15</v>
      </c>
      <c r="Z16" s="89">
        <f>'Tariff Jul 2019'!BI8</f>
        <v>0</v>
      </c>
      <c r="AA16" s="89" t="str">
        <f>'Tariff Jul 2019'!BJ8</f>
        <v>n</v>
      </c>
      <c r="AB16" s="90">
        <f>'Tariff Jul 2019'!G8</f>
        <v>42185</v>
      </c>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row>
    <row r="17" spans="1:88" ht="14" x14ac:dyDescent="0.15">
      <c r="A17" s="63" t="str">
        <f>'Tariff Jul 2019'!K9</f>
        <v>Lumo Energy</v>
      </c>
      <c r="B17" s="1" t="str">
        <f>'Tariff Jul 2019'!L9</f>
        <v>Basic</v>
      </c>
      <c r="C17" s="84">
        <f>91*'Tariff Jul 2019'!M9/100</f>
        <v>83.72</v>
      </c>
      <c r="D17" s="84">
        <f>$F$5*'Tariff Jul 2019'!N9/100</f>
        <v>287.19950181818177</v>
      </c>
      <c r="E17" s="84">
        <v>0</v>
      </c>
      <c r="F17" s="85">
        <v>0</v>
      </c>
      <c r="G17" s="84">
        <v>0</v>
      </c>
      <c r="H17" s="84">
        <v>0</v>
      </c>
      <c r="I17" s="84">
        <v>0</v>
      </c>
      <c r="J17" s="84">
        <f t="shared" si="0"/>
        <v>370.91950181818174</v>
      </c>
      <c r="K17" s="298">
        <f t="shared" si="6"/>
        <v>1148.7980072727269</v>
      </c>
      <c r="L17" s="86">
        <f t="shared" si="1"/>
        <v>1483.678007272727</v>
      </c>
      <c r="M17" s="86">
        <f t="shared" si="2"/>
        <v>1632.0458079999999</v>
      </c>
      <c r="N17" s="1">
        <f>'Tariff Jul 2019'!AW9</f>
        <v>0</v>
      </c>
      <c r="O17" s="1">
        <f>'Tariff Jul 2019'!AX9</f>
        <v>0</v>
      </c>
      <c r="P17" s="1">
        <f>'Tariff Jul 2019'!AY9</f>
        <v>0</v>
      </c>
      <c r="Q17" s="1">
        <f>'Tariff Jul 2019'!AZ9</f>
        <v>0</v>
      </c>
      <c r="R17" s="87">
        <f>($F$6*'Tariff Jul 2019'!AT9/100)*4</f>
        <v>417.71519999999998</v>
      </c>
      <c r="S17" s="298">
        <f>L17</f>
        <v>1483.678007272727</v>
      </c>
      <c r="T17" s="298">
        <f t="shared" si="7"/>
        <v>1483.678007272727</v>
      </c>
      <c r="U17" s="298">
        <f t="shared" si="3"/>
        <v>1065.9628072727269</v>
      </c>
      <c r="V17" s="298">
        <f t="shared" si="4"/>
        <v>1065.9628072727269</v>
      </c>
      <c r="W17" s="300">
        <f t="shared" si="5"/>
        <v>1172.5590879999997</v>
      </c>
      <c r="X17" s="300">
        <f t="shared" si="5"/>
        <v>1172.5590879999997</v>
      </c>
      <c r="Y17" s="88">
        <f>'Tariff Jul 2019'!AT9</f>
        <v>16</v>
      </c>
      <c r="Z17" s="89">
        <f>'Tariff Jul 2019'!BI9</f>
        <v>0</v>
      </c>
      <c r="AA17" s="89" t="str">
        <f>'Tariff Jul 2019'!BJ9</f>
        <v>n</v>
      </c>
      <c r="AB17" s="90">
        <f>'Tariff Jul 2019'!G9</f>
        <v>42185</v>
      </c>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row>
    <row r="18" spans="1:88" ht="14" x14ac:dyDescent="0.15">
      <c r="A18" s="63" t="str">
        <f>'Tariff Jul 2019'!K10</f>
        <v>Momentum Energy</v>
      </c>
      <c r="B18" s="1" t="str">
        <f>'Tariff Jul 2019'!L10</f>
        <v>SmilePower Flexi</v>
      </c>
      <c r="C18" s="84">
        <f>91*'Tariff Jul 2019'!M10/100</f>
        <v>86.440899999999999</v>
      </c>
      <c r="D18" s="84">
        <f>$F$5*'Tariff Jul 2019'!N10/100</f>
        <v>271.46398799999997</v>
      </c>
      <c r="E18" s="84">
        <v>0</v>
      </c>
      <c r="F18" s="85">
        <v>0</v>
      </c>
      <c r="G18" s="84">
        <v>0</v>
      </c>
      <c r="H18" s="84">
        <v>0</v>
      </c>
      <c r="I18" s="84">
        <v>0</v>
      </c>
      <c r="J18" s="84">
        <f t="shared" si="0"/>
        <v>357.90488799999997</v>
      </c>
      <c r="K18" s="298">
        <f t="shared" si="6"/>
        <v>1085.8559519999999</v>
      </c>
      <c r="L18" s="86">
        <f t="shared" si="1"/>
        <v>1431.6195519999999</v>
      </c>
      <c r="M18" s="86">
        <f t="shared" si="2"/>
        <v>1574.7815072000001</v>
      </c>
      <c r="N18" s="1">
        <f>'Tariff Jul 2019'!AW10</f>
        <v>0</v>
      </c>
      <c r="O18" s="1">
        <f>'Tariff Jul 2019'!AX10</f>
        <v>0</v>
      </c>
      <c r="P18" s="1">
        <f>'Tariff Jul 2019'!AY10</f>
        <v>0</v>
      </c>
      <c r="Q18" s="1">
        <f>'Tariff Jul 2019'!AZ10</f>
        <v>0</v>
      </c>
      <c r="R18" s="87">
        <f>($F$6*'Tariff Jul 2019'!AT10/100)*4</f>
        <v>0</v>
      </c>
      <c r="S18" s="298">
        <f>L18</f>
        <v>1431.6195519999999</v>
      </c>
      <c r="T18" s="298">
        <f t="shared" si="7"/>
        <v>1431.6195519999999</v>
      </c>
      <c r="U18" s="298">
        <f t="shared" si="3"/>
        <v>1431.6195519999999</v>
      </c>
      <c r="V18" s="298">
        <f t="shared" si="4"/>
        <v>1431.6195519999999</v>
      </c>
      <c r="W18" s="300">
        <f t="shared" si="5"/>
        <v>1574.7815072000001</v>
      </c>
      <c r="X18" s="300">
        <f t="shared" si="5"/>
        <v>1574.7815072000001</v>
      </c>
      <c r="Y18" s="88">
        <f>'Tariff Jul 2019'!AT10</f>
        <v>0</v>
      </c>
      <c r="Z18" s="89">
        <f>'Tariff Jul 2019'!BI10</f>
        <v>0</v>
      </c>
      <c r="AA18" s="89" t="str">
        <f>'Tariff Jul 2019'!BJ10</f>
        <v>n</v>
      </c>
      <c r="AB18" s="90">
        <f>'Tariff Jul 2019'!G10</f>
        <v>42185</v>
      </c>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row>
    <row r="19" spans="1:88" ht="14" x14ac:dyDescent="0.15">
      <c r="A19" s="63" t="str">
        <f>'Tariff Jul 2019'!K11</f>
        <v>Origin Energy</v>
      </c>
      <c r="B19" s="1" t="str">
        <f>'Tariff Jul 2019'!L11</f>
        <v>Flexi</v>
      </c>
      <c r="C19" s="84">
        <f>91*'Tariff Jul 2019'!M11/100</f>
        <v>75.124636363636355</v>
      </c>
      <c r="D19" s="84">
        <f>IF($F$5&gt;='Tariff Jul 2019'!P11,('Tariff Jul 2019'!P11*'Tariff Jul 2019'!N11/100),($F$5*'Tariff Jul 2019'!N11/100))</f>
        <v>326.55857454545452</v>
      </c>
      <c r="E19" s="84">
        <f>IF($F$5&lt;'Tariff Jul 2019'!P11,0,IF(($F$5-'Tariff Jul 2019'!P11)&lt;='Tariff Jul 2019'!R11,(($F$5-'Tariff Jul 2019'!P11)*'Tariff Jul 2019'!Q11/100),(('Tariff Jul 2019'!R11-'Tariff Jul 2019'!P11)*'Tariff Jul 2019'!Q11/100)))</f>
        <v>0</v>
      </c>
      <c r="F19" s="85">
        <f>IF($F$5&lt;'Tariff Jul 2019'!R11,0,IF(($F$5-'Tariff Jul 2019'!R11)&lt;='Tariff Jul 2019'!T11,(($F$5-'Tariff Jul 2019'!R11)*'Tariff Jul 2019'!S11/100),(('Tariff Jul 2019'!T11-'Tariff Jul 2019'!R11)*'Tariff Jul 2019'!S11/100)))</f>
        <v>0</v>
      </c>
      <c r="G19" s="84">
        <v>0</v>
      </c>
      <c r="H19" s="84">
        <v>0</v>
      </c>
      <c r="I19" s="84">
        <f>IF(($F$5&lt;'Tariff Jul 2019'!T11),(0),($F$5-'Tariff Jul 2019'!T11)*'Tariff Jul 2019'!U11/100)</f>
        <v>0</v>
      </c>
      <c r="J19" s="84">
        <f t="shared" si="0"/>
        <v>401.68321090909086</v>
      </c>
      <c r="K19" s="298">
        <f t="shared" si="6"/>
        <v>1306.2342981818181</v>
      </c>
      <c r="L19" s="86">
        <f t="shared" si="1"/>
        <v>1606.7328436363634</v>
      </c>
      <c r="M19" s="86">
        <f t="shared" si="2"/>
        <v>1767.4061279999999</v>
      </c>
      <c r="N19" s="1">
        <f>'Tariff Jul 2019'!AW11</f>
        <v>12</v>
      </c>
      <c r="O19" s="1">
        <f>'Tariff Jul 2019'!AX11</f>
        <v>0</v>
      </c>
      <c r="P19" s="1">
        <f>'Tariff Jul 2019'!AY11</f>
        <v>0</v>
      </c>
      <c r="Q19" s="1">
        <f>'Tariff Jul 2019'!AZ11</f>
        <v>0</v>
      </c>
      <c r="R19" s="87">
        <f>($F$6*'Tariff Jul 2019'!AT11/100)*4</f>
        <v>261.07199999999995</v>
      </c>
      <c r="S19" s="298">
        <f>M19-(M19*N19/100)</f>
        <v>1555.31739264</v>
      </c>
      <c r="T19" s="298">
        <f t="shared" si="7"/>
        <v>1555.31739264</v>
      </c>
      <c r="U19" s="298">
        <f t="shared" si="3"/>
        <v>1294.2453926400001</v>
      </c>
      <c r="V19" s="298">
        <f t="shared" si="4"/>
        <v>1294.2453926400001</v>
      </c>
      <c r="W19" s="300">
        <f>U19</f>
        <v>1294.2453926400001</v>
      </c>
      <c r="X19" s="300">
        <f>V19</f>
        <v>1294.2453926400001</v>
      </c>
      <c r="Y19" s="88">
        <f>'Tariff Jul 2019'!AT11</f>
        <v>10</v>
      </c>
      <c r="Z19" s="89">
        <f>'Tariff Jul 2019'!BI11</f>
        <v>0</v>
      </c>
      <c r="AA19" s="89" t="str">
        <f>'Tariff Jul 2019'!BJ11</f>
        <v>n</v>
      </c>
      <c r="AB19" s="90">
        <f>'Tariff Jul 2019'!G11</f>
        <v>42185</v>
      </c>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row>
    <row r="20" spans="1:88" ht="14" x14ac:dyDescent="0.15">
      <c r="A20" s="63" t="str">
        <f>'Tariff Jul 2019'!K12</f>
        <v>Powerdirect</v>
      </c>
      <c r="B20" s="1" t="str">
        <f>'Tariff Jul 2019'!L12</f>
        <v>Discount Saver</v>
      </c>
      <c r="C20" s="84">
        <f>91*'Tariff Jul 2019'!M12/100</f>
        <v>73.709999999999994</v>
      </c>
      <c r="D20" s="84">
        <f>$F$5*'Tariff Jul 2019'!N12/100</f>
        <v>327.6947127272727</v>
      </c>
      <c r="E20" s="84">
        <v>0</v>
      </c>
      <c r="F20" s="85">
        <v>0</v>
      </c>
      <c r="G20" s="84">
        <v>0</v>
      </c>
      <c r="H20" s="84">
        <v>0</v>
      </c>
      <c r="I20" s="84">
        <v>0</v>
      </c>
      <c r="J20" s="84">
        <f t="shared" si="0"/>
        <v>401.40471272727268</v>
      </c>
      <c r="K20" s="298">
        <f t="shared" si="6"/>
        <v>1310.7788509090908</v>
      </c>
      <c r="L20" s="86">
        <f t="shared" si="1"/>
        <v>1605.6188509090907</v>
      </c>
      <c r="M20" s="86">
        <f t="shared" si="2"/>
        <v>1766.180736</v>
      </c>
      <c r="N20" s="1">
        <f>'Tariff Jul 2019'!AW12</f>
        <v>12</v>
      </c>
      <c r="O20" s="1">
        <f>'Tariff Jul 2019'!AX12</f>
        <v>0</v>
      </c>
      <c r="P20" s="1">
        <f>'Tariff Jul 2019'!AY12</f>
        <v>0</v>
      </c>
      <c r="Q20" s="1">
        <f>'Tariff Jul 2019'!AZ12</f>
        <v>0</v>
      </c>
      <c r="R20" s="87">
        <f>($F$6*'Tariff Jul 2019'!AT12/100)*4</f>
        <v>425.54735999999997</v>
      </c>
      <c r="S20" s="298">
        <f>L20-(L20*N20/100)</f>
        <v>1412.9445887999998</v>
      </c>
      <c r="T20" s="298">
        <f t="shared" si="7"/>
        <v>1412.9445887999998</v>
      </c>
      <c r="U20" s="298">
        <f t="shared" si="3"/>
        <v>987.39722879999977</v>
      </c>
      <c r="V20" s="298">
        <f t="shared" si="4"/>
        <v>987.39722879999977</v>
      </c>
      <c r="W20" s="300">
        <f t="shared" si="5"/>
        <v>1086.1369516799998</v>
      </c>
      <c r="X20" s="300">
        <f t="shared" si="5"/>
        <v>1086.1369516799998</v>
      </c>
      <c r="Y20" s="88">
        <f>'Tariff Jul 2019'!AT12</f>
        <v>16.3</v>
      </c>
      <c r="Z20" s="89">
        <f>'Tariff Jul 2019'!BI12</f>
        <v>0</v>
      </c>
      <c r="AA20" s="89" t="str">
        <f>'Tariff Jul 2019'!BJ12</f>
        <v>n</v>
      </c>
      <c r="AB20" s="90">
        <f>'Tariff Jul 2019'!G12</f>
        <v>42185</v>
      </c>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row>
    <row r="21" spans="1:88" ht="14" x14ac:dyDescent="0.15">
      <c r="A21" s="63" t="str">
        <f>'Tariff Jul 2019'!K13</f>
        <v>Red Energy</v>
      </c>
      <c r="B21" s="1" t="str">
        <f>'Tariff Jul 2019'!L13</f>
        <v>No exit fee saver</v>
      </c>
      <c r="C21" s="84">
        <f>91*'Tariff Jul 2019'!M13/100</f>
        <v>90.999999999999986</v>
      </c>
      <c r="D21" s="84">
        <f>$F$5*'Tariff Jul 2019'!N13/100</f>
        <v>312.19454181818173</v>
      </c>
      <c r="E21" s="84">
        <v>0</v>
      </c>
      <c r="F21" s="85">
        <v>0</v>
      </c>
      <c r="G21" s="84">
        <v>0</v>
      </c>
      <c r="H21" s="84">
        <v>0</v>
      </c>
      <c r="I21" s="84">
        <v>0</v>
      </c>
      <c r="J21" s="84">
        <f t="shared" si="0"/>
        <v>403.19454181818173</v>
      </c>
      <c r="K21" s="298">
        <f>(J21-C21)*4</f>
        <v>1248.7781672727269</v>
      </c>
      <c r="L21" s="86">
        <f t="shared" si="1"/>
        <v>1612.7781672727269</v>
      </c>
      <c r="M21" s="86">
        <f t="shared" si="2"/>
        <v>1774.0559839999999</v>
      </c>
      <c r="N21" s="1">
        <f>'Tariff Jul 2019'!AW13</f>
        <v>0</v>
      </c>
      <c r="O21" s="1">
        <f>'Tariff Jul 2019'!AX13</f>
        <v>0</v>
      </c>
      <c r="P21" s="1">
        <f>'Tariff Jul 2019'!AY13</f>
        <v>10</v>
      </c>
      <c r="Q21" s="1">
        <f>'Tariff Jul 2019'!AZ13</f>
        <v>0</v>
      </c>
      <c r="R21" s="87">
        <f>($F$6*'Tariff Jul 2019'!AT13/100)*4</f>
        <v>417.71519999999998</v>
      </c>
      <c r="S21" s="298">
        <f>M21</f>
        <v>1774.0559839999999</v>
      </c>
      <c r="T21" s="298">
        <f>M21-(M21*P21/100)</f>
        <v>1596.6503855999999</v>
      </c>
      <c r="U21" s="298">
        <f t="shared" si="3"/>
        <v>1356.340784</v>
      </c>
      <c r="V21" s="298">
        <f t="shared" si="4"/>
        <v>1178.9351855999998</v>
      </c>
      <c r="W21" s="300">
        <f>U21</f>
        <v>1356.340784</v>
      </c>
      <c r="X21" s="300">
        <f>V21</f>
        <v>1178.9351855999998</v>
      </c>
      <c r="Y21" s="88">
        <f>'Tariff Jul 2019'!AT13</f>
        <v>16</v>
      </c>
      <c r="Z21" s="89">
        <f>'Tariff Jul 2019'!BI13</f>
        <v>0</v>
      </c>
      <c r="AA21" s="89" t="str">
        <f>'Tariff Jul 2019'!BJ13</f>
        <v>n</v>
      </c>
      <c r="AB21" s="90">
        <f>'Tariff Jul 2019'!G13</f>
        <v>42185</v>
      </c>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row>
    <row r="22" spans="1:88" ht="14" x14ac:dyDescent="0.15">
      <c r="A22" s="63" t="str">
        <f>'Tariff Jul 2019'!K14</f>
        <v>Energy Locals</v>
      </c>
      <c r="B22" s="1" t="str">
        <f>'Tariff Jul 2019'!L14</f>
        <v>Solar Promise</v>
      </c>
      <c r="C22" s="84">
        <f>(91*'Tariff Jul 2019'!M14/100)+('Tariff Jul 2019'!BM14/4)</f>
        <v>120.515</v>
      </c>
      <c r="D22" s="84">
        <f>$F$5*'Tariff Jul 2019'!N14/100</f>
        <v>267.72284727272728</v>
      </c>
      <c r="E22" s="84">
        <v>0</v>
      </c>
      <c r="F22" s="85">
        <v>0</v>
      </c>
      <c r="G22" s="84">
        <v>0</v>
      </c>
      <c r="H22" s="84">
        <v>0</v>
      </c>
      <c r="I22" s="84">
        <v>0</v>
      </c>
      <c r="J22" s="84">
        <f t="shared" si="0"/>
        <v>388.23784727272727</v>
      </c>
      <c r="K22" s="298">
        <f t="shared" si="6"/>
        <v>1070.8913890909091</v>
      </c>
      <c r="L22" s="86">
        <f t="shared" si="1"/>
        <v>1552.9513890909091</v>
      </c>
      <c r="M22" s="86">
        <f t="shared" si="2"/>
        <v>1708.2465280000001</v>
      </c>
      <c r="N22" s="1">
        <f>'Tariff Jul 2019'!AW14</f>
        <v>0</v>
      </c>
      <c r="O22" s="1">
        <f>'Tariff Jul 2019'!AX14</f>
        <v>0</v>
      </c>
      <c r="P22" s="1">
        <f>'Tariff Jul 2019'!AY14</f>
        <v>0</v>
      </c>
      <c r="Q22" s="1">
        <f>'Tariff Jul 2019'!AZ14</f>
        <v>0</v>
      </c>
      <c r="R22" s="87">
        <f>($F$6*'Tariff Jul 2019'!AT14/100)*4</f>
        <v>417.71519999999998</v>
      </c>
      <c r="S22" s="298">
        <f t="shared" ref="S22:S27" si="8">L22</f>
        <v>1552.9513890909091</v>
      </c>
      <c r="T22" s="298">
        <f>S22</f>
        <v>1552.9513890909091</v>
      </c>
      <c r="U22" s="298">
        <f t="shared" si="3"/>
        <v>1135.2361890909092</v>
      </c>
      <c r="V22" s="298">
        <f t="shared" si="4"/>
        <v>1135.2361890909092</v>
      </c>
      <c r="W22" s="300">
        <f t="shared" si="5"/>
        <v>1248.7598080000002</v>
      </c>
      <c r="X22" s="300">
        <f t="shared" si="5"/>
        <v>1248.7598080000002</v>
      </c>
      <c r="Y22" s="88">
        <f>'Tariff Jul 2019'!AT14</f>
        <v>16</v>
      </c>
      <c r="Z22" s="89">
        <f>'Tariff Jul 2019'!BI14</f>
        <v>0</v>
      </c>
      <c r="AA22" s="89" t="str">
        <f>'Tariff Jul 2019'!BJ14</f>
        <v>n</v>
      </c>
      <c r="AB22" s="90">
        <f>'Tariff Jul 2019'!G14</f>
        <v>41915</v>
      </c>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row>
    <row r="23" spans="1:88" ht="14" x14ac:dyDescent="0.15">
      <c r="A23" s="63" t="str">
        <f>'Tariff Jul 2019'!K15</f>
        <v>Simply Energy</v>
      </c>
      <c r="B23" s="1" t="str">
        <f>'Tariff Jul 2019'!L15</f>
        <v>Plus</v>
      </c>
      <c r="C23" s="84">
        <f>91*'Tariff Jul 2019'!M15/100</f>
        <v>79.327181818181813</v>
      </c>
      <c r="D23" s="84">
        <f>$F$5*'Tariff Jul 2019'!N15/100</f>
        <v>322.82554909090908</v>
      </c>
      <c r="E23" s="84">
        <v>0</v>
      </c>
      <c r="F23" s="85">
        <v>0</v>
      </c>
      <c r="G23" s="84">
        <v>0</v>
      </c>
      <c r="H23" s="84">
        <v>0</v>
      </c>
      <c r="I23" s="84">
        <v>0</v>
      </c>
      <c r="J23" s="84">
        <f t="shared" si="0"/>
        <v>402.15273090909091</v>
      </c>
      <c r="K23" s="298">
        <f t="shared" si="6"/>
        <v>1291.3021963636363</v>
      </c>
      <c r="L23" s="86">
        <f t="shared" si="1"/>
        <v>1608.6109236363636</v>
      </c>
      <c r="M23" s="86">
        <f t="shared" si="2"/>
        <v>1769.4720160000002</v>
      </c>
      <c r="N23" s="1">
        <f>'Tariff Jul 2019'!AW15</f>
        <v>0</v>
      </c>
      <c r="O23" s="1">
        <f>'Tariff Jul 2019'!AX15</f>
        <v>0</v>
      </c>
      <c r="P23" s="1">
        <f>'Tariff Jul 2019'!AY15</f>
        <v>0</v>
      </c>
      <c r="Q23" s="1">
        <f>'Tariff Jul 2019'!AZ15</f>
        <v>0</v>
      </c>
      <c r="R23" s="87">
        <f>($F$6*'Tariff Jul 2019'!AT15/100)*4</f>
        <v>391.60799999999995</v>
      </c>
      <c r="S23" s="298">
        <f t="shared" si="8"/>
        <v>1608.6109236363636</v>
      </c>
      <c r="T23" s="298">
        <f>S23</f>
        <v>1608.6109236363636</v>
      </c>
      <c r="U23" s="298">
        <f t="shared" si="3"/>
        <v>1217.0029236363637</v>
      </c>
      <c r="V23" s="298">
        <f t="shared" si="4"/>
        <v>1217.0029236363637</v>
      </c>
      <c r="W23" s="300">
        <f t="shared" si="5"/>
        <v>1338.7032160000001</v>
      </c>
      <c r="X23" s="300">
        <f t="shared" si="5"/>
        <v>1338.7032160000001</v>
      </c>
      <c r="Y23" s="88">
        <f>'Tariff Jul 2019'!AT15</f>
        <v>15</v>
      </c>
      <c r="Z23" s="89">
        <f>'Tariff Jul 2019'!BI15</f>
        <v>0</v>
      </c>
      <c r="AA23" s="89" t="str">
        <f>'Tariff Jul 2019'!BJ15</f>
        <v>n</v>
      </c>
      <c r="AB23" s="90">
        <f>'Tariff Jul 2019'!G15</f>
        <v>42185</v>
      </c>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row>
    <row r="24" spans="1:88" ht="14" x14ac:dyDescent="0.15">
      <c r="A24" s="63" t="str">
        <f>'Tariff Jul 2019'!K16</f>
        <v>Amaysim</v>
      </c>
      <c r="B24" s="1" t="str">
        <f>'Tariff Jul 2019'!L16</f>
        <v>Solar as you go</v>
      </c>
      <c r="C24" s="84">
        <f>91*'Tariff Jul 2019'!M16/100</f>
        <v>65.958454545454558</v>
      </c>
      <c r="D24" s="84">
        <f>IF($F$5&gt;='Tariff Jul 2019'!P16,('Tariff Jul 2019'!P16*'Tariff Jul 2019'!N16/100),($F$5*'Tariff Jul 2019'!N16/100))</f>
        <v>341.32837090909089</v>
      </c>
      <c r="E24" s="84">
        <f>IF($F$5&lt;'Tariff Jul 2019'!P16,0,IF(($F$5-'Tariff Jul 2019'!P16)&lt;='Tariff Jul 2019'!R16,(($F$5-'Tariff Jul 2019'!P16)*'Tariff Jul 2019'!Q16/100),(('Tariff Jul 2019'!R16-'Tariff Jul 2019'!P16)*'Tariff Jul 2019'!Q16/100)))</f>
        <v>0</v>
      </c>
      <c r="F24" s="85">
        <f>IF($F$5&lt;'Tariff Jul 2019'!R16,0,IF(($F$5-'Tariff Jul 2019'!R16)&lt;='Tariff Jul 2019'!T16,(($F$5-'Tariff Jul 2019'!R16)*'Tariff Jul 2019'!S16/100),(('Tariff Jul 2019'!T16-'Tariff Jul 2019'!R16)*'Tariff Jul 2019'!S16/100)))</f>
        <v>0</v>
      </c>
      <c r="G24" s="84">
        <v>0</v>
      </c>
      <c r="H24" s="84">
        <v>0</v>
      </c>
      <c r="I24" s="84">
        <f>IF(($F$5&lt;'Tariff Jul 2019'!T16),(0),($F$5-'Tariff Jul 2019'!T16)*'Tariff Jul 2019'!U16/100)</f>
        <v>0</v>
      </c>
      <c r="J24" s="84">
        <f t="shared" ref="J24:J27" si="9">SUM(C24:I24)</f>
        <v>407.28682545454546</v>
      </c>
      <c r="K24" s="298">
        <f t="shared" ref="K24:K27" si="10">(J24-C24)*4</f>
        <v>1365.3134836363636</v>
      </c>
      <c r="L24" s="86">
        <f t="shared" ref="L24:L27" si="11">J24*4</f>
        <v>1629.1473018181819</v>
      </c>
      <c r="M24" s="86">
        <f t="shared" ref="M24:M27" si="12">L24*1.1</f>
        <v>1792.0620320000003</v>
      </c>
      <c r="N24" s="1">
        <f>'Tariff Jul 2019'!AW16</f>
        <v>0</v>
      </c>
      <c r="O24" s="1">
        <f>'Tariff Jul 2019'!AX16</f>
        <v>0</v>
      </c>
      <c r="P24" s="1">
        <f>'Tariff Jul 2019'!AY16</f>
        <v>0</v>
      </c>
      <c r="Q24" s="1">
        <f>'Tariff Jul 2019'!AZ16</f>
        <v>0</v>
      </c>
      <c r="R24" s="87">
        <f>($F$6*'Tariff Jul 2019'!AT16/100)*4</f>
        <v>574.35839999999996</v>
      </c>
      <c r="S24" s="298">
        <f t="shared" si="8"/>
        <v>1629.1473018181819</v>
      </c>
      <c r="T24" s="298">
        <f>S24</f>
        <v>1629.1473018181819</v>
      </c>
      <c r="U24" s="298">
        <f t="shared" si="3"/>
        <v>1054.7889018181818</v>
      </c>
      <c r="V24" s="298">
        <f t="shared" si="4"/>
        <v>1054.7889018181818</v>
      </c>
      <c r="W24" s="300">
        <f t="shared" ref="W24:W27" si="13">U24*1.1</f>
        <v>1160.2677920000001</v>
      </c>
      <c r="X24" s="300">
        <f t="shared" ref="X24:X27" si="14">V24*1.1</f>
        <v>1160.2677920000001</v>
      </c>
      <c r="Y24" s="88">
        <f>'Tariff Jul 2019'!AT16</f>
        <v>22</v>
      </c>
      <c r="Z24" s="89">
        <f>'Tariff Jul 2019'!BI16</f>
        <v>0</v>
      </c>
      <c r="AA24" s="89" t="str">
        <f>'Tariff Jul 2019'!BJ16</f>
        <v>n</v>
      </c>
      <c r="AB24" s="90">
        <f>'Tariff Jul 2019'!G16</f>
        <v>42185</v>
      </c>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row>
    <row r="25" spans="1:88" ht="14" x14ac:dyDescent="0.15">
      <c r="A25" s="63" t="str">
        <f>'Tariff Jul 2019'!K17</f>
        <v>Powershop</v>
      </c>
      <c r="B25" s="1" t="str">
        <f>'Tariff Jul 2019'!L17</f>
        <v>Shopper with Mega Pack</v>
      </c>
      <c r="C25" s="84">
        <f>91*'Tariff Jul 2019'!M17/100</f>
        <v>98.543900000000008</v>
      </c>
      <c r="D25" s="84">
        <f>$F$5*'Tariff Jul 2019'!N17/100</f>
        <v>305.1342545454545</v>
      </c>
      <c r="E25" s="84">
        <v>0</v>
      </c>
      <c r="F25" s="85">
        <v>0</v>
      </c>
      <c r="G25" s="84">
        <v>0</v>
      </c>
      <c r="H25" s="84">
        <v>0</v>
      </c>
      <c r="I25" s="84">
        <v>0</v>
      </c>
      <c r="J25" s="84">
        <f t="shared" si="9"/>
        <v>403.6781545454545</v>
      </c>
      <c r="K25" s="298">
        <f t="shared" si="10"/>
        <v>1220.537018181818</v>
      </c>
      <c r="L25" s="86">
        <f t="shared" si="11"/>
        <v>1614.712618181818</v>
      </c>
      <c r="M25" s="86">
        <f t="shared" si="12"/>
        <v>1776.18388</v>
      </c>
      <c r="N25" s="1">
        <f>'Tariff Jul 2019'!AW17</f>
        <v>0</v>
      </c>
      <c r="O25" s="1">
        <f>'Tariff Jul 2019'!AX17</f>
        <v>0</v>
      </c>
      <c r="P25" s="1">
        <f>'Tariff Jul 2019'!AY17</f>
        <v>15</v>
      </c>
      <c r="Q25" s="1">
        <f>'Tariff Jul 2019'!AZ17</f>
        <v>0</v>
      </c>
      <c r="R25" s="87">
        <f>($F$6*'Tariff Jul 2019'!AT17/100)*4</f>
        <v>266.29343999999998</v>
      </c>
      <c r="S25" s="298">
        <f>M25</f>
        <v>1776.18388</v>
      </c>
      <c r="T25" s="298">
        <f>M25-(M25*P25/100)</f>
        <v>1509.756298</v>
      </c>
      <c r="U25" s="298">
        <f t="shared" si="3"/>
        <v>1509.8904400000001</v>
      </c>
      <c r="V25" s="298">
        <f t="shared" si="4"/>
        <v>1243.4628580000001</v>
      </c>
      <c r="W25" s="300">
        <f>U25</f>
        <v>1509.8904400000001</v>
      </c>
      <c r="X25" s="300">
        <f>V25</f>
        <v>1243.4628580000001</v>
      </c>
      <c r="Y25" s="88">
        <f>'Tariff Jul 2019'!AT17</f>
        <v>10.199999999999999</v>
      </c>
      <c r="Z25" s="89">
        <f>'Tariff Jul 2019'!BI17</f>
        <v>0</v>
      </c>
      <c r="AA25" s="89" t="str">
        <f>'Tariff Jul 2019'!BJ17</f>
        <v>n</v>
      </c>
      <c r="AB25" s="90">
        <f>'Tariff Jul 2019'!G17</f>
        <v>42185</v>
      </c>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row>
    <row r="26" spans="1:88" ht="14" x14ac:dyDescent="0.15">
      <c r="A26" s="63" t="str">
        <f>'Tariff Jul 2019'!K18</f>
        <v>Powerclub</v>
      </c>
      <c r="B26" s="1" t="str">
        <f>'Tariff Jul 2019'!L18</f>
        <v>Powerbank Home Solar</v>
      </c>
      <c r="C26" s="84">
        <f>(91*'Tariff Jul 2019'!M18/100)+('Tariff Jul 2019'!BM18/4)</f>
        <v>94.266090909090906</v>
      </c>
      <c r="D26" s="84">
        <f>IF($F$5&gt;='Tariff Jul 2019'!P18,('Tariff Jul 2019'!P18*'Tariff Jul 2019'!N18/100),($F$5*'Tariff Jul 2019'!N18/100))</f>
        <v>248.81426181818179</v>
      </c>
      <c r="E26" s="84">
        <f>IF($F$5&lt;'Tariff Jul 2019'!P18,0,IF(($F$5-'Tariff Jul 2019'!P18)&lt;='Tariff Jul 2019'!R18,(($F$5-'Tariff Jul 2019'!P18)*'Tariff Jul 2019'!Q18/100),(('Tariff Jul 2019'!R18-'Tariff Jul 2019'!P18)*'Tariff Jul 2019'!Q18/100)))</f>
        <v>0</v>
      </c>
      <c r="F26" s="85">
        <f>IF($F$5&lt;'Tariff Jul 2019'!R18,0,IF(($F$5-'Tariff Jul 2019'!R18)&lt;='Tariff Jul 2019'!T18,(($F$5-'Tariff Jul 2019'!R18)*'Tariff Jul 2019'!S18/100),(('Tariff Jul 2019'!T18-'Tariff Jul 2019'!R18)*'Tariff Jul 2019'!S18/100)))</f>
        <v>0</v>
      </c>
      <c r="G26" s="84">
        <v>0</v>
      </c>
      <c r="H26" s="84">
        <v>0</v>
      </c>
      <c r="I26" s="84">
        <f>IF(($F$5&lt;'Tariff Jul 2019'!T18),(0),($F$5-'Tariff Jul 2019'!T18)*'Tariff Jul 2019'!U18/100)</f>
        <v>0</v>
      </c>
      <c r="J26" s="84">
        <f t="shared" si="9"/>
        <v>343.08035272727273</v>
      </c>
      <c r="K26" s="298">
        <f t="shared" si="10"/>
        <v>995.25704727272728</v>
      </c>
      <c r="L26" s="86">
        <f t="shared" si="11"/>
        <v>1372.3214109090909</v>
      </c>
      <c r="M26" s="86">
        <f t="shared" si="12"/>
        <v>1509.5535520000001</v>
      </c>
      <c r="N26" s="1">
        <f>'Tariff Jul 2019'!AW18</f>
        <v>0</v>
      </c>
      <c r="O26" s="1">
        <f>'Tariff Jul 2019'!AX18</f>
        <v>0</v>
      </c>
      <c r="P26" s="1">
        <f>'Tariff Jul 2019'!AY18</f>
        <v>0</v>
      </c>
      <c r="Q26" s="1">
        <f>'Tariff Jul 2019'!AZ18</f>
        <v>0</v>
      </c>
      <c r="R26" s="87">
        <f>($F$6*'Tariff Jul 2019'!AT18/100)*4</f>
        <v>300.2328</v>
      </c>
      <c r="S26" s="298">
        <f t="shared" si="8"/>
        <v>1372.3214109090909</v>
      </c>
      <c r="T26" s="298">
        <f>S26</f>
        <v>1372.3214109090909</v>
      </c>
      <c r="U26" s="298">
        <f t="shared" si="3"/>
        <v>1072.0886109090909</v>
      </c>
      <c r="V26" s="298">
        <f t="shared" si="4"/>
        <v>1072.0886109090909</v>
      </c>
      <c r="W26" s="300">
        <f t="shared" si="13"/>
        <v>1179.2974720000002</v>
      </c>
      <c r="X26" s="300">
        <f t="shared" si="14"/>
        <v>1179.2974720000002</v>
      </c>
      <c r="Y26" s="88">
        <f>'Tariff Jul 2019'!AT18</f>
        <v>11.5</v>
      </c>
      <c r="Z26" s="89">
        <f>'Tariff Jul 2019'!BI18</f>
        <v>0</v>
      </c>
      <c r="AA26" s="89" t="str">
        <f>'Tariff Jul 2019'!BJ18</f>
        <v>n</v>
      </c>
      <c r="AB26" s="90">
        <f>'Tariff Jul 2019'!G18</f>
        <v>42184</v>
      </c>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row>
    <row r="27" spans="1:88" ht="15" thickBot="1" x14ac:dyDescent="0.2">
      <c r="A27" s="91" t="str">
        <f>'Tariff Jul 2019'!K19</f>
        <v>Amber Electric</v>
      </c>
      <c r="B27" s="92" t="str">
        <f>'Tariff Jul 2019'!L19</f>
        <v>Market offer</v>
      </c>
      <c r="C27" s="93">
        <f>91*'Tariff Jul 2019'!M19/100</f>
        <v>97.37</v>
      </c>
      <c r="D27" s="93">
        <f>$F$5*'Tariff Jul 2019'!N19/100</f>
        <v>392.7792</v>
      </c>
      <c r="E27" s="93">
        <v>0</v>
      </c>
      <c r="F27" s="94">
        <v>0</v>
      </c>
      <c r="G27" s="93">
        <v>0</v>
      </c>
      <c r="H27" s="93">
        <v>0</v>
      </c>
      <c r="I27" s="93">
        <v>0</v>
      </c>
      <c r="J27" s="93">
        <f t="shared" si="9"/>
        <v>490.14920000000001</v>
      </c>
      <c r="K27" s="299">
        <f t="shared" si="10"/>
        <v>1571.1168</v>
      </c>
      <c r="L27" s="95">
        <f t="shared" si="11"/>
        <v>1960.5968</v>
      </c>
      <c r="M27" s="95">
        <f t="shared" si="12"/>
        <v>2156.6564800000001</v>
      </c>
      <c r="N27" s="92">
        <f>'Tariff Jul 2019'!AW19</f>
        <v>0</v>
      </c>
      <c r="O27" s="92">
        <f>'Tariff Jul 2019'!AX19</f>
        <v>0</v>
      </c>
      <c r="P27" s="92">
        <f>'Tariff Jul 2019'!AY19</f>
        <v>0</v>
      </c>
      <c r="Q27" s="92">
        <f>'Tariff Jul 2019'!AZ19</f>
        <v>0</v>
      </c>
      <c r="R27" s="96">
        <f>($F$6*'Tariff Jul 2019'!AT19/100)*4</f>
        <v>208.85759999999999</v>
      </c>
      <c r="S27" s="299">
        <f t="shared" si="8"/>
        <v>1960.5968</v>
      </c>
      <c r="T27" s="299">
        <f>S27</f>
        <v>1960.5968</v>
      </c>
      <c r="U27" s="299">
        <f t="shared" si="3"/>
        <v>1751.7392</v>
      </c>
      <c r="V27" s="299">
        <f t="shared" si="4"/>
        <v>1751.7392</v>
      </c>
      <c r="W27" s="301">
        <f t="shared" si="13"/>
        <v>1926.9131200000002</v>
      </c>
      <c r="X27" s="301">
        <f t="shared" si="14"/>
        <v>1926.9131200000002</v>
      </c>
      <c r="Y27" s="97">
        <f>'Tariff Jul 2019'!AT19</f>
        <v>8</v>
      </c>
      <c r="Z27" s="98">
        <f>'Tariff Jul 2019'!BI19</f>
        <v>0</v>
      </c>
      <c r="AA27" s="98" t="str">
        <f>'Tariff Jul 2019'!BJ19</f>
        <v>n</v>
      </c>
      <c r="AB27" s="99">
        <f>'Tariff Jul 2019'!G19</f>
        <v>41934</v>
      </c>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row>
    <row r="28" spans="1:88" ht="14" x14ac:dyDescent="0.15">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row>
    <row r="29" spans="1:88" ht="15" thickBot="1" x14ac:dyDescent="0.2">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row>
    <row r="30" spans="1:88" ht="14" x14ac:dyDescent="0.15">
      <c r="A30" s="82" t="s">
        <v>154</v>
      </c>
      <c r="B30" s="83"/>
      <c r="C30" s="100"/>
      <c r="D30" s="100"/>
      <c r="E30" s="100"/>
      <c r="F30" s="100"/>
      <c r="G30" s="101"/>
      <c r="H30" s="101"/>
      <c r="I30" s="83"/>
      <c r="J30" s="83"/>
      <c r="K30" s="101"/>
      <c r="L30" s="83"/>
      <c r="M30" s="83"/>
      <c r="N30" s="83"/>
      <c r="O30" s="83"/>
      <c r="P30" s="83"/>
      <c r="Q30" s="83"/>
      <c r="R30" s="83"/>
      <c r="S30" s="83"/>
      <c r="T30" s="83"/>
      <c r="U30" s="83"/>
      <c r="V30" s="83"/>
      <c r="W30" s="83"/>
      <c r="X30" s="83"/>
      <c r="Y30" s="83"/>
      <c r="Z30" s="83"/>
      <c r="AA30" s="83"/>
      <c r="AB30" s="18"/>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row>
    <row r="31" spans="1:88" ht="90" x14ac:dyDescent="0.15">
      <c r="A31" s="287" t="s">
        <v>231</v>
      </c>
      <c r="B31" s="288" t="s">
        <v>243</v>
      </c>
      <c r="C31" s="289" t="s">
        <v>244</v>
      </c>
      <c r="D31" s="289" t="s">
        <v>227</v>
      </c>
      <c r="E31" s="290" t="s">
        <v>357</v>
      </c>
      <c r="F31" s="290" t="s">
        <v>358</v>
      </c>
      <c r="G31" s="290" t="s">
        <v>329</v>
      </c>
      <c r="H31" s="290" t="s">
        <v>222</v>
      </c>
      <c r="I31" s="290" t="s">
        <v>223</v>
      </c>
      <c r="J31" s="290" t="s">
        <v>799</v>
      </c>
      <c r="K31" s="296" t="s">
        <v>246</v>
      </c>
      <c r="L31" s="296" t="s">
        <v>247</v>
      </c>
      <c r="M31" s="291" t="s">
        <v>248</v>
      </c>
      <c r="N31" s="292" t="s">
        <v>249</v>
      </c>
      <c r="O31" s="292" t="s">
        <v>250</v>
      </c>
      <c r="P31" s="292" t="s">
        <v>251</v>
      </c>
      <c r="Q31" s="292" t="s">
        <v>365</v>
      </c>
      <c r="R31" s="293" t="s">
        <v>373</v>
      </c>
      <c r="S31" s="297" t="s">
        <v>255</v>
      </c>
      <c r="T31" s="297" t="s">
        <v>224</v>
      </c>
      <c r="U31" s="297" t="s">
        <v>374</v>
      </c>
      <c r="V31" s="297" t="s">
        <v>375</v>
      </c>
      <c r="W31" s="293" t="s">
        <v>376</v>
      </c>
      <c r="X31" s="293" t="s">
        <v>436</v>
      </c>
      <c r="Y31" s="292" t="s">
        <v>155</v>
      </c>
      <c r="Z31" s="295" t="s">
        <v>225</v>
      </c>
      <c r="AA31" s="292" t="s">
        <v>226</v>
      </c>
      <c r="AB31" s="294" t="s">
        <v>221</v>
      </c>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row>
    <row r="32" spans="1:88" ht="14" x14ac:dyDescent="0.15">
      <c r="A32" s="63" t="str">
        <f>'Tariff Jul 2019'!K20</f>
        <v>AGL</v>
      </c>
      <c r="B32" s="1" t="str">
        <f>'Tariff Jul 2019'!L20</f>
        <v>Smart Saver</v>
      </c>
      <c r="C32" s="102">
        <f>91*'Tariff Jul 2019'!M20/100</f>
        <v>73.709999999999994</v>
      </c>
      <c r="D32" s="102">
        <f>$H$5*'Tariff Jul 2019'!N20/100</f>
        <v>262.15577018181813</v>
      </c>
      <c r="E32" s="102">
        <v>0</v>
      </c>
      <c r="F32" s="102">
        <v>0</v>
      </c>
      <c r="G32" s="102">
        <v>0</v>
      </c>
      <c r="H32" s="102">
        <f>($I$5)*'Tariff Jul 2019'!AE20/100</f>
        <v>35.901966545454542</v>
      </c>
      <c r="I32" s="102">
        <v>0</v>
      </c>
      <c r="J32" s="102">
        <f>SUM(C32:I32)</f>
        <v>371.76773672727268</v>
      </c>
      <c r="K32" s="298">
        <f>(J32-C32)*4</f>
        <v>1192.2309469090908</v>
      </c>
      <c r="L32" s="86">
        <f>J32*4</f>
        <v>1487.0709469090907</v>
      </c>
      <c r="M32" s="86">
        <f>L32*1.1</f>
        <v>1635.7780415999998</v>
      </c>
      <c r="N32" s="1">
        <f>'Tariff Jul 2019'!AW20</f>
        <v>8</v>
      </c>
      <c r="O32" s="1">
        <f>'Tariff Jul 2019'!AX20</f>
        <v>0</v>
      </c>
      <c r="P32" s="1">
        <f>'Tariff Jul 2019'!AY20</f>
        <v>0</v>
      </c>
      <c r="Q32" s="1">
        <f>'Tariff Jul 2019'!AZ20</f>
        <v>0</v>
      </c>
      <c r="R32" s="87">
        <f>($F$6*'Tariff Jul 2019'!AT20/100)*4</f>
        <v>425.54735999999997</v>
      </c>
      <c r="S32" s="298">
        <f>L32-(L32*N32/100)</f>
        <v>1368.1052711563634</v>
      </c>
      <c r="T32" s="298">
        <f>S32</f>
        <v>1368.1052711563634</v>
      </c>
      <c r="U32" s="298">
        <f>S32-R32</f>
        <v>942.55791115636339</v>
      </c>
      <c r="V32" s="298">
        <f>T32-R32</f>
        <v>942.55791115636339</v>
      </c>
      <c r="W32" s="300">
        <f>U32*1.1</f>
        <v>1036.8137022719998</v>
      </c>
      <c r="X32" s="300">
        <f>V32*1.1</f>
        <v>1036.8137022719998</v>
      </c>
      <c r="Y32" s="88">
        <f>'Tariff Jul 2019'!AT14</f>
        <v>16</v>
      </c>
      <c r="Z32" s="89">
        <f>'Tariff Jul 2019'!BI20</f>
        <v>0</v>
      </c>
      <c r="AA32" s="89" t="str">
        <f>'Tariff Jul 2019'!BJ20</f>
        <v>n</v>
      </c>
      <c r="AB32" s="90">
        <f>'Tariff Jul 2019'!G20</f>
        <v>42185</v>
      </c>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row>
    <row r="33" spans="1:88" ht="14" x14ac:dyDescent="0.15">
      <c r="A33" s="63" t="str">
        <f>'Tariff Jul 2019'!K21</f>
        <v>Alinta Energy</v>
      </c>
      <c r="B33" s="1" t="str">
        <f>'Tariff Jul 2019'!L21</f>
        <v>No fuss</v>
      </c>
      <c r="C33" s="102">
        <f>91*'Tariff Jul 2019'!M21/100</f>
        <v>75.53</v>
      </c>
      <c r="D33" s="102">
        <f>IF($H$5&gt;='Tariff Jul 2019'!P21,('Tariff Jul 2019'!P21*'Tariff Jul 2019'!N21/100),(($H$5)*'Tariff Jul 2019'!N21/100))</f>
        <v>90.463636363636354</v>
      </c>
      <c r="E33" s="102">
        <f>IF($H$5&lt;'Tariff Jul 2019'!P21,0,IF(($H$5-'Tariff Jul 2019'!P21)&lt;='Tariff Jul 2019'!R21,(($H$5-'Tariff Jul 2019'!P21)*'Tariff Jul 2019'!Q21/100),(('Tariff Jul 2019'!R21-'Tariff Jul 2019'!P21)*'Tariff Jul 2019'!Q21/100)))</f>
        <v>0</v>
      </c>
      <c r="F33" s="102">
        <f>IF($H$5&lt;'Tariff Jul 2019'!R21,0,IF(($H$5-'Tariff Jul 2019'!R21)&lt;='Tariff Jul 2019'!T21,(($H$5-'Tariff Jul 2019'!R21)*'Tariff Jul 2019'!S21/100),(('Tariff Jul 2019'!T21-'Tariff Jul 2019'!R21)*'Tariff Jul 2019'!S21/100)))</f>
        <v>0</v>
      </c>
      <c r="G33" s="102">
        <f>IF(($H$5&lt;'Tariff Jul 2019'!T21),(0),($H$5-'Tariff Jul 2019'!T21)*'Tariff Jul 2019'!U21/100)</f>
        <v>139.11473454545452</v>
      </c>
      <c r="H33" s="102">
        <f>($I$5)*'Tariff Jul 2019'!AE21/100</f>
        <v>29.669437090909085</v>
      </c>
      <c r="I33" s="102">
        <f>IF((I5&lt;'Tariff Jul 2019'!AF21),(0),(I5-'Tariff Jul 2019'!AF21)*'Tariff Jul 2019'!AG21/100)</f>
        <v>0</v>
      </c>
      <c r="J33" s="102">
        <f t="shared" ref="J33:J44" si="15">SUM(C33:I33)</f>
        <v>334.77780799999999</v>
      </c>
      <c r="K33" s="298">
        <f>(J33-C33)*4</f>
        <v>1036.9912319999999</v>
      </c>
      <c r="L33" s="86">
        <f t="shared" ref="L33:L45" si="16">J33*4</f>
        <v>1339.111232</v>
      </c>
      <c r="M33" s="86">
        <f t="shared" ref="M33:M45" si="17">L33*1.1</f>
        <v>1473.0223552</v>
      </c>
      <c r="N33" s="1">
        <f>'Tariff Jul 2019'!AW21</f>
        <v>0</v>
      </c>
      <c r="O33" s="1">
        <f>'Tariff Jul 2019'!AX21</f>
        <v>0</v>
      </c>
      <c r="P33" s="1">
        <f>'Tariff Jul 2019'!AY21</f>
        <v>0</v>
      </c>
      <c r="Q33" s="1">
        <f>'Tariff Jul 2019'!AZ21</f>
        <v>0</v>
      </c>
      <c r="R33" s="87">
        <f>($F$6*'Tariff Jul 2019'!AT21/100)*4</f>
        <v>248.01839999999996</v>
      </c>
      <c r="S33" s="298">
        <f>L33</f>
        <v>1339.111232</v>
      </c>
      <c r="T33" s="298">
        <f>S33</f>
        <v>1339.111232</v>
      </c>
      <c r="U33" s="298">
        <f t="shared" ref="U33:U47" si="18">S33-R33</f>
        <v>1091.092832</v>
      </c>
      <c r="V33" s="298">
        <f t="shared" ref="V33:V47" si="19">T33-R33</f>
        <v>1091.092832</v>
      </c>
      <c r="W33" s="300">
        <f t="shared" ref="W33:W40" si="20">U33*1.1</f>
        <v>1200.2021152000002</v>
      </c>
      <c r="X33" s="300">
        <f t="shared" ref="X33:X40" si="21">V33*1.1</f>
        <v>1200.2021152000002</v>
      </c>
      <c r="Y33" s="88">
        <f>'Tariff Jul 2019'!AT20</f>
        <v>16.3</v>
      </c>
      <c r="Z33" s="89">
        <f>'Tariff Jul 2019'!BI21</f>
        <v>0</v>
      </c>
      <c r="AA33" s="89" t="str">
        <f>'Tariff Jul 2019'!BJ21</f>
        <v>n</v>
      </c>
      <c r="AB33" s="90">
        <f>'Tariff Jul 2019'!G21</f>
        <v>42185</v>
      </c>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row>
    <row r="34" spans="1:88" ht="14" x14ac:dyDescent="0.15">
      <c r="A34" s="63" t="str">
        <f>'Tariff Jul 2019'!K22</f>
        <v>Click Energy</v>
      </c>
      <c r="B34" s="1" t="str">
        <f>'Tariff Jul 2019'!L22</f>
        <v>Banksia Solar</v>
      </c>
      <c r="C34" s="102">
        <f>91*'Tariff Jul 2019'!M22/100</f>
        <v>82.445999999999998</v>
      </c>
      <c r="D34" s="102">
        <f>$H$5*'Tariff Jul 2019'!N22/100</f>
        <v>255.85831854545447</v>
      </c>
      <c r="E34" s="102">
        <v>0</v>
      </c>
      <c r="F34" s="102">
        <v>0</v>
      </c>
      <c r="G34" s="102">
        <v>0</v>
      </c>
      <c r="H34" s="102">
        <f>($I$5)*'Tariff Jul 2019'!AE22/100</f>
        <v>36.129194181818178</v>
      </c>
      <c r="I34" s="102">
        <v>0</v>
      </c>
      <c r="J34" s="102">
        <f t="shared" si="15"/>
        <v>374.43351272727261</v>
      </c>
      <c r="K34" s="298">
        <f t="shared" ref="K34:K45" si="22">(J34-C34)*4</f>
        <v>1167.9500509090904</v>
      </c>
      <c r="L34" s="86">
        <f t="shared" si="16"/>
        <v>1497.7340509090905</v>
      </c>
      <c r="M34" s="86">
        <f t="shared" si="17"/>
        <v>1647.5074559999996</v>
      </c>
      <c r="N34" s="1">
        <f>'Tariff Jul 2019'!AW22</f>
        <v>0</v>
      </c>
      <c r="O34" s="1">
        <f>'Tariff Jul 2019'!AX22</f>
        <v>0</v>
      </c>
      <c r="P34" s="1">
        <f>'Tariff Jul 2019'!AY22</f>
        <v>0</v>
      </c>
      <c r="Q34" s="1">
        <f>'Tariff Jul 2019'!AZ22</f>
        <v>0</v>
      </c>
      <c r="R34" s="87">
        <f>($F$6*'Tariff Jul 2019'!AT22/100)*4</f>
        <v>443.82239999999996</v>
      </c>
      <c r="S34" s="298">
        <f>L34</f>
        <v>1497.7340509090905</v>
      </c>
      <c r="T34" s="298">
        <f>S34</f>
        <v>1497.7340509090905</v>
      </c>
      <c r="U34" s="298">
        <f t="shared" si="18"/>
        <v>1053.9116509090904</v>
      </c>
      <c r="V34" s="298">
        <f t="shared" si="19"/>
        <v>1053.9116509090904</v>
      </c>
      <c r="W34" s="300">
        <f t="shared" si="20"/>
        <v>1159.3028159999997</v>
      </c>
      <c r="X34" s="300">
        <f t="shared" si="21"/>
        <v>1159.3028159999997</v>
      </c>
      <c r="Y34" s="88">
        <f>'Tariff Jul 2019'!AT21</f>
        <v>9.5</v>
      </c>
      <c r="Z34" s="89">
        <f>'Tariff Jul 2019'!BI22</f>
        <v>0</v>
      </c>
      <c r="AA34" s="89" t="str">
        <f>'Tariff Jul 2019'!BJ22</f>
        <v>n</v>
      </c>
      <c r="AB34" s="90">
        <f>'Tariff Jul 2019'!G22</f>
        <v>42185</v>
      </c>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row>
    <row r="35" spans="1:88" ht="14" x14ac:dyDescent="0.15">
      <c r="A35" s="63" t="str">
        <f>'Tariff Jul 2019'!K23</f>
        <v>Commander</v>
      </c>
      <c r="B35" s="1" t="str">
        <f>'Tariff Jul 2019'!L23</f>
        <v>Market offer</v>
      </c>
      <c r="C35" s="102">
        <f>91*'Tariff Jul 2019'!M23/100</f>
        <v>80.808000000000007</v>
      </c>
      <c r="D35" s="102">
        <f>IF($H$5&gt;='Tariff Jul 2019'!P23,('Tariff Jul 2019'!P23*'Tariff Jul 2019'!N23/100),(($H$5)*'Tariff Jul 2019'!N23/100))</f>
        <v>231.44757818181813</v>
      </c>
      <c r="E35" s="102">
        <f>IF($H$5&lt;'Tariff Jul 2019'!P23,0,IF(($H$5-'Tariff Jul 2019'!P23)&lt;='Tariff Jul 2019'!R23,(($H$5-'Tariff Jul 2019'!P23)*'Tariff Jul 2019'!Q23/100),(('Tariff Jul 2019'!R23-'Tariff Jul 2019'!P23)*'Tariff Jul 2019'!Q23/100)))</f>
        <v>0</v>
      </c>
      <c r="F35" s="102">
        <f>IF($H$5&lt;'Tariff Jul 2019'!R23,0,IF(($H$5-'Tariff Jul 2019'!R23)&lt;='Tariff Jul 2019'!T23,(($H$5-'Tariff Jul 2019'!R23)*'Tariff Jul 2019'!S23/100),(('Tariff Jul 2019'!T23-'Tariff Jul 2019'!R23)*'Tariff Jul 2019'!S23/100)))</f>
        <v>0</v>
      </c>
      <c r="G35" s="102">
        <f>IF(($H$5&lt;'Tariff Jul 2019'!T23),(0),($H$5-'Tariff Jul 2019'!T23)*'Tariff Jul 2019'!U23/100)</f>
        <v>0</v>
      </c>
      <c r="H35" s="102">
        <f>($I$5)*'Tariff Jul 2019'!AE23/100</f>
        <v>32.266324363636357</v>
      </c>
      <c r="I35" s="102">
        <f>IF((I7&lt;'Tariff Jul 2019'!AF23),(0),(I7-'Tariff Jul 2019'!AF23)*'Tariff Jul 2019'!AG23/100)</f>
        <v>0</v>
      </c>
      <c r="J35" s="102">
        <f t="shared" si="15"/>
        <v>344.52190254545451</v>
      </c>
      <c r="K35" s="298">
        <f t="shared" si="22"/>
        <v>1054.8556101818181</v>
      </c>
      <c r="L35" s="86">
        <f t="shared" si="16"/>
        <v>1378.087610181818</v>
      </c>
      <c r="M35" s="86">
        <f t="shared" si="17"/>
        <v>1515.8963712</v>
      </c>
      <c r="N35" s="1">
        <f>'Tariff Jul 2019'!AW23</f>
        <v>0</v>
      </c>
      <c r="O35" s="1">
        <f>'Tariff Jul 2019'!AX23</f>
        <v>0</v>
      </c>
      <c r="P35" s="1">
        <f>'Tariff Jul 2019'!AY23</f>
        <v>0</v>
      </c>
      <c r="Q35" s="1">
        <f>'Tariff Jul 2019'!AZ23</f>
        <v>0</v>
      </c>
      <c r="R35" s="87">
        <f>($F$6*'Tariff Jul 2019'!AT23/100)*4</f>
        <v>302.84351999999996</v>
      </c>
      <c r="S35" s="298">
        <f>L35</f>
        <v>1378.087610181818</v>
      </c>
      <c r="T35" s="298">
        <f>S35</f>
        <v>1378.087610181818</v>
      </c>
      <c r="U35" s="298">
        <f t="shared" si="18"/>
        <v>1075.2440901818181</v>
      </c>
      <c r="V35" s="298">
        <f t="shared" si="19"/>
        <v>1075.2440901818181</v>
      </c>
      <c r="W35" s="300">
        <f t="shared" si="20"/>
        <v>1182.7684992</v>
      </c>
      <c r="X35" s="300">
        <f t="shared" si="21"/>
        <v>1182.7684992</v>
      </c>
      <c r="Y35" s="88">
        <f>'Tariff Jul 2019'!AT22</f>
        <v>17</v>
      </c>
      <c r="Z35" s="89">
        <f>'Tariff Jul 2019'!BI23</f>
        <v>0</v>
      </c>
      <c r="AA35" s="89" t="str">
        <f>'Tariff Jul 2019'!BJ23</f>
        <v>n</v>
      </c>
      <c r="AB35" s="90">
        <f>'Tariff Jul 2019'!G23</f>
        <v>42185</v>
      </c>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row>
    <row r="36" spans="1:88" ht="14" x14ac:dyDescent="0.15">
      <c r="A36" s="63" t="str">
        <f>'Tariff Jul 2019'!K24</f>
        <v>Diamond Energy</v>
      </c>
      <c r="B36" s="1" t="str">
        <f>'Tariff Jul 2019'!L24</f>
        <v>Pay on time discount</v>
      </c>
      <c r="C36" s="102">
        <f>91*'Tariff Jul 2019'!M24/100</f>
        <v>79.124499999999998</v>
      </c>
      <c r="D36" s="102">
        <f>IF($H$5&gt;='Tariff Jul 2019'!P24,('Tariff Jul 2019'!P24*'Tariff Jul 2019'!N24/100),(($H$5)*'Tariff Jul 2019'!N24/100))</f>
        <v>99.78</v>
      </c>
      <c r="E36" s="102">
        <f>IF($H$5&lt;'Tariff Jul 2019'!P24,0,IF(($H$5-'Tariff Jul 2019'!P24)&lt;='Tariff Jul 2019'!R24,(($H$5-'Tariff Jul 2019'!P24)*'Tariff Jul 2019'!Q24/100),(('Tariff Jul 2019'!R24-'Tariff Jul 2019'!P24)*'Tariff Jul 2019'!Q24/100)))</f>
        <v>148.63628159999996</v>
      </c>
      <c r="F36" s="102">
        <f>IF($H$5&lt;'Tariff Jul 2019'!R24,0,IF(($H$5-'Tariff Jul 2019'!R24)&lt;='Tariff Jul 2019'!T24,(($H$5-'Tariff Jul 2019'!R24)*'Tariff Jul 2019'!S24/100),(('Tariff Jul 2019'!T24-'Tariff Jul 2019'!R24)*'Tariff Jul 2019'!S24/100)))</f>
        <v>0</v>
      </c>
      <c r="G36" s="102">
        <f>IF(($H$5&lt;'Tariff Jul 2019'!T24),(0),($H$5-'Tariff Jul 2019'!T24)*'Tariff Jul 2019'!U24/100)</f>
        <v>0</v>
      </c>
      <c r="H36" s="102">
        <f>($I$5)*'Tariff Jul 2019'!AE24/100</f>
        <v>35.617931999999989</v>
      </c>
      <c r="I36" s="102">
        <v>0</v>
      </c>
      <c r="J36" s="102">
        <f t="shared" si="15"/>
        <v>363.15871359999994</v>
      </c>
      <c r="K36" s="298">
        <f t="shared" si="22"/>
        <v>1136.1368543999997</v>
      </c>
      <c r="L36" s="86">
        <f t="shared" si="16"/>
        <v>1452.6348543999998</v>
      </c>
      <c r="M36" s="86">
        <f t="shared" si="17"/>
        <v>1597.8983398399998</v>
      </c>
      <c r="N36" s="1">
        <f>'Tariff Jul 2019'!AW24</f>
        <v>0</v>
      </c>
      <c r="O36" s="1">
        <f>'Tariff Jul 2019'!AX24</f>
        <v>0</v>
      </c>
      <c r="P36" s="1">
        <f>'Tariff Jul 2019'!AY24</f>
        <v>7</v>
      </c>
      <c r="Q36" s="1">
        <f>'Tariff Jul 2019'!AZ24</f>
        <v>0</v>
      </c>
      <c r="R36" s="87">
        <f>($F$6*'Tariff Jul 2019'!AT24/100)*4</f>
        <v>313.28640000000001</v>
      </c>
      <c r="S36" s="298">
        <f>L36</f>
        <v>1452.6348543999998</v>
      </c>
      <c r="T36" s="298">
        <f>S36-(S36*P36/100)</f>
        <v>1350.9504145919998</v>
      </c>
      <c r="U36" s="298">
        <f t="shared" si="18"/>
        <v>1139.3484543999998</v>
      </c>
      <c r="V36" s="298">
        <f t="shared" si="19"/>
        <v>1037.6640145919998</v>
      </c>
      <c r="W36" s="300">
        <f t="shared" si="20"/>
        <v>1253.2832998399999</v>
      </c>
      <c r="X36" s="300">
        <f t="shared" si="21"/>
        <v>1141.4304160511999</v>
      </c>
      <c r="Y36" s="88">
        <f>'Tariff Jul 2019'!AT23</f>
        <v>11.6</v>
      </c>
      <c r="Z36" s="89">
        <f>'Tariff Jul 2019'!BI24</f>
        <v>0</v>
      </c>
      <c r="AA36" s="89" t="str">
        <f>'Tariff Jul 2019'!BJ24</f>
        <v>n</v>
      </c>
      <c r="AB36" s="90">
        <f>'Tariff Jul 2019'!G24</f>
        <v>41820</v>
      </c>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row>
    <row r="37" spans="1:88" ht="14" x14ac:dyDescent="0.15">
      <c r="A37" s="63" t="str">
        <f>'Tariff Jul 2019'!K25</f>
        <v>Dodo Power &amp; Gas</v>
      </c>
      <c r="B37" s="1" t="str">
        <f>'Tariff Jul 2019'!L25</f>
        <v>Market offer</v>
      </c>
      <c r="C37" s="102">
        <f>91*'Tariff Jul 2019'!M25/100</f>
        <v>80.808000000000007</v>
      </c>
      <c r="D37" s="102">
        <f>IF($H$5&gt;='Tariff Jul 2019'!P25,('Tariff Jul 2019'!P25*'Tariff Jul 2019'!N25/100),(($H$5)*'Tariff Jul 2019'!N25/100))</f>
        <v>231.44757818181813</v>
      </c>
      <c r="E37" s="102">
        <f>IF($H$5&lt;'Tariff Jul 2019'!P25,0,IF(($H$5-'Tariff Jul 2019'!P25)&lt;='Tariff Jul 2019'!R25,(($H$5-'Tariff Jul 2019'!P25)*'Tariff Jul 2019'!Q25/100),(('Tariff Jul 2019'!R25-'Tariff Jul 2019'!P25)*'Tariff Jul 2019'!Q25/100)))</f>
        <v>0</v>
      </c>
      <c r="F37" s="102">
        <f>IF($H$5&lt;'Tariff Jul 2019'!R25,0,IF(($H$5-'Tariff Jul 2019'!R25)&lt;='Tariff Jul 2019'!T25,(($H$5-'Tariff Jul 2019'!R25)*'Tariff Jul 2019'!S25/100),(('Tariff Jul 2019'!T25-'Tariff Jul 2019'!R25)*'Tariff Jul 2019'!S25/100)))</f>
        <v>0</v>
      </c>
      <c r="G37" s="102">
        <f>IF(($H$5&lt;'Tariff Jul 2019'!T25),(0),($H$5-'Tariff Jul 2019'!T25)*'Tariff Jul 2019'!U25/100)</f>
        <v>0</v>
      </c>
      <c r="H37" s="102">
        <f>($I$5)*'Tariff Jul 2019'!AE25/100</f>
        <v>32.266324363636357</v>
      </c>
      <c r="I37" s="102">
        <v>0</v>
      </c>
      <c r="J37" s="102">
        <f t="shared" si="15"/>
        <v>344.52190254545451</v>
      </c>
      <c r="K37" s="298">
        <f t="shared" si="22"/>
        <v>1054.8556101818181</v>
      </c>
      <c r="L37" s="86">
        <f t="shared" si="16"/>
        <v>1378.087610181818</v>
      </c>
      <c r="M37" s="86">
        <f t="shared" si="17"/>
        <v>1515.8963712</v>
      </c>
      <c r="N37" s="1">
        <f>'Tariff Jul 2019'!AW25</f>
        <v>0</v>
      </c>
      <c r="O37" s="1">
        <f>'Tariff Jul 2019'!AX25</f>
        <v>0</v>
      </c>
      <c r="P37" s="1">
        <f>'Tariff Jul 2019'!AY25</f>
        <v>0</v>
      </c>
      <c r="Q37" s="1">
        <f>'Tariff Jul 2019'!AZ25</f>
        <v>0</v>
      </c>
      <c r="R37" s="87">
        <f>($F$6*'Tariff Jul 2019'!AT25/100)*4</f>
        <v>302.84351999999996</v>
      </c>
      <c r="S37" s="298">
        <f>L37</f>
        <v>1378.087610181818</v>
      </c>
      <c r="T37" s="298">
        <f t="shared" ref="T37:T42" si="23">S37</f>
        <v>1378.087610181818</v>
      </c>
      <c r="U37" s="298">
        <f t="shared" si="18"/>
        <v>1075.2440901818181</v>
      </c>
      <c r="V37" s="298">
        <f t="shared" si="19"/>
        <v>1075.2440901818181</v>
      </c>
      <c r="W37" s="300">
        <f t="shared" si="20"/>
        <v>1182.7684992</v>
      </c>
      <c r="X37" s="300">
        <f t="shared" si="21"/>
        <v>1182.7684992</v>
      </c>
      <c r="Y37" s="88">
        <f>'Tariff Jul 2019'!AT24</f>
        <v>12</v>
      </c>
      <c r="Z37" s="89">
        <f>'Tariff Jul 2019'!BI25</f>
        <v>0</v>
      </c>
      <c r="AA37" s="89" t="str">
        <f>'Tariff Jul 2019'!BJ25</f>
        <v>n</v>
      </c>
      <c r="AB37" s="90">
        <f>'Tariff Jul 2019'!G25</f>
        <v>42185</v>
      </c>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row>
    <row r="38" spans="1:88" ht="14" x14ac:dyDescent="0.15">
      <c r="A38" s="63" t="str">
        <f>'Tariff Jul 2019'!K26</f>
        <v>EnergyAustralia</v>
      </c>
      <c r="B38" s="1" t="str">
        <f>'Tariff Jul 2019'!L26</f>
        <v>Total Plan Home</v>
      </c>
      <c r="C38" s="102">
        <f>91*'Tariff Jul 2019'!M26/100</f>
        <v>70.97999999999999</v>
      </c>
      <c r="D38" s="102">
        <f>$H$5*'Tariff Jul 2019'!N26/100</f>
        <v>264.23327999999998</v>
      </c>
      <c r="E38" s="102">
        <v>0</v>
      </c>
      <c r="F38" s="102">
        <v>0</v>
      </c>
      <c r="G38" s="102">
        <v>0</v>
      </c>
      <c r="H38" s="102">
        <f>($I$5)*'Tariff Jul 2019'!AE26/100</f>
        <v>35.853274909090899</v>
      </c>
      <c r="I38" s="102">
        <v>0</v>
      </c>
      <c r="J38" s="102">
        <f t="shared" si="15"/>
        <v>371.06655490909083</v>
      </c>
      <c r="K38" s="298">
        <f t="shared" si="22"/>
        <v>1200.3462196363635</v>
      </c>
      <c r="L38" s="86">
        <f t="shared" si="16"/>
        <v>1484.2662196363633</v>
      </c>
      <c r="M38" s="86">
        <f t="shared" si="17"/>
        <v>1632.6928415999998</v>
      </c>
      <c r="N38" s="1">
        <f>'Tariff Jul 2019'!AW26</f>
        <v>6</v>
      </c>
      <c r="O38" s="1">
        <f>'Tariff Jul 2019'!AX26</f>
        <v>0</v>
      </c>
      <c r="P38" s="1">
        <f>'Tariff Jul 2019'!AY26</f>
        <v>0</v>
      </c>
      <c r="Q38" s="1">
        <f>'Tariff Jul 2019'!AZ26</f>
        <v>0</v>
      </c>
      <c r="R38" s="87">
        <f>($F$6*'Tariff Jul 2019'!AT26/100)*4</f>
        <v>391.60799999999995</v>
      </c>
      <c r="S38" s="298">
        <f>L38-(L38*N38/100)</f>
        <v>1395.2102464581815</v>
      </c>
      <c r="T38" s="298">
        <f t="shared" si="23"/>
        <v>1395.2102464581815</v>
      </c>
      <c r="U38" s="298">
        <f t="shared" si="18"/>
        <v>1003.6022464581815</v>
      </c>
      <c r="V38" s="298">
        <f t="shared" si="19"/>
        <v>1003.6022464581815</v>
      </c>
      <c r="W38" s="300">
        <f t="shared" si="20"/>
        <v>1103.9624711039999</v>
      </c>
      <c r="X38" s="300">
        <f t="shared" si="21"/>
        <v>1103.9624711039999</v>
      </c>
      <c r="Y38" s="88">
        <f>'Tariff Jul 2019'!AT25</f>
        <v>11.6</v>
      </c>
      <c r="Z38" s="89">
        <f>'Tariff Jul 2019'!BI26</f>
        <v>0</v>
      </c>
      <c r="AA38" s="89" t="str">
        <f>'Tariff Jul 2019'!BJ26</f>
        <v>n</v>
      </c>
      <c r="AB38" s="90">
        <f>'Tariff Jul 2019'!G26</f>
        <v>42185</v>
      </c>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row>
    <row r="39" spans="1:88" ht="14" x14ac:dyDescent="0.15">
      <c r="A39" s="63" t="str">
        <f>'Tariff Jul 2019'!K27</f>
        <v>Lumo Energy</v>
      </c>
      <c r="B39" s="1" t="str">
        <f>'Tariff Jul 2019'!L27</f>
        <v>Basic</v>
      </c>
      <c r="C39" s="102">
        <f>91*'Tariff Jul 2019'!M27/100</f>
        <v>83.72</v>
      </c>
      <c r="D39" s="102">
        <f>$H$5*'Tariff Jul 2019'!N27/100</f>
        <v>229.75960145454542</v>
      </c>
      <c r="E39" s="102">
        <v>0</v>
      </c>
      <c r="F39" s="102">
        <v>0</v>
      </c>
      <c r="G39" s="102">
        <v>0</v>
      </c>
      <c r="H39" s="102">
        <f>($I$5)*'Tariff Jul 2019'!AE27/100</f>
        <v>33.353770909090898</v>
      </c>
      <c r="I39" s="102">
        <v>0</v>
      </c>
      <c r="J39" s="102">
        <f t="shared" si="15"/>
        <v>346.83337236363633</v>
      </c>
      <c r="K39" s="298">
        <f t="shared" si="22"/>
        <v>1052.4534894545454</v>
      </c>
      <c r="L39" s="86">
        <f t="shared" si="16"/>
        <v>1387.3334894545453</v>
      </c>
      <c r="M39" s="86">
        <f t="shared" si="17"/>
        <v>1526.0668384000001</v>
      </c>
      <c r="N39" s="1">
        <f>'Tariff Jul 2019'!AW27</f>
        <v>0</v>
      </c>
      <c r="O39" s="1">
        <f>'Tariff Jul 2019'!AX27</f>
        <v>0</v>
      </c>
      <c r="P39" s="1">
        <f>'Tariff Jul 2019'!AY27</f>
        <v>0</v>
      </c>
      <c r="Q39" s="1">
        <f>'Tariff Jul 2019'!AZ27</f>
        <v>0</v>
      </c>
      <c r="R39" s="87">
        <f>($F$6*'Tariff Jul 2019'!AT27/100)*4</f>
        <v>417.71519999999998</v>
      </c>
      <c r="S39" s="298">
        <f>L39</f>
        <v>1387.3334894545453</v>
      </c>
      <c r="T39" s="298">
        <f t="shared" si="23"/>
        <v>1387.3334894545453</v>
      </c>
      <c r="U39" s="298">
        <f t="shared" si="18"/>
        <v>969.61828945454533</v>
      </c>
      <c r="V39" s="298">
        <f t="shared" si="19"/>
        <v>969.61828945454533</v>
      </c>
      <c r="W39" s="300">
        <f t="shared" si="20"/>
        <v>1066.5801183999999</v>
      </c>
      <c r="X39" s="300">
        <f t="shared" si="21"/>
        <v>1066.5801183999999</v>
      </c>
      <c r="Y39" s="88">
        <f>'Tariff Jul 2019'!AT26</f>
        <v>15</v>
      </c>
      <c r="Z39" s="89">
        <f>'Tariff Jul 2019'!BI27</f>
        <v>0</v>
      </c>
      <c r="AA39" s="89" t="str">
        <f>'Tariff Jul 2019'!BJ27</f>
        <v>n</v>
      </c>
      <c r="AB39" s="90">
        <f>'Tariff Jul 2019'!G27</f>
        <v>42185</v>
      </c>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row>
    <row r="40" spans="1:88" ht="14" x14ac:dyDescent="0.15">
      <c r="A40" s="63" t="str">
        <f>'Tariff Jul 2019'!K28</f>
        <v>Momentum Energy</v>
      </c>
      <c r="B40" s="1" t="str">
        <f>'Tariff Jul 2019'!L28</f>
        <v>SmilePower Flexi</v>
      </c>
      <c r="C40" s="102">
        <f>91*'Tariff Jul 2019'!M28/100</f>
        <v>93.484300000000005</v>
      </c>
      <c r="D40" s="102">
        <f>$H$5*'Tariff Jul 2019'!N28/100</f>
        <v>215.38583039999997</v>
      </c>
      <c r="E40" s="102">
        <v>0</v>
      </c>
      <c r="F40" s="102">
        <v>0</v>
      </c>
      <c r="G40" s="102">
        <v>0</v>
      </c>
      <c r="H40" s="102">
        <f>($I$5)*'Tariff Jul 2019'!AE28/100</f>
        <v>33.511207199999994</v>
      </c>
      <c r="I40" s="102">
        <v>0</v>
      </c>
      <c r="J40" s="102">
        <f t="shared" si="15"/>
        <v>342.38133759999999</v>
      </c>
      <c r="K40" s="298">
        <f t="shared" si="22"/>
        <v>995.5881503999999</v>
      </c>
      <c r="L40" s="86">
        <f t="shared" si="16"/>
        <v>1369.5253504</v>
      </c>
      <c r="M40" s="86">
        <f t="shared" si="17"/>
        <v>1506.4778854400001</v>
      </c>
      <c r="N40" s="1">
        <f>'Tariff Jul 2019'!AW28</f>
        <v>0</v>
      </c>
      <c r="O40" s="1">
        <f>'Tariff Jul 2019'!AX28</f>
        <v>0</v>
      </c>
      <c r="P40" s="1">
        <f>'Tariff Jul 2019'!AY28</f>
        <v>0</v>
      </c>
      <c r="Q40" s="1">
        <f>'Tariff Jul 2019'!AZ28</f>
        <v>0</v>
      </c>
      <c r="R40" s="87">
        <f>($F$6*'Tariff Jul 2019'!AT28/100)*4</f>
        <v>0</v>
      </c>
      <c r="S40" s="298">
        <f>L40</f>
        <v>1369.5253504</v>
      </c>
      <c r="T40" s="298">
        <f t="shared" si="23"/>
        <v>1369.5253504</v>
      </c>
      <c r="U40" s="298">
        <f t="shared" si="18"/>
        <v>1369.5253504</v>
      </c>
      <c r="V40" s="298">
        <f t="shared" si="19"/>
        <v>1369.5253504</v>
      </c>
      <c r="W40" s="300">
        <f t="shared" si="20"/>
        <v>1506.4778854400001</v>
      </c>
      <c r="X40" s="300">
        <f t="shared" si="21"/>
        <v>1506.4778854400001</v>
      </c>
      <c r="Y40" s="88">
        <f>'Tariff Jul 2019'!AT27</f>
        <v>16</v>
      </c>
      <c r="Z40" s="89">
        <f>'Tariff Jul 2019'!BI28</f>
        <v>0</v>
      </c>
      <c r="AA40" s="89" t="str">
        <f>'Tariff Jul 2019'!BJ28</f>
        <v>n</v>
      </c>
      <c r="AB40" s="90">
        <f>'Tariff Jul 2019'!G28</f>
        <v>42185</v>
      </c>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row>
    <row r="41" spans="1:88" ht="14" x14ac:dyDescent="0.15">
      <c r="A41" s="63" t="str">
        <f>'Tariff Jul 2019'!K29</f>
        <v>Origin Energy</v>
      </c>
      <c r="B41" s="1" t="str">
        <f>'Tariff Jul 2019'!L29</f>
        <v>Flexi</v>
      </c>
      <c r="C41" s="102">
        <f>91*'Tariff Jul 2019'!M29/100</f>
        <v>75.124636363636355</v>
      </c>
      <c r="D41" s="102">
        <f>IF($H$5&gt;='Tariff Jul 2019'!P29,('Tariff Jul 2019'!P29*'Tariff Jul 2019'!N29/100),(($H$5)*'Tariff Jul 2019'!N29/100))</f>
        <v>261.24685963636358</v>
      </c>
      <c r="E41" s="102">
        <f>IF($H$5&lt;'Tariff Jul 2019'!P29,0,IF(($H$5-'Tariff Jul 2019'!P29)&lt;='Tariff Jul 2019'!R29,(($H$5-'Tariff Jul 2019'!P29)*'Tariff Jul 2019'!Q29/100),(('Tariff Jul 2019'!R29-'Tariff Jul 2019'!P29)*'Tariff Jul 2019'!Q29/100)))</f>
        <v>0</v>
      </c>
      <c r="F41" s="102">
        <f>IF($H$5&lt;'Tariff Jul 2019'!R29,0,IF(($H$5-'Tariff Jul 2019'!R29)&lt;='Tariff Jul 2019'!T29,(($H$5-'Tariff Jul 2019'!R29)*'Tariff Jul 2019'!S29/100),(('Tariff Jul 2019'!T29-'Tariff Jul 2019'!R29)*'Tariff Jul 2019'!S29/100)))</f>
        <v>0</v>
      </c>
      <c r="G41" s="102">
        <f>IF(($H$5&lt;'Tariff Jul 2019'!T29),(0),($H$5-'Tariff Jul 2019'!T29)*'Tariff Jul 2019'!U29/100)</f>
        <v>0</v>
      </c>
      <c r="H41" s="102">
        <f>($I$5)*'Tariff Jul 2019'!AE29/100</f>
        <v>35.447511272727262</v>
      </c>
      <c r="I41" s="102">
        <v>0</v>
      </c>
      <c r="J41" s="102">
        <f t="shared" si="15"/>
        <v>371.81900727272716</v>
      </c>
      <c r="K41" s="298">
        <f t="shared" si="22"/>
        <v>1186.7774836363633</v>
      </c>
      <c r="L41" s="86">
        <f t="shared" si="16"/>
        <v>1487.2760290909087</v>
      </c>
      <c r="M41" s="86">
        <f t="shared" si="17"/>
        <v>1636.0036319999997</v>
      </c>
      <c r="N41" s="1">
        <f>'Tariff Jul 2019'!AW29</f>
        <v>12</v>
      </c>
      <c r="O41" s="1">
        <f>'Tariff Jul 2019'!AX29</f>
        <v>0</v>
      </c>
      <c r="P41" s="1">
        <f>'Tariff Jul 2019'!AY29</f>
        <v>0</v>
      </c>
      <c r="Q41" s="1">
        <f>'Tariff Jul 2019'!AZ29</f>
        <v>0</v>
      </c>
      <c r="R41" s="87">
        <f>($F$6*'Tariff Jul 2019'!AT29/100)*4</f>
        <v>261.07199999999995</v>
      </c>
      <c r="S41" s="298">
        <f>M41-(M41*N41/100)</f>
        <v>1439.6831961599996</v>
      </c>
      <c r="T41" s="298">
        <f t="shared" si="23"/>
        <v>1439.6831961599996</v>
      </c>
      <c r="U41" s="298">
        <f t="shared" si="18"/>
        <v>1178.6111961599997</v>
      </c>
      <c r="V41" s="298">
        <f t="shared" si="19"/>
        <v>1178.6111961599997</v>
      </c>
      <c r="W41" s="300">
        <f>U41</f>
        <v>1178.6111961599997</v>
      </c>
      <c r="X41" s="300">
        <f>V41</f>
        <v>1178.6111961599997</v>
      </c>
      <c r="Y41" s="88">
        <f>'Tariff Jul 2019'!AT28</f>
        <v>0</v>
      </c>
      <c r="Z41" s="89">
        <f>'Tariff Jul 2019'!BI29</f>
        <v>0</v>
      </c>
      <c r="AA41" s="89" t="str">
        <f>'Tariff Jul 2019'!BJ29</f>
        <v>n</v>
      </c>
      <c r="AB41" s="90">
        <f>'Tariff Jul 2019'!G29</f>
        <v>42185</v>
      </c>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row>
    <row r="42" spans="1:88" ht="14" x14ac:dyDescent="0.15">
      <c r="A42" s="63" t="str">
        <f>'Tariff Jul 2019'!K30</f>
        <v>Powerdirect</v>
      </c>
      <c r="B42" s="1" t="str">
        <f>'Tariff Jul 2019'!L30</f>
        <v>Discount Saver</v>
      </c>
      <c r="C42" s="102">
        <f>91*'Tariff Jul 2019'!M30/100</f>
        <v>73.709999999999994</v>
      </c>
      <c r="D42" s="102">
        <f>$H$5*'Tariff Jul 2019'!N30/100</f>
        <v>262.15577018181813</v>
      </c>
      <c r="E42" s="102">
        <v>0</v>
      </c>
      <c r="F42" s="102">
        <v>0</v>
      </c>
      <c r="G42" s="102">
        <v>0</v>
      </c>
      <c r="H42" s="102">
        <f>($I$5)*'Tariff Jul 2019'!AE30/100</f>
        <v>35.901966545454542</v>
      </c>
      <c r="I42" s="102">
        <v>0</v>
      </c>
      <c r="J42" s="102">
        <f t="shared" si="15"/>
        <v>371.76773672727268</v>
      </c>
      <c r="K42" s="298">
        <f t="shared" si="22"/>
        <v>1192.2309469090908</v>
      </c>
      <c r="L42" s="86">
        <f t="shared" si="16"/>
        <v>1487.0709469090907</v>
      </c>
      <c r="M42" s="86">
        <f t="shared" si="17"/>
        <v>1635.7780415999998</v>
      </c>
      <c r="N42" s="1">
        <f>'Tariff Jul 2019'!AW30</f>
        <v>12</v>
      </c>
      <c r="O42" s="1">
        <f>'Tariff Jul 2019'!AX30</f>
        <v>0</v>
      </c>
      <c r="P42" s="1">
        <f>'Tariff Jul 2019'!AY30</f>
        <v>0</v>
      </c>
      <c r="Q42" s="1">
        <f>'Tariff Jul 2019'!AZ30</f>
        <v>0</v>
      </c>
      <c r="R42" s="87">
        <f>($F$6*'Tariff Jul 2019'!AT30/100)*4</f>
        <v>425.54735999999997</v>
      </c>
      <c r="S42" s="298">
        <f>L42-(L42*N42/100)</f>
        <v>1308.6224332799998</v>
      </c>
      <c r="T42" s="298">
        <f t="shared" si="23"/>
        <v>1308.6224332799998</v>
      </c>
      <c r="U42" s="298">
        <f t="shared" si="18"/>
        <v>883.07507327999974</v>
      </c>
      <c r="V42" s="298">
        <f t="shared" si="19"/>
        <v>883.07507327999974</v>
      </c>
      <c r="W42" s="300">
        <f t="shared" ref="W42" si="24">U42*1.1</f>
        <v>971.38258060799978</v>
      </c>
      <c r="X42" s="300">
        <f t="shared" ref="X42" si="25">V42*1.1</f>
        <v>971.38258060799978</v>
      </c>
      <c r="Y42" s="88">
        <f>'Tariff Jul 2019'!AT29</f>
        <v>10</v>
      </c>
      <c r="Z42" s="89">
        <f>'Tariff Jul 2019'!BI30</f>
        <v>0</v>
      </c>
      <c r="AA42" s="89" t="str">
        <f>'Tariff Jul 2019'!BJ30</f>
        <v>n</v>
      </c>
      <c r="AB42" s="90">
        <f>'Tariff Jul 2019'!G30</f>
        <v>42185</v>
      </c>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row>
    <row r="43" spans="1:88" ht="14" x14ac:dyDescent="0.15">
      <c r="A43" s="63" t="str">
        <f>'Tariff Jul 2019'!K31</f>
        <v>Red Energy</v>
      </c>
      <c r="B43" s="1" t="str">
        <f>'Tariff Jul 2019'!L31</f>
        <v>No exit fee saver</v>
      </c>
      <c r="C43" s="102">
        <f>91*'Tariff Jul 2019'!M31/100</f>
        <v>90.999999999999986</v>
      </c>
      <c r="D43" s="102">
        <f>$H$5*'Tariff Jul 2019'!N31/100</f>
        <v>249.75563345454538</v>
      </c>
      <c r="E43" s="102">
        <v>0</v>
      </c>
      <c r="F43" s="102">
        <v>0</v>
      </c>
      <c r="G43" s="102">
        <v>0</v>
      </c>
      <c r="H43" s="102">
        <f>($I$5)*'Tariff Jul 2019'!AE31/100</f>
        <v>36.242807999999989</v>
      </c>
      <c r="I43" s="102">
        <v>0</v>
      </c>
      <c r="J43" s="102">
        <f t="shared" si="15"/>
        <v>376.99844145454534</v>
      </c>
      <c r="K43" s="298">
        <f t="shared" si="22"/>
        <v>1143.9937658181814</v>
      </c>
      <c r="L43" s="86">
        <f t="shared" si="16"/>
        <v>1507.9937658181814</v>
      </c>
      <c r="M43" s="86">
        <f t="shared" si="17"/>
        <v>1658.7931423999996</v>
      </c>
      <c r="N43" s="1">
        <f>'Tariff Jul 2019'!AW31</f>
        <v>0</v>
      </c>
      <c r="O43" s="1">
        <f>'Tariff Jul 2019'!AX31</f>
        <v>0</v>
      </c>
      <c r="P43" s="1">
        <f>'Tariff Jul 2019'!AY31</f>
        <v>10</v>
      </c>
      <c r="Q43" s="1">
        <f>'Tariff Jul 2019'!AZ31</f>
        <v>0</v>
      </c>
      <c r="R43" s="87">
        <f>($F$6*'Tariff Jul 2019'!AT31/100)*4</f>
        <v>417.71519999999998</v>
      </c>
      <c r="S43" s="298">
        <f>M43</f>
        <v>1658.7931423999996</v>
      </c>
      <c r="T43" s="298">
        <f>M43-(M43*P43/100)</f>
        <v>1492.9138281599996</v>
      </c>
      <c r="U43" s="298">
        <f t="shared" si="18"/>
        <v>1241.0779423999998</v>
      </c>
      <c r="V43" s="298">
        <f t="shared" si="19"/>
        <v>1075.1986281599998</v>
      </c>
      <c r="W43" s="300">
        <f>U43</f>
        <v>1241.0779423999998</v>
      </c>
      <c r="X43" s="300">
        <f>V43</f>
        <v>1075.1986281599998</v>
      </c>
      <c r="Y43" s="88">
        <f>'Tariff Jul 2019'!AT30</f>
        <v>16.3</v>
      </c>
      <c r="Z43" s="89">
        <f>'Tariff Jul 2019'!BI31</f>
        <v>0</v>
      </c>
      <c r="AA43" s="89" t="str">
        <f>'Tariff Jul 2019'!BJ31</f>
        <v>n</v>
      </c>
      <c r="AB43" s="90">
        <f>'Tariff Jul 2019'!G31</f>
        <v>42185</v>
      </c>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row>
    <row r="44" spans="1:88" ht="14" x14ac:dyDescent="0.15">
      <c r="A44" s="63" t="str">
        <f>'Tariff Jul 2019'!K32</f>
        <v>Energy Locals</v>
      </c>
      <c r="B44" s="1" t="str">
        <f>'Tariff Jul 2019'!L32</f>
        <v>Solar Promise</v>
      </c>
      <c r="C44" s="102">
        <f>(91*'Tariff Jul 2019'!M32/100)+('Tariff Jul 2019'!BM32/4)</f>
        <v>120.515</v>
      </c>
      <c r="D44" s="102">
        <f>$H$5*'Tariff Jul 2019'!N32/100</f>
        <v>214.17827781818178</v>
      </c>
      <c r="E44" s="102">
        <v>0</v>
      </c>
      <c r="F44" s="102">
        <v>0</v>
      </c>
      <c r="G44" s="102">
        <v>0</v>
      </c>
      <c r="H44" s="102">
        <f>($I$5)*'Tariff Jul 2019'!AE32/100</f>
        <v>42.832409454545441</v>
      </c>
      <c r="I44" s="102">
        <v>0</v>
      </c>
      <c r="J44" s="102">
        <f t="shared" si="15"/>
        <v>377.52568727272723</v>
      </c>
      <c r="K44" s="298">
        <f t="shared" si="22"/>
        <v>1028.042749090909</v>
      </c>
      <c r="L44" s="86">
        <f t="shared" si="16"/>
        <v>1510.1027490909089</v>
      </c>
      <c r="M44" s="86">
        <f t="shared" si="17"/>
        <v>1661.113024</v>
      </c>
      <c r="N44" s="1">
        <f>'Tariff Jul 2019'!AW32</f>
        <v>0</v>
      </c>
      <c r="O44" s="1">
        <f>'Tariff Jul 2019'!AX32</f>
        <v>0</v>
      </c>
      <c r="P44" s="1">
        <f>'Tariff Jul 2019'!AY32</f>
        <v>0</v>
      </c>
      <c r="Q44" s="1">
        <f>'Tariff Jul 2019'!AZ32</f>
        <v>0</v>
      </c>
      <c r="R44" s="87">
        <f>($F$6*'Tariff Jul 2019'!AT32/100)*4</f>
        <v>417.71519999999998</v>
      </c>
      <c r="S44" s="298">
        <f>L44</f>
        <v>1510.1027490909089</v>
      </c>
      <c r="T44" s="298">
        <f>S44</f>
        <v>1510.1027490909089</v>
      </c>
      <c r="U44" s="298">
        <f t="shared" si="18"/>
        <v>1092.387549090909</v>
      </c>
      <c r="V44" s="298">
        <f t="shared" si="19"/>
        <v>1092.387549090909</v>
      </c>
      <c r="W44" s="300">
        <f t="shared" ref="W44:W46" si="26">U44*1.1</f>
        <v>1201.6263040000001</v>
      </c>
      <c r="X44" s="300">
        <f t="shared" ref="X44:X46" si="27">V44*1.1</f>
        <v>1201.6263040000001</v>
      </c>
      <c r="Y44" s="88">
        <f>'Tariff Jul 2019'!AT31</f>
        <v>16</v>
      </c>
      <c r="Z44" s="89">
        <f>'Tariff Jul 2019'!BI32</f>
        <v>0</v>
      </c>
      <c r="AA44" s="89" t="str">
        <f>'Tariff Jul 2019'!BJ32</f>
        <v>n</v>
      </c>
      <c r="AB44" s="90">
        <f>'Tariff Jul 2019'!G32</f>
        <v>41915</v>
      </c>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row>
    <row r="45" spans="1:88" ht="14" x14ac:dyDescent="0.15">
      <c r="A45" s="63" t="str">
        <f>'Tariff Jul 2019'!K33</f>
        <v>Simply Energy</v>
      </c>
      <c r="B45" s="1" t="str">
        <f>'Tariff Jul 2019'!L33</f>
        <v>Plus</v>
      </c>
      <c r="C45" s="102">
        <f>91*'Tariff Jul 2019'!M33/100</f>
        <v>79.327181818181813</v>
      </c>
      <c r="D45" s="102">
        <f>$H$5*'Tariff Jul 2019'!N33/100</f>
        <v>258.26043927272724</v>
      </c>
      <c r="E45" s="102">
        <v>0</v>
      </c>
      <c r="F45" s="102">
        <v>0</v>
      </c>
      <c r="G45" s="102">
        <v>0</v>
      </c>
      <c r="H45" s="102">
        <f>($I$5)*'Tariff Jul 2019'!AE33/100</f>
        <v>36.01558036363636</v>
      </c>
      <c r="I45" s="102">
        <v>0</v>
      </c>
      <c r="J45" s="102">
        <f t="shared" ref="J45" si="28">SUM(C45:I45)</f>
        <v>373.60320145454546</v>
      </c>
      <c r="K45" s="298">
        <f t="shared" si="22"/>
        <v>1177.1040785454545</v>
      </c>
      <c r="L45" s="86">
        <f t="shared" si="16"/>
        <v>1494.4128058181818</v>
      </c>
      <c r="M45" s="86">
        <f t="shared" si="17"/>
        <v>1643.8540864000001</v>
      </c>
      <c r="N45" s="1">
        <f>'Tariff Jul 2019'!AW33</f>
        <v>0</v>
      </c>
      <c r="O45" s="1">
        <f>'Tariff Jul 2019'!AX33</f>
        <v>0</v>
      </c>
      <c r="P45" s="1">
        <f>'Tariff Jul 2019'!AY33</f>
        <v>0</v>
      </c>
      <c r="Q45" s="1">
        <f>'Tariff Jul 2019'!AZ33</f>
        <v>0</v>
      </c>
      <c r="R45" s="87">
        <f>($F$6*'Tariff Jul 2019'!AT33/100)*4</f>
        <v>391.60799999999995</v>
      </c>
      <c r="S45" s="298">
        <f>L45</f>
        <v>1494.4128058181818</v>
      </c>
      <c r="T45" s="298">
        <f>S45</f>
        <v>1494.4128058181818</v>
      </c>
      <c r="U45" s="298">
        <f t="shared" si="18"/>
        <v>1102.8048058181819</v>
      </c>
      <c r="V45" s="298">
        <f t="shared" si="19"/>
        <v>1102.8048058181819</v>
      </c>
      <c r="W45" s="300">
        <f t="shared" si="26"/>
        <v>1213.0852864000001</v>
      </c>
      <c r="X45" s="300">
        <f t="shared" si="27"/>
        <v>1213.0852864000001</v>
      </c>
      <c r="Y45" s="88">
        <f>'Tariff Jul 2019'!AT32</f>
        <v>16</v>
      </c>
      <c r="Z45" s="89">
        <f>'Tariff Jul 2019'!BI33</f>
        <v>0</v>
      </c>
      <c r="AA45" s="89" t="str">
        <f>'Tariff Jul 2019'!BJ33</f>
        <v>n</v>
      </c>
      <c r="AB45" s="90">
        <f>'Tariff Jul 2019'!G33</f>
        <v>42185</v>
      </c>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row>
    <row r="46" spans="1:88" x14ac:dyDescent="0.15">
      <c r="A46" s="63" t="str">
        <f>'Tariff Jul 2019'!K34</f>
        <v>Amaysim</v>
      </c>
      <c r="B46" s="1" t="str">
        <f>'Tariff Jul 2019'!L34</f>
        <v>Solar as you go</v>
      </c>
      <c r="C46" s="102">
        <f>91*'Tariff Jul 2019'!M34/100</f>
        <v>65.52</v>
      </c>
      <c r="D46" s="102">
        <f>IF($H$5&gt;='Tariff Jul 2019'!P34,('Tariff Jul 2019'!P34*'Tariff Jul 2019'!N34/100),(($H$5)*'Tariff Jul 2019'!N34/100))</f>
        <v>271.37471999999997</v>
      </c>
      <c r="E46" s="102">
        <f>IF($H$5&lt;'Tariff Jul 2019'!P34,0,IF(($H$5-'Tariff Jul 2019'!P34)&lt;='Tariff Jul 2019'!R34,(($H$5-'Tariff Jul 2019'!P34)*'Tariff Jul 2019'!Q34/100),(('Tariff Jul 2019'!R34-'Tariff Jul 2019'!P34)*'Tariff Jul 2019'!Q34/100)))</f>
        <v>0</v>
      </c>
      <c r="F46" s="102">
        <f>IF($H$5&lt;'Tariff Jul 2019'!R34,0,IF(($H$5-'Tariff Jul 2019'!R34)&lt;='Tariff Jul 2019'!T34,(($H$5-'Tariff Jul 2019'!R34)*'Tariff Jul 2019'!S34/100),(('Tariff Jul 2019'!T34-'Tariff Jul 2019'!R34)*'Tariff Jul 2019'!S34/100)))</f>
        <v>0</v>
      </c>
      <c r="G46" s="102">
        <f>IF(($H$5&lt;'Tariff Jul 2019'!T34),(0),($H$5-'Tariff Jul 2019'!T34)*'Tariff Jul 2019'!U34/100)</f>
        <v>0</v>
      </c>
      <c r="H46" s="102">
        <f>($I$5)*'Tariff Jul 2019'!AE34/100</f>
        <v>55.34615999999999</v>
      </c>
      <c r="I46" s="102">
        <v>0</v>
      </c>
      <c r="J46" s="102">
        <f t="shared" ref="J46:J47" si="29">SUM(C46:I46)</f>
        <v>392.24087999999995</v>
      </c>
      <c r="K46" s="298">
        <f t="shared" ref="K46:K47" si="30">(J46-C46)*4</f>
        <v>1306.8835199999999</v>
      </c>
      <c r="L46" s="86">
        <f t="shared" ref="L46:L47" si="31">J46*4</f>
        <v>1568.9635199999998</v>
      </c>
      <c r="M46" s="86">
        <f t="shared" ref="M46:M47" si="32">L46*1.1</f>
        <v>1725.859872</v>
      </c>
      <c r="N46" s="1">
        <f>'Tariff Jul 2019'!AW34</f>
        <v>0</v>
      </c>
      <c r="O46" s="1">
        <f>'Tariff Jul 2019'!AX34</f>
        <v>0</v>
      </c>
      <c r="P46" s="1">
        <f>'Tariff Jul 2019'!AY34</f>
        <v>0</v>
      </c>
      <c r="Q46" s="1">
        <f>'Tariff Jul 2019'!AZ34</f>
        <v>0</v>
      </c>
      <c r="R46" s="87">
        <f>($F$6*'Tariff Jul 2019'!AT34/100)*4</f>
        <v>574.35839999999996</v>
      </c>
      <c r="S46" s="298">
        <f>L46</f>
        <v>1568.9635199999998</v>
      </c>
      <c r="T46" s="298">
        <f>S46</f>
        <v>1568.9635199999998</v>
      </c>
      <c r="U46" s="298">
        <f t="shared" si="18"/>
        <v>994.60511999999983</v>
      </c>
      <c r="V46" s="298">
        <f t="shared" si="19"/>
        <v>994.60511999999983</v>
      </c>
      <c r="W46" s="300">
        <f t="shared" si="26"/>
        <v>1094.0656319999998</v>
      </c>
      <c r="X46" s="300">
        <f t="shared" si="27"/>
        <v>1094.0656319999998</v>
      </c>
      <c r="Y46" s="88">
        <f>'Tariff Jul 2019'!AT33</f>
        <v>15</v>
      </c>
      <c r="Z46" s="89">
        <f>'Tariff Jul 2019'!BI34</f>
        <v>0</v>
      </c>
      <c r="AA46" s="89" t="str">
        <f>'Tariff Jul 2019'!BJ34</f>
        <v>n</v>
      </c>
      <c r="AB46" s="90">
        <f>'Tariff Jul 2019'!G34</f>
        <v>42020</v>
      </c>
    </row>
    <row r="47" spans="1:88" ht="14" thickBot="1" x14ac:dyDescent="0.2">
      <c r="A47" s="91" t="str">
        <f>'Tariff Jul 2019'!K35</f>
        <v>Powershop</v>
      </c>
      <c r="B47" s="92" t="str">
        <f>'Tariff Jul 2019'!L35</f>
        <v>Shopper with Mega Pack</v>
      </c>
      <c r="C47" s="103">
        <f>91*'Tariff Jul 2019'!M35/100</f>
        <v>98.543900000000008</v>
      </c>
      <c r="D47" s="103">
        <f>$H$5*'Tariff Jul 2019'!N35/100</f>
        <v>244.10740363636359</v>
      </c>
      <c r="E47" s="103">
        <v>0</v>
      </c>
      <c r="F47" s="103">
        <v>0</v>
      </c>
      <c r="G47" s="103">
        <v>0</v>
      </c>
      <c r="H47" s="103">
        <f>($I$5)*'Tariff Jul 2019'!AE35/100</f>
        <v>36.518727272727261</v>
      </c>
      <c r="I47" s="103">
        <v>0</v>
      </c>
      <c r="J47" s="103">
        <f t="shared" si="29"/>
        <v>379.17003090909088</v>
      </c>
      <c r="K47" s="299">
        <f t="shared" si="30"/>
        <v>1122.5045236363635</v>
      </c>
      <c r="L47" s="95">
        <f t="shared" si="31"/>
        <v>1516.6801236363635</v>
      </c>
      <c r="M47" s="95">
        <f t="shared" si="32"/>
        <v>1668.3481360000001</v>
      </c>
      <c r="N47" s="92">
        <f>'Tariff Jul 2019'!AW35</f>
        <v>0</v>
      </c>
      <c r="O47" s="92">
        <f>'Tariff Jul 2019'!AX35</f>
        <v>0</v>
      </c>
      <c r="P47" s="92">
        <f>'Tariff Jul 2019'!AY35</f>
        <v>15</v>
      </c>
      <c r="Q47" s="92">
        <f>'Tariff Jul 2019'!AZ35</f>
        <v>0</v>
      </c>
      <c r="R47" s="96">
        <f>($F$6*'Tariff Jul 2019'!AT35/100)*4</f>
        <v>266.29343999999998</v>
      </c>
      <c r="S47" s="298">
        <f>M47</f>
        <v>1668.3481360000001</v>
      </c>
      <c r="T47" s="299">
        <f>M47-(M47*P47/100)</f>
        <v>1418.0959156000001</v>
      </c>
      <c r="U47" s="299">
        <f t="shared" si="18"/>
        <v>1402.0546960000001</v>
      </c>
      <c r="V47" s="299">
        <f t="shared" si="19"/>
        <v>1151.8024756000002</v>
      </c>
      <c r="W47" s="301">
        <f>U47</f>
        <v>1402.0546960000001</v>
      </c>
      <c r="X47" s="301">
        <f>V47</f>
        <v>1151.8024756000002</v>
      </c>
      <c r="Y47" s="97">
        <f>'Tariff Jul 2019'!AT34</f>
        <v>22</v>
      </c>
      <c r="Z47" s="98">
        <f>'Tariff Jul 2019'!BI35</f>
        <v>0</v>
      </c>
      <c r="AA47" s="98" t="str">
        <f>'Tariff Jul 2019'!BJ35</f>
        <v>n</v>
      </c>
      <c r="AB47" s="99">
        <f>'Tariff Jul 2019'!G35</f>
        <v>42185</v>
      </c>
    </row>
  </sheetData>
  <sheetProtection algorithmName="SHA-512" hashValue="XMA5bwvxcyY5IaMmrBSTB2+BF6hyLDnJ4kCasJS/KSEvRxC48R0jhnK9g2Mzc64yFAeUzVLEj3W6g3pWKswttg==" saltValue="WEMwwhzSg+GI8+MFjBOORQ==" spinCount="100000" sheet="1" objects="1" scenarios="1"/>
  <dataValidations count="2">
    <dataValidation type="whole" showInputMessage="1" showErrorMessage="1" errorTitle="Incorrect number" error="Please enter quarterly consumption between 700-4000kWh" sqref="C5" xr:uid="{F558AB3E-7AF3-B045-AB46-A75CC69985AC}">
      <formula1>700</formula1>
      <formula2>4000</formula2>
    </dataValidation>
    <dataValidation type="decimal" showInputMessage="1" showErrorMessage="1" errorTitle="Incorrect entry" error="Enter 1.5 or 3.0 only" sqref="C4" xr:uid="{C6545F8F-1220-F944-B3AB-ACFB04A2D158}">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1569B-7A05-C846-A479-292E945C49F3}">
  <sheetPr codeName="Sheet5"/>
  <dimension ref="A1:EK52"/>
  <sheetViews>
    <sheetView zoomScale="90" zoomScaleNormal="90" workbookViewId="0">
      <selection activeCell="C4" sqref="C4:C5"/>
    </sheetView>
  </sheetViews>
  <sheetFormatPr baseColWidth="10" defaultRowHeight="13" x14ac:dyDescent="0.15"/>
  <cols>
    <col min="1" max="1" width="22" style="135" customWidth="1"/>
    <col min="2" max="2" width="27.83203125" style="135" customWidth="1"/>
    <col min="3" max="10" width="13.83203125" style="135" customWidth="1"/>
    <col min="11" max="12" width="13.83203125" style="135" hidden="1" customWidth="1"/>
    <col min="13" max="18" width="13.83203125" style="135" customWidth="1"/>
    <col min="19" max="22" width="13.83203125" style="135" hidden="1" customWidth="1"/>
    <col min="23" max="28" width="13.83203125" style="135" customWidth="1"/>
    <col min="29" max="16384" width="10.83203125" style="135"/>
  </cols>
  <sheetData>
    <row r="1" spans="1:141" ht="14" x14ac:dyDescent="0.15">
      <c r="A1" s="134" t="s">
        <v>340</v>
      </c>
      <c r="B1" s="134"/>
      <c r="C1" s="134"/>
      <c r="D1" s="134"/>
      <c r="E1" s="134"/>
      <c r="F1" s="134"/>
      <c r="G1" s="134"/>
      <c r="H1" s="134"/>
      <c r="I1" s="134"/>
      <c r="J1" s="134"/>
      <c r="K1" s="134">
        <v>3</v>
      </c>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4"/>
      <c r="CU1" s="134"/>
      <c r="CV1" s="134"/>
      <c r="CW1" s="134"/>
      <c r="CX1" s="134"/>
      <c r="CY1" s="134"/>
      <c r="CZ1" s="134"/>
      <c r="DA1" s="134"/>
      <c r="DB1" s="134"/>
      <c r="DC1" s="134"/>
      <c r="DD1" s="134"/>
      <c r="DE1" s="134"/>
      <c r="DF1" s="134"/>
      <c r="DG1" s="134"/>
      <c r="DH1" s="134"/>
      <c r="DI1" s="134"/>
      <c r="DJ1" s="134"/>
      <c r="DK1" s="134"/>
      <c r="DL1" s="134"/>
      <c r="DM1" s="134"/>
      <c r="DN1" s="134"/>
      <c r="DO1" s="134"/>
      <c r="DP1" s="134"/>
      <c r="DQ1" s="134"/>
      <c r="DR1" s="134"/>
      <c r="DS1" s="134"/>
      <c r="DT1" s="134"/>
      <c r="DU1" s="134"/>
      <c r="DV1" s="134"/>
      <c r="DW1" s="134"/>
      <c r="DX1" s="134"/>
      <c r="DY1" s="134"/>
      <c r="DZ1" s="134"/>
      <c r="EA1" s="134"/>
      <c r="EB1" s="134"/>
      <c r="EC1" s="134"/>
      <c r="ED1" s="134"/>
      <c r="EE1" s="134"/>
      <c r="EF1" s="134"/>
      <c r="EG1" s="134"/>
      <c r="EH1" s="134"/>
      <c r="EI1" s="134"/>
      <c r="EJ1" s="134"/>
      <c r="EK1" s="134"/>
    </row>
    <row r="2" spans="1:141" ht="14" x14ac:dyDescent="0.15">
      <c r="A2" s="136" t="s">
        <v>153</v>
      </c>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c r="EF2" s="134"/>
      <c r="EG2" s="134"/>
      <c r="EH2" s="134"/>
      <c r="EI2" s="134"/>
      <c r="EJ2" s="134"/>
      <c r="EK2" s="134"/>
    </row>
    <row r="3" spans="1:141" ht="14" x14ac:dyDescent="0.15">
      <c r="A3" s="136"/>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c r="EC3" s="134"/>
      <c r="ED3" s="134"/>
      <c r="EE3" s="134"/>
      <c r="EF3" s="134"/>
      <c r="EG3" s="134"/>
      <c r="EH3" s="134"/>
      <c r="EI3" s="134"/>
      <c r="EJ3" s="134"/>
      <c r="EK3" s="134"/>
    </row>
    <row r="4" spans="1:141" ht="14" x14ac:dyDescent="0.15">
      <c r="A4" s="68" t="s">
        <v>341</v>
      </c>
      <c r="B4" s="69"/>
      <c r="C4" s="104">
        <v>1.5</v>
      </c>
      <c r="D4" s="134"/>
      <c r="E4" s="70" t="s">
        <v>366</v>
      </c>
      <c r="F4" s="71">
        <f>IF(C4&lt;K1,(703),(1406))</f>
        <v>703</v>
      </c>
      <c r="G4" s="72"/>
      <c r="H4" s="73" t="s">
        <v>367</v>
      </c>
      <c r="I4" s="74" t="s">
        <v>368</v>
      </c>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c r="CL4" s="134"/>
      <c r="CM4" s="134"/>
      <c r="CN4" s="134"/>
      <c r="CO4" s="134"/>
      <c r="CP4" s="134"/>
      <c r="CQ4" s="134"/>
      <c r="CR4" s="134"/>
      <c r="CS4" s="134"/>
      <c r="CT4" s="134"/>
      <c r="CU4" s="134"/>
      <c r="CV4" s="134"/>
      <c r="CW4" s="134"/>
      <c r="CX4" s="134"/>
      <c r="CY4" s="134"/>
      <c r="CZ4" s="134"/>
      <c r="DA4" s="134"/>
      <c r="DB4" s="134"/>
      <c r="DC4" s="134"/>
      <c r="DD4" s="134"/>
      <c r="DE4" s="134"/>
      <c r="DF4" s="134"/>
      <c r="DG4" s="134"/>
      <c r="DH4" s="134"/>
      <c r="DI4" s="134"/>
      <c r="DJ4" s="134"/>
      <c r="DK4" s="134"/>
      <c r="DL4" s="134"/>
      <c r="DM4" s="134"/>
      <c r="DN4" s="134"/>
      <c r="DO4" s="134"/>
      <c r="DP4" s="134"/>
      <c r="DQ4" s="134"/>
      <c r="DR4" s="134"/>
      <c r="DS4" s="134"/>
      <c r="DT4" s="134"/>
      <c r="DU4" s="134"/>
      <c r="DV4" s="134"/>
      <c r="DW4" s="134"/>
      <c r="DX4" s="134"/>
      <c r="DY4" s="134"/>
      <c r="DZ4" s="134"/>
      <c r="EA4" s="134"/>
      <c r="EB4" s="134"/>
      <c r="EC4" s="134"/>
      <c r="ED4" s="134"/>
      <c r="EE4" s="134"/>
      <c r="EF4" s="134"/>
      <c r="EG4" s="134"/>
      <c r="EH4" s="134"/>
      <c r="EI4" s="134"/>
      <c r="EJ4" s="134"/>
      <c r="EK4" s="134"/>
    </row>
    <row r="5" spans="1:141" ht="14" x14ac:dyDescent="0.15">
      <c r="A5" s="75" t="s">
        <v>369</v>
      </c>
      <c r="B5" s="76"/>
      <c r="C5" s="105">
        <v>1500</v>
      </c>
      <c r="D5" s="134"/>
      <c r="E5" s="77" t="s">
        <v>370</v>
      </c>
      <c r="F5" s="78">
        <f>C5-(F4-F6)</f>
        <v>1009.306</v>
      </c>
      <c r="G5" s="20" t="s">
        <v>371</v>
      </c>
      <c r="H5" s="79">
        <f>F5*80/100</f>
        <v>807.4448000000001</v>
      </c>
      <c r="I5" s="80">
        <f>F5*20/100</f>
        <v>201.86120000000003</v>
      </c>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row>
    <row r="6" spans="1:141" ht="14" x14ac:dyDescent="0.15">
      <c r="D6" s="134"/>
      <c r="E6" s="112" t="s">
        <v>372</v>
      </c>
      <c r="F6" s="113">
        <f>IF(C4&lt;K1,(F4*30.2/100),(F4*56.8/100))</f>
        <v>212.30599999999998</v>
      </c>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row>
    <row r="7" spans="1:141" ht="15" thickBot="1" x14ac:dyDescent="0.2">
      <c r="A7" s="134"/>
      <c r="B7" s="134"/>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row>
    <row r="8" spans="1:141" ht="14" x14ac:dyDescent="0.15">
      <c r="A8" s="82" t="s">
        <v>356</v>
      </c>
      <c r="B8" s="83"/>
      <c r="C8" s="83"/>
      <c r="D8" s="83"/>
      <c r="E8" s="83"/>
      <c r="F8" s="83"/>
      <c r="G8" s="83"/>
      <c r="H8" s="83"/>
      <c r="I8" s="83"/>
      <c r="J8" s="83"/>
      <c r="K8" s="83"/>
      <c r="L8" s="83"/>
      <c r="M8" s="83"/>
      <c r="N8" s="83"/>
      <c r="O8" s="83"/>
      <c r="P8" s="83"/>
      <c r="Q8" s="83"/>
      <c r="R8" s="83"/>
      <c r="S8" s="83"/>
      <c r="T8" s="83"/>
      <c r="U8" s="83"/>
      <c r="V8" s="83"/>
      <c r="W8" s="83"/>
      <c r="X8" s="83"/>
      <c r="Y8" s="83"/>
      <c r="Z8" s="83"/>
      <c r="AA8" s="83"/>
      <c r="AB8" s="18"/>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row>
    <row r="9" spans="1:141" ht="90" x14ac:dyDescent="0.15">
      <c r="A9" s="287" t="s">
        <v>231</v>
      </c>
      <c r="B9" s="288" t="s">
        <v>243</v>
      </c>
      <c r="C9" s="289" t="s">
        <v>244</v>
      </c>
      <c r="D9" s="289" t="s">
        <v>227</v>
      </c>
      <c r="E9" s="290" t="s">
        <v>357</v>
      </c>
      <c r="F9" s="290" t="s">
        <v>358</v>
      </c>
      <c r="G9" s="290" t="s">
        <v>321</v>
      </c>
      <c r="H9" s="290" t="s">
        <v>328</v>
      </c>
      <c r="I9" s="290" t="s">
        <v>329</v>
      </c>
      <c r="J9" s="290" t="s">
        <v>799</v>
      </c>
      <c r="K9" s="296" t="s">
        <v>246</v>
      </c>
      <c r="L9" s="296" t="s">
        <v>247</v>
      </c>
      <c r="M9" s="291" t="s">
        <v>248</v>
      </c>
      <c r="N9" s="292" t="s">
        <v>249</v>
      </c>
      <c r="O9" s="292" t="s">
        <v>250</v>
      </c>
      <c r="P9" s="292" t="s">
        <v>251</v>
      </c>
      <c r="Q9" s="292" t="s">
        <v>365</v>
      </c>
      <c r="R9" s="293" t="s">
        <v>373</v>
      </c>
      <c r="S9" s="297" t="s">
        <v>255</v>
      </c>
      <c r="T9" s="297" t="s">
        <v>224</v>
      </c>
      <c r="U9" s="297" t="s">
        <v>374</v>
      </c>
      <c r="V9" s="297" t="s">
        <v>375</v>
      </c>
      <c r="W9" s="293" t="s">
        <v>376</v>
      </c>
      <c r="X9" s="293" t="s">
        <v>436</v>
      </c>
      <c r="Y9" s="292" t="s">
        <v>155</v>
      </c>
      <c r="Z9" s="292" t="s">
        <v>225</v>
      </c>
      <c r="AA9" s="292" t="s">
        <v>226</v>
      </c>
      <c r="AB9" s="294" t="s">
        <v>221</v>
      </c>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row>
    <row r="10" spans="1:141" ht="14" x14ac:dyDescent="0.15">
      <c r="A10" s="63" t="str">
        <f>'Tariff Jul 2019'!K2</f>
        <v>AGL</v>
      </c>
      <c r="B10" s="1" t="str">
        <f>'Tariff Jul 2019'!L2</f>
        <v>Smart Saver</v>
      </c>
      <c r="C10" s="84">
        <f>91*'Tariff Jul 2019'!M2/100</f>
        <v>73.709999999999994</v>
      </c>
      <c r="D10" s="84">
        <f>$F$5*'Tariff Jul 2019'!N2/100</f>
        <v>370.50705709090914</v>
      </c>
      <c r="E10" s="84">
        <v>0</v>
      </c>
      <c r="F10" s="85">
        <v>0</v>
      </c>
      <c r="G10" s="84">
        <v>0</v>
      </c>
      <c r="H10" s="84">
        <v>0</v>
      </c>
      <c r="I10" s="84">
        <v>0</v>
      </c>
      <c r="J10" s="84">
        <f>SUM(C10:I10)</f>
        <v>444.21705709090912</v>
      </c>
      <c r="K10" s="298">
        <f>(J10-C10)*4</f>
        <v>1482.0282283636366</v>
      </c>
      <c r="L10" s="86">
        <f>J10*4</f>
        <v>1776.8682283636365</v>
      </c>
      <c r="M10" s="86">
        <f>L10*1.1</f>
        <v>1954.5550512000002</v>
      </c>
      <c r="N10" s="1">
        <f>'Tariff Jul 2019'!AW2</f>
        <v>8</v>
      </c>
      <c r="O10" s="1">
        <f>'Tariff Jul 2019'!AX2</f>
        <v>0</v>
      </c>
      <c r="P10" s="1">
        <f>'Tariff Jul 2019'!AY2</f>
        <v>0</v>
      </c>
      <c r="Q10" s="1">
        <f>'Tariff Jul 2019'!AZ2</f>
        <v>0</v>
      </c>
      <c r="R10" s="87">
        <f>($F$6*'Tariff Jul 2019'!AT2/100)*4</f>
        <v>138.42351199999999</v>
      </c>
      <c r="S10" s="298">
        <f>L10-(L10*N10/100)</f>
        <v>1634.7187700945456</v>
      </c>
      <c r="T10" s="298">
        <f>S10</f>
        <v>1634.7187700945456</v>
      </c>
      <c r="U10" s="298">
        <f>S10-R10</f>
        <v>1496.2952580945455</v>
      </c>
      <c r="V10" s="298">
        <f>T10-R10</f>
        <v>1496.2952580945455</v>
      </c>
      <c r="W10" s="300">
        <f>U10*1.1</f>
        <v>1645.9247839040002</v>
      </c>
      <c r="X10" s="300">
        <f>V10*1.1</f>
        <v>1645.9247839040002</v>
      </c>
      <c r="Y10" s="88">
        <f>'Tariff Jul 2019'!AT2</f>
        <v>16.3</v>
      </c>
      <c r="Z10" s="89">
        <f>'Tariff Jul 2019'!BI2</f>
        <v>0</v>
      </c>
      <c r="AA10" s="89" t="str">
        <f>'Tariff Jul 2019'!BJ2</f>
        <v>n</v>
      </c>
      <c r="AB10" s="90">
        <f>'Tariff Jul 2019'!G2</f>
        <v>42185</v>
      </c>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c r="DC10" s="134"/>
      <c r="DD10" s="134"/>
      <c r="DE10" s="134"/>
      <c r="DF10" s="134"/>
      <c r="DG10" s="134"/>
      <c r="DH10" s="134"/>
      <c r="DI10" s="134"/>
      <c r="DJ10" s="134"/>
      <c r="DK10" s="134"/>
      <c r="DL10" s="134"/>
      <c r="DM10" s="134"/>
      <c r="DN10" s="134"/>
      <c r="DO10" s="134"/>
      <c r="DP10" s="134"/>
      <c r="DQ10" s="134"/>
      <c r="DR10" s="134"/>
      <c r="DS10" s="134"/>
      <c r="DT10" s="134"/>
      <c r="DU10" s="134"/>
      <c r="DV10" s="134"/>
      <c r="DW10" s="134"/>
      <c r="DX10" s="134"/>
      <c r="DY10" s="134"/>
      <c r="DZ10" s="134"/>
      <c r="EA10" s="134"/>
      <c r="EB10" s="134"/>
      <c r="EC10" s="134"/>
      <c r="ED10" s="134"/>
      <c r="EE10" s="134"/>
      <c r="EF10" s="134"/>
      <c r="EG10" s="134"/>
      <c r="EH10" s="134"/>
      <c r="EI10" s="134"/>
      <c r="EJ10" s="134"/>
      <c r="EK10" s="134"/>
    </row>
    <row r="11" spans="1:141" ht="14" x14ac:dyDescent="0.15">
      <c r="A11" s="63" t="str">
        <f>'Tariff Jul 2019'!K3</f>
        <v>Alinta Energy</v>
      </c>
      <c r="B11" s="1" t="str">
        <f>'Tariff Jul 2019'!L3</f>
        <v>No fuss</v>
      </c>
      <c r="C11" s="84">
        <f>91*'Tariff Jul 2019'!M3/100</f>
        <v>75.53</v>
      </c>
      <c r="D11" s="84">
        <f>IF($F$5&gt;='Tariff Jul 2019'!P3,('Tariff Jul 2019'!P3*'Tariff Jul 2019'!N3/100),($F$5*'Tariff Jul 2019'!N3/100))</f>
        <v>90.463636363636354</v>
      </c>
      <c r="E11" s="84">
        <f>IF($F$5&lt;'Tariff Jul 2019'!P3,0,IF(($F$5-'Tariff Jul 2019'!P3)&lt;='Tariff Jul 2019'!R3,(($F$5-'Tariff Jul 2019'!P3)*'Tariff Jul 2019'!Q3/100),(('Tariff Jul 2019'!R3-'Tariff Jul 2019'!P3)*'Tariff Jul 2019'!Q3/100)))</f>
        <v>0</v>
      </c>
      <c r="F11" s="85">
        <f>IF($F$5&lt;'Tariff Jul 2019'!R3,0,IF(($F$5-'Tariff Jul 2019'!R3)&lt;='Tariff Jul 2019'!T3,(($F$5-'Tariff Jul 2019'!R3)*'Tariff Jul 2019'!S3/100),(('Tariff Jul 2019'!T3-'Tariff Jul 2019'!R3)*'Tariff Jul 2019'!S3/100)))</f>
        <v>0</v>
      </c>
      <c r="G11" s="84">
        <v>0</v>
      </c>
      <c r="H11" s="84">
        <v>0</v>
      </c>
      <c r="I11" s="84">
        <f>IF(($F$5&lt;'Tariff Jul 2019'!T3),(0),($F$5-'Tariff Jul 2019'!T3)*'Tariff Jul 2019'!U3/100)</f>
        <v>238.26233363636365</v>
      </c>
      <c r="J11" s="84">
        <f t="shared" ref="J11:J23" si="0">SUM(C11:I11)</f>
        <v>404.25597000000005</v>
      </c>
      <c r="K11" s="298">
        <f>(J11-C11)*4</f>
        <v>1314.9038800000003</v>
      </c>
      <c r="L11" s="86">
        <f t="shared" ref="L11:L23" si="1">J11*4</f>
        <v>1617.0238800000002</v>
      </c>
      <c r="M11" s="86">
        <f t="shared" ref="M11:M23" si="2">L11*1.1</f>
        <v>1778.7262680000003</v>
      </c>
      <c r="N11" s="1">
        <f>'Tariff Jul 2019'!AW3</f>
        <v>0</v>
      </c>
      <c r="O11" s="1">
        <f>'Tariff Jul 2019'!AX3</f>
        <v>0</v>
      </c>
      <c r="P11" s="1">
        <f>'Tariff Jul 2019'!AY3</f>
        <v>0</v>
      </c>
      <c r="Q11" s="1">
        <f>'Tariff Jul 2019'!AZ3</f>
        <v>0</v>
      </c>
      <c r="R11" s="87">
        <f>($F$6*'Tariff Jul 2019'!AT3/100)*4</f>
        <v>80.676279999999991</v>
      </c>
      <c r="S11" s="298">
        <f>L11</f>
        <v>1617.0238800000002</v>
      </c>
      <c r="T11" s="298">
        <f>S11</f>
        <v>1617.0238800000002</v>
      </c>
      <c r="U11" s="298">
        <f t="shared" ref="U11:U27" si="3">S11-R11</f>
        <v>1536.3476000000003</v>
      </c>
      <c r="V11" s="298">
        <f t="shared" ref="V11:V27" si="4">T11-R11</f>
        <v>1536.3476000000003</v>
      </c>
      <c r="W11" s="300">
        <f t="shared" ref="W11:X26" si="5">U11*1.1</f>
        <v>1689.9823600000004</v>
      </c>
      <c r="X11" s="300">
        <f t="shared" si="5"/>
        <v>1689.9823600000004</v>
      </c>
      <c r="Y11" s="88">
        <f>'Tariff Jul 2019'!AT3</f>
        <v>9.5</v>
      </c>
      <c r="Z11" s="89">
        <f>'Tariff Jul 2019'!BI3</f>
        <v>0</v>
      </c>
      <c r="AA11" s="89" t="str">
        <f>'Tariff Jul 2019'!BJ3</f>
        <v>n</v>
      </c>
      <c r="AB11" s="90">
        <f>'Tariff Jul 2019'!G3</f>
        <v>42185</v>
      </c>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row>
    <row r="12" spans="1:141" ht="14" x14ac:dyDescent="0.15">
      <c r="A12" s="63" t="str">
        <f>'Tariff Jul 2019'!K4</f>
        <v>Click Energy</v>
      </c>
      <c r="B12" s="1" t="str">
        <f>'Tariff Jul 2019'!L4</f>
        <v>Banksia Solar</v>
      </c>
      <c r="C12" s="84">
        <f>91*'Tariff Jul 2019'!M4/100</f>
        <v>82.445999999999998</v>
      </c>
      <c r="D12" s="84">
        <f>$F$5*'Tariff Jul 2019'!N4/100</f>
        <v>361.60681327272721</v>
      </c>
      <c r="E12" s="84">
        <v>0</v>
      </c>
      <c r="F12" s="85">
        <v>0</v>
      </c>
      <c r="G12" s="84">
        <v>0</v>
      </c>
      <c r="H12" s="84">
        <v>0</v>
      </c>
      <c r="I12" s="84">
        <v>0</v>
      </c>
      <c r="J12" s="84">
        <f t="shared" si="0"/>
        <v>444.05281327272724</v>
      </c>
      <c r="K12" s="298">
        <f t="shared" ref="K12:K23" si="6">(J12-C12)*4</f>
        <v>1446.4272530909088</v>
      </c>
      <c r="L12" s="86">
        <f t="shared" si="1"/>
        <v>1776.2112530909089</v>
      </c>
      <c r="M12" s="86">
        <f t="shared" si="2"/>
        <v>1953.8323783999999</v>
      </c>
      <c r="N12" s="1">
        <f>'Tariff Jul 2019'!AW4</f>
        <v>0</v>
      </c>
      <c r="O12" s="1">
        <f>'Tariff Jul 2019'!AX4</f>
        <v>0</v>
      </c>
      <c r="P12" s="1">
        <f>'Tariff Jul 2019'!AY4</f>
        <v>0</v>
      </c>
      <c r="Q12" s="1">
        <f>'Tariff Jul 2019'!AZ4</f>
        <v>0</v>
      </c>
      <c r="R12" s="87">
        <f>($F$6*'Tariff Jul 2019'!AT4/100)*4</f>
        <v>144.36807999999999</v>
      </c>
      <c r="S12" s="298">
        <f>L12</f>
        <v>1776.2112530909089</v>
      </c>
      <c r="T12" s="298">
        <f>S12</f>
        <v>1776.2112530909089</v>
      </c>
      <c r="U12" s="298">
        <f t="shared" si="3"/>
        <v>1631.843173090909</v>
      </c>
      <c r="V12" s="298">
        <f t="shared" si="4"/>
        <v>1631.843173090909</v>
      </c>
      <c r="W12" s="300">
        <f t="shared" si="5"/>
        <v>1795.0274904</v>
      </c>
      <c r="X12" s="300">
        <f t="shared" si="5"/>
        <v>1795.0274904</v>
      </c>
      <c r="Y12" s="88">
        <f>'Tariff Jul 2019'!AT4</f>
        <v>17</v>
      </c>
      <c r="Z12" s="89">
        <f>'Tariff Jul 2019'!BI4</f>
        <v>0</v>
      </c>
      <c r="AA12" s="89" t="str">
        <f>'Tariff Jul 2019'!BJ4</f>
        <v>n</v>
      </c>
      <c r="AB12" s="90">
        <f>'Tariff Jul 2019'!G4</f>
        <v>42185</v>
      </c>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row>
    <row r="13" spans="1:141" ht="14" x14ac:dyDescent="0.15">
      <c r="A13" s="63" t="str">
        <f>'Tariff Jul 2019'!K5</f>
        <v>Commander</v>
      </c>
      <c r="B13" s="1" t="str">
        <f>'Tariff Jul 2019'!L5</f>
        <v>Market offer</v>
      </c>
      <c r="C13" s="84">
        <f>91*'Tariff Jul 2019'!M5/100</f>
        <v>80.808000000000007</v>
      </c>
      <c r="D13" s="84">
        <f>IF($F$5&gt;='Tariff Jul 2019'!P5,('Tariff Jul 2019'!P5*'Tariff Jul 2019'!N5/100),($F$5*'Tariff Jul 2019'!N5/100))</f>
        <v>324.09090909090907</v>
      </c>
      <c r="E13" s="84">
        <f>IF($F$5&lt;'Tariff Jul 2019'!P5,0,IF(($F$5-'Tariff Jul 2019'!P5)&lt;='Tariff Jul 2019'!R5,(($F$5-'Tariff Jul 2019'!P5)*'Tariff Jul 2019'!Q5/100),(('Tariff Jul 2019'!R5-'Tariff Jul 2019'!P5)*'Tariff Jul 2019'!Q5/100)))</f>
        <v>3.0946680000000129</v>
      </c>
      <c r="F13" s="85">
        <f>IF($F$5&lt;'Tariff Jul 2019'!R5,0,IF(($F$5-'Tariff Jul 2019'!R5)&lt;='Tariff Jul 2019'!T5,(($F$5-'Tariff Jul 2019'!R5)*'Tariff Jul 2019'!S5/100),(('Tariff Jul 2019'!T5-'Tariff Jul 2019'!R5)*'Tariff Jul 2019'!S5/100)))</f>
        <v>3.0946680000000129</v>
      </c>
      <c r="G13" s="84">
        <v>0</v>
      </c>
      <c r="H13" s="84">
        <v>0</v>
      </c>
      <c r="I13" s="84">
        <f>IF(($F$5&lt;'Tariff Jul 2019'!T5),(0),($F$5-'Tariff Jul 2019'!T5)*'Tariff Jul 2019'!U5/100)</f>
        <v>3.0946680000000129</v>
      </c>
      <c r="J13" s="84">
        <f t="shared" si="0"/>
        <v>414.1829130909091</v>
      </c>
      <c r="K13" s="298">
        <f t="shared" si="6"/>
        <v>1333.4996523636364</v>
      </c>
      <c r="L13" s="86">
        <f t="shared" si="1"/>
        <v>1656.7316523636364</v>
      </c>
      <c r="M13" s="86">
        <f t="shared" si="2"/>
        <v>1822.4048176000001</v>
      </c>
      <c r="N13" s="1">
        <f>'Tariff Jul 2019'!AW5</f>
        <v>0</v>
      </c>
      <c r="O13" s="1">
        <f>'Tariff Jul 2019'!AX5</f>
        <v>0</v>
      </c>
      <c r="P13" s="1">
        <f>'Tariff Jul 2019'!AY5</f>
        <v>0</v>
      </c>
      <c r="Q13" s="1">
        <f>'Tariff Jul 2019'!AZ5</f>
        <v>0</v>
      </c>
      <c r="R13" s="87">
        <f>($F$6*'Tariff Jul 2019'!AT5/100)*4</f>
        <v>98.509983999999989</v>
      </c>
      <c r="S13" s="298">
        <f>L13</f>
        <v>1656.7316523636364</v>
      </c>
      <c r="T13" s="298">
        <f>S13</f>
        <v>1656.7316523636364</v>
      </c>
      <c r="U13" s="298">
        <f t="shared" si="3"/>
        <v>1558.2216683636364</v>
      </c>
      <c r="V13" s="298">
        <f t="shared" si="4"/>
        <v>1558.2216683636364</v>
      </c>
      <c r="W13" s="300">
        <f t="shared" si="5"/>
        <v>1714.0438352000001</v>
      </c>
      <c r="X13" s="300">
        <f t="shared" si="5"/>
        <v>1714.0438352000001</v>
      </c>
      <c r="Y13" s="88">
        <f>'Tariff Jul 2019'!AT5</f>
        <v>11.6</v>
      </c>
      <c r="Z13" s="89">
        <f>'Tariff Jul 2019'!BI5</f>
        <v>0</v>
      </c>
      <c r="AA13" s="89" t="str">
        <f>'Tariff Jul 2019'!BJ5</f>
        <v>n</v>
      </c>
      <c r="AB13" s="90">
        <f>'Tariff Jul 2019'!G5</f>
        <v>42185</v>
      </c>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row>
    <row r="14" spans="1:141" ht="14" x14ac:dyDescent="0.15">
      <c r="A14" s="63" t="str">
        <f>'Tariff Jul 2019'!K6</f>
        <v>Diamond Energy</v>
      </c>
      <c r="B14" s="1" t="str">
        <f>'Tariff Jul 2019'!L6</f>
        <v>Pay on time discount</v>
      </c>
      <c r="C14" s="84">
        <f>91*'Tariff Jul 2019'!M6/100</f>
        <v>79.124499999999998</v>
      </c>
      <c r="D14" s="84">
        <f>IF($F$5&gt;='Tariff Jul 2019'!P6,('Tariff Jul 2019'!P6*'Tariff Jul 2019'!N6/100),($F$5*'Tariff Jul 2019'!N6/100))</f>
        <v>99.78</v>
      </c>
      <c r="E14" s="84">
        <f>IF($F$5&lt;'Tariff Jul 2019'!P6,0,IF(($F$5-'Tariff Jul 2019'!P6)&lt;='Tariff Jul 2019'!R6,(($F$5-'Tariff Jul 2019'!P6)*'Tariff Jul 2019'!Q6/100),(('Tariff Jul 2019'!R6-'Tariff Jul 2019'!P6)*'Tariff Jul 2019'!Q6/100)))</f>
        <v>254.56992339999999</v>
      </c>
      <c r="F14" s="85">
        <f>IF($F$5&lt;'Tariff Jul 2019'!R6,0,IF(($F$5-'Tariff Jul 2019'!R6)&lt;='Tariff Jul 2019'!T6,(($F$5-'Tariff Jul 2019'!R6)*'Tariff Jul 2019'!S6/100),(('Tariff Jul 2019'!T6-'Tariff Jul 2019'!R6)*'Tariff Jul 2019'!S6/100)))</f>
        <v>3.6246870000000162</v>
      </c>
      <c r="G14" s="84">
        <v>0</v>
      </c>
      <c r="H14" s="84">
        <v>0</v>
      </c>
      <c r="I14" s="84">
        <f>IF(($F$5&lt;'Tariff Jul 2019'!T6),(0),($F$5-'Tariff Jul 2019'!T6)*'Tariff Jul 2019'!U6/100)</f>
        <v>0</v>
      </c>
      <c r="J14" s="84">
        <f t="shared" si="0"/>
        <v>437.09911039999997</v>
      </c>
      <c r="K14" s="298">
        <f t="shared" si="6"/>
        <v>1431.8984415999998</v>
      </c>
      <c r="L14" s="86">
        <f t="shared" si="1"/>
        <v>1748.3964415999999</v>
      </c>
      <c r="M14" s="86">
        <f t="shared" si="2"/>
        <v>1923.2360857599999</v>
      </c>
      <c r="N14" s="1">
        <f>'Tariff Jul 2019'!AW6</f>
        <v>0</v>
      </c>
      <c r="O14" s="1">
        <f>'Tariff Jul 2019'!AX6</f>
        <v>0</v>
      </c>
      <c r="P14" s="1">
        <f>'Tariff Jul 2019'!AY6</f>
        <v>7</v>
      </c>
      <c r="Q14" s="1">
        <f>'Tariff Jul 2019'!AZ6</f>
        <v>0</v>
      </c>
      <c r="R14" s="87">
        <f>($F$6*'Tariff Jul 2019'!AT6/100)*4</f>
        <v>101.90687999999999</v>
      </c>
      <c r="S14" s="298">
        <f>L14</f>
        <v>1748.3964415999999</v>
      </c>
      <c r="T14" s="298">
        <f>S14-(S14*P14/100)</f>
        <v>1626.0086906879999</v>
      </c>
      <c r="U14" s="298">
        <f t="shared" si="3"/>
        <v>1646.4895615999999</v>
      </c>
      <c r="V14" s="298">
        <f t="shared" si="4"/>
        <v>1524.1018106879999</v>
      </c>
      <c r="W14" s="300">
        <f t="shared" si="5"/>
        <v>1811.13851776</v>
      </c>
      <c r="X14" s="300">
        <f t="shared" si="5"/>
        <v>1676.5119917567999</v>
      </c>
      <c r="Y14" s="88">
        <f>'Tariff Jul 2019'!AT6</f>
        <v>12</v>
      </c>
      <c r="Z14" s="89">
        <f>'Tariff Jul 2019'!BI6</f>
        <v>0</v>
      </c>
      <c r="AA14" s="89" t="str">
        <f>'Tariff Jul 2019'!BJ6</f>
        <v>n</v>
      </c>
      <c r="AB14" s="90">
        <f>'Tariff Jul 2019'!G6</f>
        <v>41820</v>
      </c>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4"/>
      <c r="DF14" s="134"/>
      <c r="DG14" s="134"/>
      <c r="DH14" s="134"/>
      <c r="DI14" s="134"/>
      <c r="DJ14" s="134"/>
      <c r="DK14" s="134"/>
      <c r="DL14" s="134"/>
      <c r="DM14" s="134"/>
      <c r="DN14" s="134"/>
      <c r="DO14" s="134"/>
      <c r="DP14" s="134"/>
      <c r="DQ14" s="134"/>
      <c r="DR14" s="134"/>
      <c r="DS14" s="134"/>
      <c r="DT14" s="134"/>
      <c r="DU14" s="134"/>
      <c r="DV14" s="134"/>
      <c r="DW14" s="134"/>
      <c r="DX14" s="134"/>
      <c r="DY14" s="134"/>
      <c r="DZ14" s="134"/>
      <c r="EA14" s="134"/>
      <c r="EB14" s="134"/>
      <c r="EC14" s="134"/>
      <c r="ED14" s="134"/>
      <c r="EE14" s="134"/>
      <c r="EF14" s="134"/>
      <c r="EG14" s="134"/>
      <c r="EH14" s="134"/>
      <c r="EI14" s="134"/>
      <c r="EJ14" s="134"/>
      <c r="EK14" s="134"/>
    </row>
    <row r="15" spans="1:141" ht="14" x14ac:dyDescent="0.15">
      <c r="A15" s="63" t="str">
        <f>'Tariff Jul 2019'!K7</f>
        <v>Dodo Power &amp; Gas</v>
      </c>
      <c r="B15" s="1" t="str">
        <f>'Tariff Jul 2019'!L7</f>
        <v>Market offer</v>
      </c>
      <c r="C15" s="84">
        <f>91*'Tariff Jul 2019'!M7/100</f>
        <v>80.808000000000007</v>
      </c>
      <c r="D15" s="84">
        <f>IF($F$5&gt;='Tariff Jul 2019'!P7,('Tariff Jul 2019'!P7*'Tariff Jul 2019'!N7/100),($F$5*'Tariff Jul 2019'!N7/100))</f>
        <v>324.09090909090907</v>
      </c>
      <c r="E15" s="84">
        <f>IF($F$5&lt;'Tariff Jul 2019'!P7,0,IF(($F$5-'Tariff Jul 2019'!P7)&lt;='Tariff Jul 2019'!R7,(($F$5-'Tariff Jul 2019'!P7)*'Tariff Jul 2019'!Q7/100),(('Tariff Jul 2019'!R7-'Tariff Jul 2019'!P7)*'Tariff Jul 2019'!Q7/100)))</f>
        <v>3.0946680000000129</v>
      </c>
      <c r="F15" s="85">
        <f>IF($F$5&lt;'Tariff Jul 2019'!R7,0,IF(($F$5-'Tariff Jul 2019'!R7)&lt;='Tariff Jul 2019'!T7,(($F$5-'Tariff Jul 2019'!R7)*'Tariff Jul 2019'!S7/100),(('Tariff Jul 2019'!T7-'Tariff Jul 2019'!R7)*'Tariff Jul 2019'!S7/100)))</f>
        <v>3.0946680000000129</v>
      </c>
      <c r="G15" s="84">
        <v>0</v>
      </c>
      <c r="H15" s="84">
        <v>0</v>
      </c>
      <c r="I15" s="84">
        <f>IF(($F$5&lt;'Tariff Jul 2019'!T7),(0),($F$5-'Tariff Jul 2019'!T7)*'Tariff Jul 2019'!U7/100)</f>
        <v>3.0946680000000129</v>
      </c>
      <c r="J15" s="84">
        <f t="shared" si="0"/>
        <v>414.1829130909091</v>
      </c>
      <c r="K15" s="298">
        <f t="shared" si="6"/>
        <v>1333.4996523636364</v>
      </c>
      <c r="L15" s="86">
        <f t="shared" si="1"/>
        <v>1656.7316523636364</v>
      </c>
      <c r="M15" s="86">
        <f t="shared" si="2"/>
        <v>1822.4048176000001</v>
      </c>
      <c r="N15" s="1">
        <f>'Tariff Jul 2019'!AW7</f>
        <v>0</v>
      </c>
      <c r="O15" s="1">
        <f>'Tariff Jul 2019'!AX7</f>
        <v>0</v>
      </c>
      <c r="P15" s="1">
        <f>'Tariff Jul 2019'!AY7</f>
        <v>0</v>
      </c>
      <c r="Q15" s="1">
        <f>'Tariff Jul 2019'!AZ7</f>
        <v>0</v>
      </c>
      <c r="R15" s="87">
        <f>($F$6*'Tariff Jul 2019'!AT7/100)*4</f>
        <v>98.509983999999989</v>
      </c>
      <c r="S15" s="298">
        <f>L15</f>
        <v>1656.7316523636364</v>
      </c>
      <c r="T15" s="298">
        <f t="shared" ref="T15:T20" si="7">S15</f>
        <v>1656.7316523636364</v>
      </c>
      <c r="U15" s="298">
        <f t="shared" si="3"/>
        <v>1558.2216683636364</v>
      </c>
      <c r="V15" s="298">
        <f t="shared" si="4"/>
        <v>1558.2216683636364</v>
      </c>
      <c r="W15" s="300">
        <f t="shared" si="5"/>
        <v>1714.0438352000001</v>
      </c>
      <c r="X15" s="300">
        <f t="shared" si="5"/>
        <v>1714.0438352000001</v>
      </c>
      <c r="Y15" s="88">
        <f>'Tariff Jul 2019'!AT7</f>
        <v>11.6</v>
      </c>
      <c r="Z15" s="89">
        <f>'Tariff Jul 2019'!BI7</f>
        <v>0</v>
      </c>
      <c r="AA15" s="89" t="str">
        <f>'Tariff Jul 2019'!BJ7</f>
        <v>n</v>
      </c>
      <c r="AB15" s="90">
        <f>'Tariff Jul 2019'!G7</f>
        <v>42185</v>
      </c>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row>
    <row r="16" spans="1:141" ht="14" x14ac:dyDescent="0.15">
      <c r="A16" s="63" t="str">
        <f>'Tariff Jul 2019'!K8</f>
        <v>EnergyAustralia</v>
      </c>
      <c r="B16" s="1" t="str">
        <f>'Tariff Jul 2019'!L8</f>
        <v>Total Plan</v>
      </c>
      <c r="C16" s="84">
        <f>91*'Tariff Jul 2019'!M8/100</f>
        <v>70.97999999999999</v>
      </c>
      <c r="D16" s="84">
        <f>$F$5*'Tariff Jul 2019'!N8/100</f>
        <v>373.44322</v>
      </c>
      <c r="E16" s="84">
        <v>0</v>
      </c>
      <c r="F16" s="85">
        <v>0</v>
      </c>
      <c r="G16" s="84">
        <v>0</v>
      </c>
      <c r="H16" s="84">
        <v>0</v>
      </c>
      <c r="I16" s="84">
        <v>0</v>
      </c>
      <c r="J16" s="84">
        <f t="shared" si="0"/>
        <v>444.42322000000001</v>
      </c>
      <c r="K16" s="298">
        <f t="shared" si="6"/>
        <v>1493.77288</v>
      </c>
      <c r="L16" s="86">
        <f t="shared" si="1"/>
        <v>1777.6928800000001</v>
      </c>
      <c r="M16" s="86">
        <f t="shared" si="2"/>
        <v>1955.4621680000002</v>
      </c>
      <c r="N16" s="1">
        <f>'Tariff Jul 2019'!AW8</f>
        <v>6</v>
      </c>
      <c r="O16" s="1">
        <f>'Tariff Jul 2019'!AX8</f>
        <v>0</v>
      </c>
      <c r="P16" s="1">
        <f>'Tariff Jul 2019'!AY8</f>
        <v>0</v>
      </c>
      <c r="Q16" s="1">
        <f>'Tariff Jul 2019'!AZ8</f>
        <v>0</v>
      </c>
      <c r="R16" s="87">
        <f>($F$6*'Tariff Jul 2019'!AT8/100)*4</f>
        <v>127.38359999999999</v>
      </c>
      <c r="S16" s="298">
        <f>L16-(L16*N16/100)</f>
        <v>1671.0313072000001</v>
      </c>
      <c r="T16" s="298">
        <f t="shared" si="7"/>
        <v>1671.0313072000001</v>
      </c>
      <c r="U16" s="298">
        <f t="shared" si="3"/>
        <v>1543.6477072000002</v>
      </c>
      <c r="V16" s="298">
        <f t="shared" si="4"/>
        <v>1543.6477072000002</v>
      </c>
      <c r="W16" s="300">
        <f t="shared" si="5"/>
        <v>1698.0124779200005</v>
      </c>
      <c r="X16" s="300">
        <f t="shared" si="5"/>
        <v>1698.0124779200005</v>
      </c>
      <c r="Y16" s="88">
        <f>'Tariff Jul 2019'!AT8</f>
        <v>15</v>
      </c>
      <c r="Z16" s="89">
        <f>'Tariff Jul 2019'!BI8</f>
        <v>0</v>
      </c>
      <c r="AA16" s="89" t="str">
        <f>'Tariff Jul 2019'!BJ8</f>
        <v>n</v>
      </c>
      <c r="AB16" s="90">
        <f>'Tariff Jul 2019'!G8</f>
        <v>42185</v>
      </c>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row>
    <row r="17" spans="1:141" ht="14" x14ac:dyDescent="0.15">
      <c r="A17" s="63" t="str">
        <f>'Tariff Jul 2019'!K9</f>
        <v>Lumo Energy</v>
      </c>
      <c r="B17" s="1" t="str">
        <f>'Tariff Jul 2019'!L9</f>
        <v>Basic</v>
      </c>
      <c r="C17" s="84">
        <f>91*'Tariff Jul 2019'!M9/100</f>
        <v>83.72</v>
      </c>
      <c r="D17" s="84">
        <f>$F$5*'Tariff Jul 2019'!N9/100</f>
        <v>324.72126672727273</v>
      </c>
      <c r="E17" s="84">
        <v>0</v>
      </c>
      <c r="F17" s="85">
        <v>0</v>
      </c>
      <c r="G17" s="84">
        <v>0</v>
      </c>
      <c r="H17" s="84">
        <v>0</v>
      </c>
      <c r="I17" s="84">
        <v>0</v>
      </c>
      <c r="J17" s="84">
        <f t="shared" si="0"/>
        <v>408.4412667272727</v>
      </c>
      <c r="K17" s="298">
        <f t="shared" si="6"/>
        <v>1298.8850669090907</v>
      </c>
      <c r="L17" s="86">
        <f t="shared" si="1"/>
        <v>1633.7650669090908</v>
      </c>
      <c r="M17" s="86">
        <f t="shared" si="2"/>
        <v>1797.1415736000001</v>
      </c>
      <c r="N17" s="1">
        <f>'Tariff Jul 2019'!AW9</f>
        <v>0</v>
      </c>
      <c r="O17" s="1">
        <f>'Tariff Jul 2019'!AX9</f>
        <v>0</v>
      </c>
      <c r="P17" s="1">
        <f>'Tariff Jul 2019'!AY9</f>
        <v>0</v>
      </c>
      <c r="Q17" s="1">
        <f>'Tariff Jul 2019'!AZ9</f>
        <v>0</v>
      </c>
      <c r="R17" s="87">
        <f>($F$6*'Tariff Jul 2019'!AT9/100)*4</f>
        <v>135.87583999999998</v>
      </c>
      <c r="S17" s="298">
        <f>L17</f>
        <v>1633.7650669090908</v>
      </c>
      <c r="T17" s="298">
        <f t="shared" si="7"/>
        <v>1633.7650669090908</v>
      </c>
      <c r="U17" s="298">
        <f t="shared" si="3"/>
        <v>1497.8892269090909</v>
      </c>
      <c r="V17" s="298">
        <f t="shared" si="4"/>
        <v>1497.8892269090909</v>
      </c>
      <c r="W17" s="300">
        <f t="shared" si="5"/>
        <v>1647.6781496000001</v>
      </c>
      <c r="X17" s="300">
        <f t="shared" si="5"/>
        <v>1647.6781496000001</v>
      </c>
      <c r="Y17" s="88">
        <f>'Tariff Jul 2019'!AT9</f>
        <v>16</v>
      </c>
      <c r="Z17" s="89">
        <f>'Tariff Jul 2019'!BI9</f>
        <v>0</v>
      </c>
      <c r="AA17" s="89" t="str">
        <f>'Tariff Jul 2019'!BJ9</f>
        <v>n</v>
      </c>
      <c r="AB17" s="90">
        <f>'Tariff Jul 2019'!G9</f>
        <v>42185</v>
      </c>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row>
    <row r="18" spans="1:141" ht="14" x14ac:dyDescent="0.15">
      <c r="A18" s="63" t="str">
        <f>'Tariff Jul 2019'!K10</f>
        <v>Momentum Energy</v>
      </c>
      <c r="B18" s="1" t="str">
        <f>'Tariff Jul 2019'!L10</f>
        <v>SmilePower Flexi</v>
      </c>
      <c r="C18" s="84">
        <f>91*'Tariff Jul 2019'!M10/100</f>
        <v>86.440899999999999</v>
      </c>
      <c r="D18" s="84">
        <f>$F$5*'Tariff Jul 2019'!N10/100</f>
        <v>306.92995459999997</v>
      </c>
      <c r="E18" s="84">
        <v>0</v>
      </c>
      <c r="F18" s="85">
        <v>0</v>
      </c>
      <c r="G18" s="84">
        <v>0</v>
      </c>
      <c r="H18" s="84">
        <v>0</v>
      </c>
      <c r="I18" s="84">
        <v>0</v>
      </c>
      <c r="J18" s="84">
        <f t="shared" si="0"/>
        <v>393.37085459999997</v>
      </c>
      <c r="K18" s="298">
        <f t="shared" si="6"/>
        <v>1227.7198183999999</v>
      </c>
      <c r="L18" s="86">
        <f t="shared" si="1"/>
        <v>1573.4834183999999</v>
      </c>
      <c r="M18" s="86">
        <f t="shared" si="2"/>
        <v>1730.83176024</v>
      </c>
      <c r="N18" s="1">
        <f>'Tariff Jul 2019'!AW10</f>
        <v>0</v>
      </c>
      <c r="O18" s="1">
        <f>'Tariff Jul 2019'!AX10</f>
        <v>0</v>
      </c>
      <c r="P18" s="1">
        <f>'Tariff Jul 2019'!AY10</f>
        <v>0</v>
      </c>
      <c r="Q18" s="1">
        <f>'Tariff Jul 2019'!AZ10</f>
        <v>0</v>
      </c>
      <c r="R18" s="87">
        <f>($F$6*'Tariff Jul 2019'!AT10/100)*4</f>
        <v>0</v>
      </c>
      <c r="S18" s="298">
        <f>L18</f>
        <v>1573.4834183999999</v>
      </c>
      <c r="T18" s="298">
        <f t="shared" si="7"/>
        <v>1573.4834183999999</v>
      </c>
      <c r="U18" s="298">
        <f t="shared" si="3"/>
        <v>1573.4834183999999</v>
      </c>
      <c r="V18" s="298">
        <f t="shared" si="4"/>
        <v>1573.4834183999999</v>
      </c>
      <c r="W18" s="300">
        <f t="shared" si="5"/>
        <v>1730.83176024</v>
      </c>
      <c r="X18" s="300">
        <f t="shared" si="5"/>
        <v>1730.83176024</v>
      </c>
      <c r="Y18" s="88">
        <f>'Tariff Jul 2019'!AT10</f>
        <v>0</v>
      </c>
      <c r="Z18" s="89">
        <f>'Tariff Jul 2019'!BI10</f>
        <v>0</v>
      </c>
      <c r="AA18" s="89" t="str">
        <f>'Tariff Jul 2019'!BJ10</f>
        <v>n</v>
      </c>
      <c r="AB18" s="90">
        <f>'Tariff Jul 2019'!G10</f>
        <v>42185</v>
      </c>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row>
    <row r="19" spans="1:141" ht="14" x14ac:dyDescent="0.15">
      <c r="A19" s="63" t="str">
        <f>'Tariff Jul 2019'!K11</f>
        <v>Origin Energy</v>
      </c>
      <c r="B19" s="1" t="str">
        <f>'Tariff Jul 2019'!L11</f>
        <v>Flexi</v>
      </c>
      <c r="C19" s="84">
        <f>91*'Tariff Jul 2019'!M11/100</f>
        <v>75.124636363636355</v>
      </c>
      <c r="D19" s="84">
        <f>IF($F$5&gt;='Tariff Jul 2019'!P11,('Tariff Jul 2019'!P11*'Tariff Jul 2019'!N11/100),($F$5*'Tariff Jul 2019'!N11/100))</f>
        <v>365.81818181818176</v>
      </c>
      <c r="E19" s="84">
        <f>IF($F$5&lt;'Tariff Jul 2019'!P11,0,IF(($F$5-'Tariff Jul 2019'!P11)&lt;='Tariff Jul 2019'!R11,(($F$5-'Tariff Jul 2019'!P11)*'Tariff Jul 2019'!Q11/100),(('Tariff Jul 2019'!R11-'Tariff Jul 2019'!P11)*'Tariff Jul 2019'!Q11/100)))</f>
        <v>3.6327240000000156</v>
      </c>
      <c r="F19" s="85">
        <f>IF($F$5&lt;'Tariff Jul 2019'!R11,0,IF(($F$5-'Tariff Jul 2019'!R11)&lt;='Tariff Jul 2019'!T11,(($F$5-'Tariff Jul 2019'!R11)*'Tariff Jul 2019'!S11/100),(('Tariff Jul 2019'!T11-'Tariff Jul 2019'!R11)*'Tariff Jul 2019'!S11/100)))</f>
        <v>3.6327240000000156</v>
      </c>
      <c r="G19" s="84">
        <v>0</v>
      </c>
      <c r="H19" s="84">
        <v>0</v>
      </c>
      <c r="I19" s="84">
        <f>IF(($F$5&lt;'Tariff Jul 2019'!T11),(0),($F$5-'Tariff Jul 2019'!T11)*'Tariff Jul 2019'!U11/100)</f>
        <v>3.6327240000000156</v>
      </c>
      <c r="J19" s="84">
        <f t="shared" si="0"/>
        <v>451.84099018181809</v>
      </c>
      <c r="K19" s="298">
        <f t="shared" si="6"/>
        <v>1506.865415272727</v>
      </c>
      <c r="L19" s="86">
        <f t="shared" si="1"/>
        <v>1807.3639607272723</v>
      </c>
      <c r="M19" s="86">
        <f t="shared" si="2"/>
        <v>1988.1003567999996</v>
      </c>
      <c r="N19" s="1">
        <f>'Tariff Jul 2019'!AW11</f>
        <v>12</v>
      </c>
      <c r="O19" s="1">
        <f>'Tariff Jul 2019'!AX11</f>
        <v>0</v>
      </c>
      <c r="P19" s="1">
        <f>'Tariff Jul 2019'!AY11</f>
        <v>0</v>
      </c>
      <c r="Q19" s="1">
        <f>'Tariff Jul 2019'!AZ11</f>
        <v>0</v>
      </c>
      <c r="R19" s="87">
        <f>($F$6*'Tariff Jul 2019'!AT11/100)*4</f>
        <v>84.922399999999996</v>
      </c>
      <c r="S19" s="298">
        <f>M19-(M19*N19/100)</f>
        <v>1749.5283139839996</v>
      </c>
      <c r="T19" s="298">
        <f t="shared" si="7"/>
        <v>1749.5283139839996</v>
      </c>
      <c r="U19" s="298">
        <f t="shared" si="3"/>
        <v>1664.6059139839997</v>
      </c>
      <c r="V19" s="298">
        <f t="shared" si="4"/>
        <v>1664.6059139839997</v>
      </c>
      <c r="W19" s="300">
        <f>U19</f>
        <v>1664.6059139839997</v>
      </c>
      <c r="X19" s="300">
        <f>V19</f>
        <v>1664.6059139839997</v>
      </c>
      <c r="Y19" s="88">
        <f>'Tariff Jul 2019'!AT11</f>
        <v>10</v>
      </c>
      <c r="Z19" s="89">
        <f>'Tariff Jul 2019'!BI11</f>
        <v>0</v>
      </c>
      <c r="AA19" s="89" t="str">
        <f>'Tariff Jul 2019'!BJ11</f>
        <v>n</v>
      </c>
      <c r="AB19" s="90">
        <f>'Tariff Jul 2019'!G11</f>
        <v>42185</v>
      </c>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row>
    <row r="20" spans="1:141" ht="14" x14ac:dyDescent="0.15">
      <c r="A20" s="63" t="str">
        <f>'Tariff Jul 2019'!K12</f>
        <v>Powerdirect</v>
      </c>
      <c r="B20" s="1" t="str">
        <f>'Tariff Jul 2019'!L12</f>
        <v>Discount Saver</v>
      </c>
      <c r="C20" s="84">
        <f>91*'Tariff Jul 2019'!M12/100</f>
        <v>73.709999999999994</v>
      </c>
      <c r="D20" s="84">
        <f>$F$5*'Tariff Jul 2019'!N12/100</f>
        <v>370.50705709090914</v>
      </c>
      <c r="E20" s="84">
        <v>0</v>
      </c>
      <c r="F20" s="85">
        <v>0</v>
      </c>
      <c r="G20" s="84">
        <v>0</v>
      </c>
      <c r="H20" s="84">
        <v>0</v>
      </c>
      <c r="I20" s="84">
        <v>0</v>
      </c>
      <c r="J20" s="84">
        <f t="shared" si="0"/>
        <v>444.21705709090912</v>
      </c>
      <c r="K20" s="298">
        <f t="shared" si="6"/>
        <v>1482.0282283636366</v>
      </c>
      <c r="L20" s="86">
        <f t="shared" si="1"/>
        <v>1776.8682283636365</v>
      </c>
      <c r="M20" s="86">
        <f t="shared" si="2"/>
        <v>1954.5550512000002</v>
      </c>
      <c r="N20" s="1">
        <f>'Tariff Jul 2019'!AW12</f>
        <v>12</v>
      </c>
      <c r="O20" s="1">
        <f>'Tariff Jul 2019'!AX12</f>
        <v>0</v>
      </c>
      <c r="P20" s="1">
        <f>'Tariff Jul 2019'!AY12</f>
        <v>0</v>
      </c>
      <c r="Q20" s="1">
        <f>'Tariff Jul 2019'!AZ12</f>
        <v>0</v>
      </c>
      <c r="R20" s="87">
        <f>($F$6*'Tariff Jul 2019'!AT12/100)*4</f>
        <v>138.42351199999999</v>
      </c>
      <c r="S20" s="298">
        <f>L20-(L20*N20/100)</f>
        <v>1563.64404096</v>
      </c>
      <c r="T20" s="298">
        <f t="shared" si="7"/>
        <v>1563.64404096</v>
      </c>
      <c r="U20" s="298">
        <f t="shared" si="3"/>
        <v>1425.2205289599999</v>
      </c>
      <c r="V20" s="298">
        <f t="shared" si="4"/>
        <v>1425.2205289599999</v>
      </c>
      <c r="W20" s="300">
        <f t="shared" si="5"/>
        <v>1567.742581856</v>
      </c>
      <c r="X20" s="300">
        <f t="shared" si="5"/>
        <v>1567.742581856</v>
      </c>
      <c r="Y20" s="88">
        <f>'Tariff Jul 2019'!AT12</f>
        <v>16.3</v>
      </c>
      <c r="Z20" s="89">
        <f>'Tariff Jul 2019'!BI12</f>
        <v>0</v>
      </c>
      <c r="AA20" s="89" t="str">
        <f>'Tariff Jul 2019'!BJ12</f>
        <v>n</v>
      </c>
      <c r="AB20" s="90">
        <f>'Tariff Jul 2019'!G12</f>
        <v>42185</v>
      </c>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row>
    <row r="21" spans="1:141" ht="14" x14ac:dyDescent="0.15">
      <c r="A21" s="63" t="str">
        <f>'Tariff Jul 2019'!K13</f>
        <v>Red Energy</v>
      </c>
      <c r="B21" s="1" t="str">
        <f>'Tariff Jul 2019'!L13</f>
        <v>No exit fee saver</v>
      </c>
      <c r="C21" s="84">
        <f>91*'Tariff Jul 2019'!M13/100</f>
        <v>90.999999999999986</v>
      </c>
      <c r="D21" s="84">
        <f>$F$5*'Tariff Jul 2019'!N13/100</f>
        <v>352.98183472727271</v>
      </c>
      <c r="E21" s="84">
        <v>0</v>
      </c>
      <c r="F21" s="85">
        <v>0</v>
      </c>
      <c r="G21" s="84">
        <v>0</v>
      </c>
      <c r="H21" s="84">
        <v>0</v>
      </c>
      <c r="I21" s="84">
        <v>0</v>
      </c>
      <c r="J21" s="84">
        <f t="shared" si="0"/>
        <v>443.98183472727271</v>
      </c>
      <c r="K21" s="298">
        <f>(J21-C21)*4</f>
        <v>1411.9273389090908</v>
      </c>
      <c r="L21" s="86">
        <f t="shared" si="1"/>
        <v>1775.9273389090908</v>
      </c>
      <c r="M21" s="86">
        <f t="shared" si="2"/>
        <v>1953.5200728</v>
      </c>
      <c r="N21" s="1">
        <f>'Tariff Jul 2019'!AW13</f>
        <v>0</v>
      </c>
      <c r="O21" s="1">
        <f>'Tariff Jul 2019'!AX13</f>
        <v>0</v>
      </c>
      <c r="P21" s="1">
        <f>'Tariff Jul 2019'!AY13</f>
        <v>10</v>
      </c>
      <c r="Q21" s="1">
        <f>'Tariff Jul 2019'!AZ13</f>
        <v>0</v>
      </c>
      <c r="R21" s="87">
        <f>($F$6*'Tariff Jul 2019'!AT13/100)*4</f>
        <v>135.87583999999998</v>
      </c>
      <c r="S21" s="298">
        <f>M21</f>
        <v>1953.5200728</v>
      </c>
      <c r="T21" s="298">
        <f>M21-(M21*P21/100)</f>
        <v>1758.16806552</v>
      </c>
      <c r="U21" s="298">
        <f t="shared" si="3"/>
        <v>1817.6442328000001</v>
      </c>
      <c r="V21" s="298">
        <f t="shared" si="4"/>
        <v>1622.2922255200001</v>
      </c>
      <c r="W21" s="300">
        <f>U21</f>
        <v>1817.6442328000001</v>
      </c>
      <c r="X21" s="300">
        <f>V21</f>
        <v>1622.2922255200001</v>
      </c>
      <c r="Y21" s="88">
        <f>'Tariff Jul 2019'!AT13</f>
        <v>16</v>
      </c>
      <c r="Z21" s="89">
        <f>'Tariff Jul 2019'!BI13</f>
        <v>0</v>
      </c>
      <c r="AA21" s="89" t="str">
        <f>'Tariff Jul 2019'!BJ13</f>
        <v>n</v>
      </c>
      <c r="AB21" s="90">
        <f>'Tariff Jul 2019'!G13</f>
        <v>42185</v>
      </c>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row>
    <row r="22" spans="1:141" ht="14" x14ac:dyDescent="0.15">
      <c r="A22" s="63" t="str">
        <f>'Tariff Jul 2019'!K14</f>
        <v>Energy Locals</v>
      </c>
      <c r="B22" s="1" t="str">
        <f>'Tariff Jul 2019'!L14</f>
        <v>Solar Promise</v>
      </c>
      <c r="C22" s="84">
        <f>(91*'Tariff Jul 2019'!M14/100)+('Tariff Jul 2019'!BM14/4)</f>
        <v>120.515</v>
      </c>
      <c r="D22" s="84">
        <f>$F$5*'Tariff Jul 2019'!N14/100</f>
        <v>302.70004490909093</v>
      </c>
      <c r="E22" s="84">
        <v>0</v>
      </c>
      <c r="F22" s="85">
        <v>0</v>
      </c>
      <c r="G22" s="84">
        <v>0</v>
      </c>
      <c r="H22" s="84">
        <v>0</v>
      </c>
      <c r="I22" s="84">
        <v>0</v>
      </c>
      <c r="J22" s="84">
        <f t="shared" si="0"/>
        <v>423.21504490909092</v>
      </c>
      <c r="K22" s="298">
        <f t="shared" si="6"/>
        <v>1210.8001796363637</v>
      </c>
      <c r="L22" s="86">
        <f t="shared" si="1"/>
        <v>1692.8601796363637</v>
      </c>
      <c r="M22" s="86">
        <f t="shared" si="2"/>
        <v>1862.1461976000003</v>
      </c>
      <c r="N22" s="1">
        <f>'Tariff Jul 2019'!AW14</f>
        <v>0</v>
      </c>
      <c r="O22" s="1">
        <f>'Tariff Jul 2019'!AX14</f>
        <v>0</v>
      </c>
      <c r="P22" s="1">
        <f>'Tariff Jul 2019'!AY14</f>
        <v>0</v>
      </c>
      <c r="Q22" s="1">
        <f>'Tariff Jul 2019'!AZ14</f>
        <v>0</v>
      </c>
      <c r="R22" s="87">
        <f>($F$6*'Tariff Jul 2019'!AT14/100)*4</f>
        <v>135.87583999999998</v>
      </c>
      <c r="S22" s="298">
        <f t="shared" ref="S22:S27" si="8">L22</f>
        <v>1692.8601796363637</v>
      </c>
      <c r="T22" s="298">
        <f>S22</f>
        <v>1692.8601796363637</v>
      </c>
      <c r="U22" s="298">
        <f t="shared" si="3"/>
        <v>1556.9843396363638</v>
      </c>
      <c r="V22" s="298">
        <f t="shared" si="4"/>
        <v>1556.9843396363638</v>
      </c>
      <c r="W22" s="300">
        <f t="shared" si="5"/>
        <v>1712.6827736000002</v>
      </c>
      <c r="X22" s="300">
        <f t="shared" si="5"/>
        <v>1712.6827736000002</v>
      </c>
      <c r="Y22" s="88">
        <f>'Tariff Jul 2019'!AT14</f>
        <v>16</v>
      </c>
      <c r="Z22" s="89">
        <f>'Tariff Jul 2019'!BI14</f>
        <v>0</v>
      </c>
      <c r="AA22" s="89" t="str">
        <f>'Tariff Jul 2019'!BJ14</f>
        <v>n</v>
      </c>
      <c r="AB22" s="90">
        <f>'Tariff Jul 2019'!G14</f>
        <v>41915</v>
      </c>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row>
    <row r="23" spans="1:141" ht="14" x14ac:dyDescent="0.15">
      <c r="A23" s="63" t="str">
        <f>'Tariff Jul 2019'!K15</f>
        <v>Simply Energy</v>
      </c>
      <c r="B23" s="1" t="str">
        <f>'Tariff Jul 2019'!L15</f>
        <v>Plus</v>
      </c>
      <c r="C23" s="84">
        <f>91*'Tariff Jul 2019'!M15/100</f>
        <v>79.327181818181813</v>
      </c>
      <c r="D23" s="84">
        <f>$F$5*'Tariff Jul 2019'!N15/100</f>
        <v>365.00175163636362</v>
      </c>
      <c r="E23" s="84">
        <v>0</v>
      </c>
      <c r="F23" s="85">
        <v>0</v>
      </c>
      <c r="G23" s="84">
        <v>0</v>
      </c>
      <c r="H23" s="84">
        <v>0</v>
      </c>
      <c r="I23" s="84">
        <v>0</v>
      </c>
      <c r="J23" s="84">
        <f t="shared" si="0"/>
        <v>444.32893345454545</v>
      </c>
      <c r="K23" s="298">
        <f t="shared" si="6"/>
        <v>1460.0070065454545</v>
      </c>
      <c r="L23" s="86">
        <f t="shared" si="1"/>
        <v>1777.3157338181818</v>
      </c>
      <c r="M23" s="86">
        <f t="shared" si="2"/>
        <v>1955.0473072000002</v>
      </c>
      <c r="N23" s="1">
        <f>'Tariff Jul 2019'!AW15</f>
        <v>0</v>
      </c>
      <c r="O23" s="1">
        <f>'Tariff Jul 2019'!AX15</f>
        <v>0</v>
      </c>
      <c r="P23" s="1">
        <f>'Tariff Jul 2019'!AY15</f>
        <v>0</v>
      </c>
      <c r="Q23" s="1">
        <f>'Tariff Jul 2019'!AZ15</f>
        <v>0</v>
      </c>
      <c r="R23" s="87">
        <f>($F$6*'Tariff Jul 2019'!AT15/100)*4</f>
        <v>127.38359999999999</v>
      </c>
      <c r="S23" s="298">
        <f t="shared" si="8"/>
        <v>1777.3157338181818</v>
      </c>
      <c r="T23" s="298">
        <f>S23</f>
        <v>1777.3157338181818</v>
      </c>
      <c r="U23" s="298">
        <f t="shared" si="3"/>
        <v>1649.9321338181819</v>
      </c>
      <c r="V23" s="298">
        <f t="shared" si="4"/>
        <v>1649.9321338181819</v>
      </c>
      <c r="W23" s="300">
        <f t="shared" si="5"/>
        <v>1814.9253472000003</v>
      </c>
      <c r="X23" s="300">
        <f t="shared" si="5"/>
        <v>1814.9253472000003</v>
      </c>
      <c r="Y23" s="88">
        <f>'Tariff Jul 2019'!AT15</f>
        <v>15</v>
      </c>
      <c r="Z23" s="89">
        <f>'Tariff Jul 2019'!BI15</f>
        <v>0</v>
      </c>
      <c r="AA23" s="89" t="str">
        <f>'Tariff Jul 2019'!BJ15</f>
        <v>n</v>
      </c>
      <c r="AB23" s="90">
        <f>'Tariff Jul 2019'!G15</f>
        <v>42185</v>
      </c>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row>
    <row r="24" spans="1:141" ht="14" x14ac:dyDescent="0.15">
      <c r="A24" s="63" t="str">
        <f>'Tariff Jul 2019'!K16</f>
        <v>Amaysim</v>
      </c>
      <c r="B24" s="1" t="str">
        <f>'Tariff Jul 2019'!L16</f>
        <v>Solar as you go</v>
      </c>
      <c r="C24" s="84">
        <f>91*'Tariff Jul 2019'!M16/100</f>
        <v>65.958454545454558</v>
      </c>
      <c r="D24" s="84">
        <f>IF($F$5&gt;='Tariff Jul 2019'!P16,('Tariff Jul 2019'!P16*'Tariff Jul 2019'!N16/100),($F$5*'Tariff Jul 2019'!N16/100))</f>
        <v>382.36363636363632</v>
      </c>
      <c r="E24" s="84">
        <f>IF($F$5&lt;'Tariff Jul 2019'!P16,0,IF(($F$5-'Tariff Jul 2019'!P16)&lt;='Tariff Jul 2019'!R16,(($F$5-'Tariff Jul 2019'!P16)*'Tariff Jul 2019'!Q16/100),(('Tariff Jul 2019'!R16-'Tariff Jul 2019'!P16)*'Tariff Jul 2019'!Q16/100)))</f>
        <v>3.7224000000000159</v>
      </c>
      <c r="F24" s="85">
        <f>IF($F$5&lt;'Tariff Jul 2019'!R16,0,IF(($F$5-'Tariff Jul 2019'!R16)&lt;='Tariff Jul 2019'!T16,(($F$5-'Tariff Jul 2019'!R16)*'Tariff Jul 2019'!S16/100),(('Tariff Jul 2019'!T16-'Tariff Jul 2019'!R16)*'Tariff Jul 2019'!S16/100)))</f>
        <v>3.7224000000000159</v>
      </c>
      <c r="G24" s="84">
        <v>0</v>
      </c>
      <c r="H24" s="84">
        <v>0</v>
      </c>
      <c r="I24" s="84">
        <f>IF(($F$5&lt;'Tariff Jul 2019'!T16),(0),($F$5-'Tariff Jul 2019'!T16)*'Tariff Jul 2019'!U16/100)</f>
        <v>3.7224000000000159</v>
      </c>
      <c r="J24" s="84">
        <f t="shared" ref="J24:J27" si="9">SUM(C24:I24)</f>
        <v>459.48929090909087</v>
      </c>
      <c r="K24" s="298">
        <f t="shared" ref="K24:K27" si="10">(J24-C24)*4</f>
        <v>1574.1233454545452</v>
      </c>
      <c r="L24" s="86">
        <f t="shared" ref="L24:L27" si="11">J24*4</f>
        <v>1837.9571636363635</v>
      </c>
      <c r="M24" s="86">
        <f t="shared" ref="M24:M27" si="12">L24*1.1</f>
        <v>2021.75288</v>
      </c>
      <c r="N24" s="1">
        <f>'Tariff Jul 2019'!AW16</f>
        <v>0</v>
      </c>
      <c r="O24" s="1">
        <f>'Tariff Jul 2019'!AX16</f>
        <v>0</v>
      </c>
      <c r="P24" s="1">
        <f>'Tariff Jul 2019'!AY16</f>
        <v>0</v>
      </c>
      <c r="Q24" s="1">
        <f>'Tariff Jul 2019'!AZ16</f>
        <v>0</v>
      </c>
      <c r="R24" s="87">
        <f>($F$6*'Tariff Jul 2019'!AT16/100)*4</f>
        <v>186.82928000000001</v>
      </c>
      <c r="S24" s="298">
        <f t="shared" si="8"/>
        <v>1837.9571636363635</v>
      </c>
      <c r="T24" s="298">
        <f>S24</f>
        <v>1837.9571636363635</v>
      </c>
      <c r="U24" s="298">
        <f t="shared" si="3"/>
        <v>1651.1278836363635</v>
      </c>
      <c r="V24" s="298">
        <f t="shared" si="4"/>
        <v>1651.1278836363635</v>
      </c>
      <c r="W24" s="300">
        <f t="shared" si="5"/>
        <v>1816.2406720000001</v>
      </c>
      <c r="X24" s="300">
        <f t="shared" si="5"/>
        <v>1816.2406720000001</v>
      </c>
      <c r="Y24" s="88">
        <f>'Tariff Jul 2019'!AT16</f>
        <v>22</v>
      </c>
      <c r="Z24" s="89">
        <f>'Tariff Jul 2019'!BI16</f>
        <v>0</v>
      </c>
      <c r="AA24" s="89" t="str">
        <f>'Tariff Jul 2019'!BJ16</f>
        <v>n</v>
      </c>
      <c r="AB24" s="90">
        <f>'Tariff Jul 2019'!G16</f>
        <v>42185</v>
      </c>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row>
    <row r="25" spans="1:141" ht="14" x14ac:dyDescent="0.15">
      <c r="A25" s="63" t="str">
        <f>'Tariff Jul 2019'!K17</f>
        <v>Powershop</v>
      </c>
      <c r="B25" s="1" t="str">
        <f>'Tariff Jul 2019'!L17</f>
        <v>Shopper with Mega Pack</v>
      </c>
      <c r="C25" s="84">
        <f>91*'Tariff Jul 2019'!M17/100</f>
        <v>98.543900000000008</v>
      </c>
      <c r="D25" s="84">
        <f>$F$5*'Tariff Jul 2019'!N17/100</f>
        <v>344.99914181818184</v>
      </c>
      <c r="E25" s="84">
        <v>0</v>
      </c>
      <c r="F25" s="85">
        <v>0</v>
      </c>
      <c r="G25" s="84">
        <v>0</v>
      </c>
      <c r="H25" s="84">
        <v>0</v>
      </c>
      <c r="I25" s="84">
        <v>0</v>
      </c>
      <c r="J25" s="84">
        <f t="shared" si="9"/>
        <v>443.54304181818185</v>
      </c>
      <c r="K25" s="298">
        <f t="shared" si="10"/>
        <v>1379.9965672727274</v>
      </c>
      <c r="L25" s="86">
        <f t="shared" si="11"/>
        <v>1774.1721672727274</v>
      </c>
      <c r="M25" s="86">
        <f t="shared" si="12"/>
        <v>1951.5893840000003</v>
      </c>
      <c r="N25" s="1">
        <f>'Tariff Jul 2019'!AW17</f>
        <v>0</v>
      </c>
      <c r="O25" s="1">
        <f>'Tariff Jul 2019'!AX17</f>
        <v>0</v>
      </c>
      <c r="P25" s="1">
        <f>'Tariff Jul 2019'!AY17</f>
        <v>15</v>
      </c>
      <c r="Q25" s="1">
        <f>'Tariff Jul 2019'!AZ17</f>
        <v>0</v>
      </c>
      <c r="R25" s="87">
        <f>($F$6*'Tariff Jul 2019'!AT17/100)*4</f>
        <v>86.620847999999981</v>
      </c>
      <c r="S25" s="298">
        <f>M25</f>
        <v>1951.5893840000003</v>
      </c>
      <c r="T25" s="298">
        <f>M25-(M25*P25/100)</f>
        <v>1658.8509764000003</v>
      </c>
      <c r="U25" s="298">
        <f t="shared" si="3"/>
        <v>1864.9685360000003</v>
      </c>
      <c r="V25" s="298">
        <f t="shared" si="4"/>
        <v>1572.2301284000002</v>
      </c>
      <c r="W25" s="300">
        <f>U25</f>
        <v>1864.9685360000003</v>
      </c>
      <c r="X25" s="300">
        <f>V25</f>
        <v>1572.2301284000002</v>
      </c>
      <c r="Y25" s="88">
        <f>'Tariff Jul 2019'!AT17</f>
        <v>10.199999999999999</v>
      </c>
      <c r="Z25" s="89">
        <f>'Tariff Jul 2019'!BI17</f>
        <v>0</v>
      </c>
      <c r="AA25" s="89" t="str">
        <f>'Tariff Jul 2019'!BJ17</f>
        <v>n</v>
      </c>
      <c r="AB25" s="90">
        <f>'Tariff Jul 2019'!G17</f>
        <v>42185</v>
      </c>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row>
    <row r="26" spans="1:141" ht="14" x14ac:dyDescent="0.15">
      <c r="A26" s="63" t="str">
        <f>'Tariff Jul 2019'!K18</f>
        <v>Powerclub</v>
      </c>
      <c r="B26" s="1" t="str">
        <f>'Tariff Jul 2019'!L18</f>
        <v>Powerbank Home Solar</v>
      </c>
      <c r="C26" s="84">
        <f>(91*'Tariff Jul 2019'!M18/100)+('Tariff Jul 2019'!BM18/4)</f>
        <v>94.266090909090906</v>
      </c>
      <c r="D26" s="84">
        <f>IF($F$5&gt;='Tariff Jul 2019'!P18,('Tariff Jul 2019'!P18*'Tariff Jul 2019'!N18/100),($F$5*'Tariff Jul 2019'!N18/100))</f>
        <v>278.72727272727275</v>
      </c>
      <c r="E26" s="84">
        <f>IF($F$5&lt;'Tariff Jul 2019'!P18,0,IF(($F$5-'Tariff Jul 2019'!P18)&lt;='Tariff Jul 2019'!R18,(($F$5-'Tariff Jul 2019'!P18)*'Tariff Jul 2019'!Q18/100),(('Tariff Jul 2019'!R18-'Tariff Jul 2019'!P18)*'Tariff Jul 2019'!Q18/100)))</f>
        <v>2.6555940000000113</v>
      </c>
      <c r="F26" s="85">
        <f>IF($F$5&lt;'Tariff Jul 2019'!R18,0,IF(($F$5-'Tariff Jul 2019'!R18)&lt;='Tariff Jul 2019'!T18,(($F$5-'Tariff Jul 2019'!R18)*'Tariff Jul 2019'!S18/100),(('Tariff Jul 2019'!T18-'Tariff Jul 2019'!R18)*'Tariff Jul 2019'!S18/100)))</f>
        <v>2.6555940000000113</v>
      </c>
      <c r="G26" s="84">
        <v>0</v>
      </c>
      <c r="H26" s="84">
        <v>0</v>
      </c>
      <c r="I26" s="84">
        <f>IF(($F$5&lt;'Tariff Jul 2019'!T18),(0),($F$5-'Tariff Jul 2019'!T18)*'Tariff Jul 2019'!U18/100)</f>
        <v>2.6555940000000113</v>
      </c>
      <c r="J26" s="84">
        <f t="shared" si="9"/>
        <v>380.96014563636368</v>
      </c>
      <c r="K26" s="298">
        <f t="shared" si="10"/>
        <v>1146.7762189090911</v>
      </c>
      <c r="L26" s="86">
        <f t="shared" si="11"/>
        <v>1523.8405825454547</v>
      </c>
      <c r="M26" s="86">
        <f t="shared" si="12"/>
        <v>1676.2246408000003</v>
      </c>
      <c r="N26" s="1">
        <f>'Tariff Jul 2019'!AW18</f>
        <v>0</v>
      </c>
      <c r="O26" s="1">
        <f>'Tariff Jul 2019'!AX18</f>
        <v>0</v>
      </c>
      <c r="P26" s="1">
        <f>'Tariff Jul 2019'!AY18</f>
        <v>0</v>
      </c>
      <c r="Q26" s="1">
        <f>'Tariff Jul 2019'!AZ18</f>
        <v>0</v>
      </c>
      <c r="R26" s="87">
        <f>($F$6*'Tariff Jul 2019'!AT18/100)*4</f>
        <v>97.660759999999996</v>
      </c>
      <c r="S26" s="298">
        <f t="shared" si="8"/>
        <v>1523.8405825454547</v>
      </c>
      <c r="T26" s="298">
        <f>S26</f>
        <v>1523.8405825454547</v>
      </c>
      <c r="U26" s="298">
        <f t="shared" si="3"/>
        <v>1426.1798225454547</v>
      </c>
      <c r="V26" s="298">
        <f t="shared" si="4"/>
        <v>1426.1798225454547</v>
      </c>
      <c r="W26" s="300">
        <f t="shared" si="5"/>
        <v>1568.7978048000002</v>
      </c>
      <c r="X26" s="300">
        <f t="shared" si="5"/>
        <v>1568.7978048000002</v>
      </c>
      <c r="Y26" s="88">
        <f>'Tariff Jul 2019'!AT18</f>
        <v>11.5</v>
      </c>
      <c r="Z26" s="89">
        <f>'Tariff Jul 2019'!BI18</f>
        <v>0</v>
      </c>
      <c r="AA26" s="89" t="str">
        <f>'Tariff Jul 2019'!BJ18</f>
        <v>n</v>
      </c>
      <c r="AB26" s="90">
        <f>'Tariff Jul 2019'!G18</f>
        <v>42184</v>
      </c>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row>
    <row r="27" spans="1:141" ht="15" thickBot="1" x14ac:dyDescent="0.2">
      <c r="A27" s="91" t="str">
        <f>'Tariff Jul 2019'!K19</f>
        <v>Amber Electric</v>
      </c>
      <c r="B27" s="92" t="str">
        <f>'Tariff Jul 2019'!L19</f>
        <v>Market offer</v>
      </c>
      <c r="C27" s="93">
        <f>91*'Tariff Jul 2019'!M19/100</f>
        <v>97.37</v>
      </c>
      <c r="D27" s="93">
        <f>$F$5*'Tariff Jul 2019'!N19/100</f>
        <v>444.09464000000003</v>
      </c>
      <c r="E27" s="93">
        <v>0</v>
      </c>
      <c r="F27" s="94">
        <v>0</v>
      </c>
      <c r="G27" s="93">
        <v>0</v>
      </c>
      <c r="H27" s="93">
        <v>0</v>
      </c>
      <c r="I27" s="93">
        <v>0</v>
      </c>
      <c r="J27" s="93">
        <f t="shared" si="9"/>
        <v>541.46464000000003</v>
      </c>
      <c r="K27" s="299">
        <f t="shared" si="10"/>
        <v>1776.3785600000001</v>
      </c>
      <c r="L27" s="95">
        <f t="shared" si="11"/>
        <v>2165.8585600000001</v>
      </c>
      <c r="M27" s="95">
        <f t="shared" si="12"/>
        <v>2382.4444160000003</v>
      </c>
      <c r="N27" s="92">
        <f>'Tariff Jul 2019'!AW19</f>
        <v>0</v>
      </c>
      <c r="O27" s="92">
        <f>'Tariff Jul 2019'!AX19</f>
        <v>0</v>
      </c>
      <c r="P27" s="92">
        <f>'Tariff Jul 2019'!AY19</f>
        <v>0</v>
      </c>
      <c r="Q27" s="92">
        <f>'Tariff Jul 2019'!AZ19</f>
        <v>0</v>
      </c>
      <c r="R27" s="96">
        <f>($F$6*'Tariff Jul 2019'!AT19/100)*4</f>
        <v>67.937919999999991</v>
      </c>
      <c r="S27" s="299">
        <f t="shared" si="8"/>
        <v>2165.8585600000001</v>
      </c>
      <c r="T27" s="299">
        <f>S27</f>
        <v>2165.8585600000001</v>
      </c>
      <c r="U27" s="299">
        <f t="shared" si="3"/>
        <v>2097.9206400000003</v>
      </c>
      <c r="V27" s="299">
        <f t="shared" si="4"/>
        <v>2097.9206400000003</v>
      </c>
      <c r="W27" s="301">
        <f t="shared" ref="W27:X27" si="13">U27*1.1</f>
        <v>2307.7127040000005</v>
      </c>
      <c r="X27" s="301">
        <f t="shared" si="13"/>
        <v>2307.7127040000005</v>
      </c>
      <c r="Y27" s="97">
        <f>'Tariff Jul 2019'!AT19</f>
        <v>8</v>
      </c>
      <c r="Z27" s="98">
        <f>'Tariff Jul 2019'!BI19</f>
        <v>0</v>
      </c>
      <c r="AA27" s="98" t="str">
        <f>'Tariff Jul 2019'!BJ19</f>
        <v>n</v>
      </c>
      <c r="AB27" s="99">
        <f>'Tariff Jul 2019'!G19</f>
        <v>41934</v>
      </c>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row>
    <row r="28" spans="1:141" ht="14" x14ac:dyDescent="0.15">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row>
    <row r="29" spans="1:141" ht="15" thickBot="1" x14ac:dyDescent="0.2">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row>
    <row r="30" spans="1:141" ht="14" x14ac:dyDescent="0.15">
      <c r="A30" s="82" t="s">
        <v>154</v>
      </c>
      <c r="B30" s="83"/>
      <c r="C30" s="100"/>
      <c r="D30" s="100"/>
      <c r="E30" s="100"/>
      <c r="F30" s="100"/>
      <c r="G30" s="101"/>
      <c r="H30" s="101"/>
      <c r="I30" s="83"/>
      <c r="J30" s="83"/>
      <c r="K30" s="101"/>
      <c r="L30" s="83"/>
      <c r="M30" s="83"/>
      <c r="N30" s="83"/>
      <c r="O30" s="83"/>
      <c r="P30" s="83"/>
      <c r="Q30" s="83"/>
      <c r="R30" s="83"/>
      <c r="S30" s="83"/>
      <c r="T30" s="83"/>
      <c r="U30" s="83"/>
      <c r="V30" s="83"/>
      <c r="W30" s="83"/>
      <c r="X30" s="83"/>
      <c r="Y30" s="83"/>
      <c r="Z30" s="83"/>
      <c r="AA30" s="83"/>
      <c r="AB30" s="18"/>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row>
    <row r="31" spans="1:141" ht="90" x14ac:dyDescent="0.15">
      <c r="A31" s="287" t="s">
        <v>231</v>
      </c>
      <c r="B31" s="288" t="s">
        <v>243</v>
      </c>
      <c r="C31" s="289" t="s">
        <v>244</v>
      </c>
      <c r="D31" s="289" t="s">
        <v>227</v>
      </c>
      <c r="E31" s="290" t="s">
        <v>357</v>
      </c>
      <c r="F31" s="290" t="s">
        <v>358</v>
      </c>
      <c r="G31" s="290" t="s">
        <v>329</v>
      </c>
      <c r="H31" s="290" t="s">
        <v>222</v>
      </c>
      <c r="I31" s="290" t="s">
        <v>223</v>
      </c>
      <c r="J31" s="290" t="s">
        <v>799</v>
      </c>
      <c r="K31" s="296" t="s">
        <v>246</v>
      </c>
      <c r="L31" s="296" t="s">
        <v>247</v>
      </c>
      <c r="M31" s="291" t="s">
        <v>248</v>
      </c>
      <c r="N31" s="292" t="s">
        <v>249</v>
      </c>
      <c r="O31" s="292" t="s">
        <v>250</v>
      </c>
      <c r="P31" s="292" t="s">
        <v>251</v>
      </c>
      <c r="Q31" s="292" t="s">
        <v>365</v>
      </c>
      <c r="R31" s="293" t="s">
        <v>373</v>
      </c>
      <c r="S31" s="297" t="s">
        <v>255</v>
      </c>
      <c r="T31" s="297" t="s">
        <v>224</v>
      </c>
      <c r="U31" s="297" t="s">
        <v>374</v>
      </c>
      <c r="V31" s="297" t="s">
        <v>375</v>
      </c>
      <c r="W31" s="293" t="s">
        <v>376</v>
      </c>
      <c r="X31" s="293" t="s">
        <v>436</v>
      </c>
      <c r="Y31" s="292" t="s">
        <v>155</v>
      </c>
      <c r="Z31" s="295" t="s">
        <v>225</v>
      </c>
      <c r="AA31" s="292" t="s">
        <v>226</v>
      </c>
      <c r="AB31" s="294" t="s">
        <v>221</v>
      </c>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row>
    <row r="32" spans="1:141" ht="14" x14ac:dyDescent="0.15">
      <c r="A32" s="63" t="str">
        <f>'Tariff Jul 2019'!K20</f>
        <v>AGL</v>
      </c>
      <c r="B32" s="1" t="str">
        <f>'Tariff Jul 2019'!L20</f>
        <v>Smart Saver</v>
      </c>
      <c r="C32" s="102">
        <f>91*'Tariff Jul 2019'!M20/100</f>
        <v>73.709999999999994</v>
      </c>
      <c r="D32" s="102">
        <f>$H$5*'Tariff Jul 2019'!N20/100</f>
        <v>296.40564567272736</v>
      </c>
      <c r="E32" s="102">
        <v>0</v>
      </c>
      <c r="F32" s="102">
        <v>0</v>
      </c>
      <c r="G32" s="102">
        <v>0</v>
      </c>
      <c r="H32" s="102">
        <f>($I$5)*'Tariff Jul 2019'!AE20/100</f>
        <v>40.592452218181826</v>
      </c>
      <c r="I32" s="102">
        <v>0</v>
      </c>
      <c r="J32" s="102">
        <f>SUM(C32:I32)</f>
        <v>410.70809789090919</v>
      </c>
      <c r="K32" s="298">
        <f>(J32-C32)*4</f>
        <v>1347.9923915636368</v>
      </c>
      <c r="L32" s="86">
        <f>J32*4</f>
        <v>1642.8323915636367</v>
      </c>
      <c r="M32" s="86">
        <f>L32*1.1</f>
        <v>1807.1156307200006</v>
      </c>
      <c r="N32" s="1">
        <f>'Tariff Jul 2019'!AW20</f>
        <v>8</v>
      </c>
      <c r="O32" s="1">
        <f>'Tariff Jul 2019'!AX20</f>
        <v>0</v>
      </c>
      <c r="P32" s="1">
        <f>'Tariff Jul 2019'!AY20</f>
        <v>0</v>
      </c>
      <c r="Q32" s="1">
        <f>'Tariff Jul 2019'!AZ20</f>
        <v>0</v>
      </c>
      <c r="R32" s="87">
        <f>($F$6*'Tariff Jul 2019'!AT20/100)*4</f>
        <v>138.42351199999999</v>
      </c>
      <c r="S32" s="298">
        <f>L32-(L32*N32/100)</f>
        <v>1511.4058002385459</v>
      </c>
      <c r="T32" s="298">
        <f>S32</f>
        <v>1511.4058002385459</v>
      </c>
      <c r="U32" s="298">
        <f>S32-R32</f>
        <v>1372.9822882385458</v>
      </c>
      <c r="V32" s="298">
        <f>T32-R32</f>
        <v>1372.9822882385458</v>
      </c>
      <c r="W32" s="300">
        <f>U32*1.1</f>
        <v>1510.2805170624006</v>
      </c>
      <c r="X32" s="300">
        <f>V32*1.1</f>
        <v>1510.2805170624006</v>
      </c>
      <c r="Y32" s="88">
        <f>'Tariff Jul 2019'!AT20</f>
        <v>16.3</v>
      </c>
      <c r="Z32" s="89">
        <f>'Tariff Jul 2019'!BI20</f>
        <v>0</v>
      </c>
      <c r="AA32" s="89" t="str">
        <f>'Tariff Jul 2019'!BJ20</f>
        <v>n</v>
      </c>
      <c r="AB32" s="90">
        <f>'Tariff Jul 2019'!G20</f>
        <v>42185</v>
      </c>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row>
    <row r="33" spans="1:141" ht="14" x14ac:dyDescent="0.15">
      <c r="A33" s="63" t="str">
        <f>'Tariff Jul 2019'!K21</f>
        <v>Alinta Energy</v>
      </c>
      <c r="B33" s="1" t="str">
        <f>'Tariff Jul 2019'!L21</f>
        <v>No fuss</v>
      </c>
      <c r="C33" s="102">
        <f>91*'Tariff Jul 2019'!M21/100</f>
        <v>75.53</v>
      </c>
      <c r="D33" s="102">
        <f>IF($H$5&gt;='Tariff Jul 2019'!P21,('Tariff Jul 2019'!P21*'Tariff Jul 2019'!N21/100),(($H$5)*'Tariff Jul 2019'!N21/100))</f>
        <v>90.463636363636354</v>
      </c>
      <c r="E33" s="102">
        <f>IF($H$5&lt;'Tariff Jul 2019'!P21,0,IF(($H$5-'Tariff Jul 2019'!P21)&lt;='Tariff Jul 2019'!R21,(($H$5-'Tariff Jul 2019'!P21)*'Tariff Jul 2019'!Q21/100),(('Tariff Jul 2019'!R21-'Tariff Jul 2019'!P21)*'Tariff Jul 2019'!Q21/100)))</f>
        <v>0</v>
      </c>
      <c r="F33" s="102">
        <f>IF($H$5&lt;'Tariff Jul 2019'!R21,0,IF(($H$5-'Tariff Jul 2019'!R21)&lt;='Tariff Jul 2019'!T21,(($H$5-'Tariff Jul 2019'!R21)*'Tariff Jul 2019'!S21/100),(('Tariff Jul 2019'!T21-'Tariff Jul 2019'!R21)*'Tariff Jul 2019'!S21/100)))</f>
        <v>0</v>
      </c>
      <c r="G33" s="102">
        <f>IF(($H$5&lt;'Tariff Jul 2019'!T21),(0),($H$5-'Tariff Jul 2019'!T21)*'Tariff Jul 2019'!U21/100)</f>
        <v>170.45532145454553</v>
      </c>
      <c r="H33" s="102">
        <f>($I$5)*'Tariff Jul 2019'!AE21/100</f>
        <v>33.545661236363642</v>
      </c>
      <c r="I33" s="102">
        <f>IF((I5&lt;'Tariff Jul 2019'!AF21),(0),(I5-'Tariff Jul 2019'!AF21)*'Tariff Jul 2019'!AG21/100)</f>
        <v>0</v>
      </c>
      <c r="J33" s="102">
        <f t="shared" ref="J33:J44" si="14">SUM(C33:I33)</f>
        <v>369.99461905454552</v>
      </c>
      <c r="K33" s="298">
        <f>(J33-C33)*4</f>
        <v>1177.8584762181822</v>
      </c>
      <c r="L33" s="86">
        <f t="shared" ref="L33:L45" si="15">J33*4</f>
        <v>1479.9784762181821</v>
      </c>
      <c r="M33" s="86">
        <f t="shared" ref="M33:M45" si="16">L33*1.1</f>
        <v>1627.9763238400005</v>
      </c>
      <c r="N33" s="1">
        <f>'Tariff Jul 2019'!AW21</f>
        <v>0</v>
      </c>
      <c r="O33" s="1">
        <f>'Tariff Jul 2019'!AX21</f>
        <v>0</v>
      </c>
      <c r="P33" s="1">
        <f>'Tariff Jul 2019'!AY21</f>
        <v>0</v>
      </c>
      <c r="Q33" s="1">
        <f>'Tariff Jul 2019'!AZ21</f>
        <v>0</v>
      </c>
      <c r="R33" s="87">
        <f>($F$6*'Tariff Jul 2019'!AT21/100)*4</f>
        <v>80.676279999999991</v>
      </c>
      <c r="S33" s="298">
        <f>L33</f>
        <v>1479.9784762181821</v>
      </c>
      <c r="T33" s="298">
        <f>S33</f>
        <v>1479.9784762181821</v>
      </c>
      <c r="U33" s="298">
        <f t="shared" ref="U33:U47" si="17">S33-R33</f>
        <v>1399.3021962181822</v>
      </c>
      <c r="V33" s="298">
        <f t="shared" ref="V33:V47" si="18">T33-R33</f>
        <v>1399.3021962181822</v>
      </c>
      <c r="W33" s="300">
        <f t="shared" ref="W33:X40" si="19">U33*1.1</f>
        <v>1539.2324158400006</v>
      </c>
      <c r="X33" s="300">
        <f t="shared" si="19"/>
        <v>1539.2324158400006</v>
      </c>
      <c r="Y33" s="88">
        <f>'Tariff Jul 2019'!AT21</f>
        <v>9.5</v>
      </c>
      <c r="Z33" s="89">
        <f>'Tariff Jul 2019'!BI21</f>
        <v>0</v>
      </c>
      <c r="AA33" s="89" t="str">
        <f>'Tariff Jul 2019'!BJ21</f>
        <v>n</v>
      </c>
      <c r="AB33" s="90">
        <f>'Tariff Jul 2019'!G21</f>
        <v>42185</v>
      </c>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row>
    <row r="34" spans="1:141" ht="14" x14ac:dyDescent="0.15">
      <c r="A34" s="63" t="str">
        <f>'Tariff Jul 2019'!K22</f>
        <v>Click Energy</v>
      </c>
      <c r="B34" s="1" t="str">
        <f>'Tariff Jul 2019'!L22</f>
        <v>Banksia Solar</v>
      </c>
      <c r="C34" s="102">
        <f>91*'Tariff Jul 2019'!M22/100</f>
        <v>82.445999999999998</v>
      </c>
      <c r="D34" s="102">
        <f>$H$5*'Tariff Jul 2019'!N22/100</f>
        <v>289.28545061818181</v>
      </c>
      <c r="E34" s="102">
        <v>0</v>
      </c>
      <c r="F34" s="102">
        <v>0</v>
      </c>
      <c r="G34" s="102">
        <v>0</v>
      </c>
      <c r="H34" s="102">
        <f>($I$5)*'Tariff Jul 2019'!AE22/100</f>
        <v>40.849366472727276</v>
      </c>
      <c r="I34" s="102">
        <v>0</v>
      </c>
      <c r="J34" s="102">
        <f t="shared" si="14"/>
        <v>412.58081709090914</v>
      </c>
      <c r="K34" s="298">
        <f t="shared" ref="K34:K45" si="20">(J34-C34)*4</f>
        <v>1320.5392683636364</v>
      </c>
      <c r="L34" s="86">
        <f t="shared" si="15"/>
        <v>1650.3232683636365</v>
      </c>
      <c r="M34" s="86">
        <f t="shared" si="16"/>
        <v>1815.3555952000004</v>
      </c>
      <c r="N34" s="1">
        <f>'Tariff Jul 2019'!AW22</f>
        <v>0</v>
      </c>
      <c r="O34" s="1">
        <f>'Tariff Jul 2019'!AX22</f>
        <v>0</v>
      </c>
      <c r="P34" s="1">
        <f>'Tariff Jul 2019'!AY22</f>
        <v>0</v>
      </c>
      <c r="Q34" s="1">
        <f>'Tariff Jul 2019'!AZ22</f>
        <v>0</v>
      </c>
      <c r="R34" s="87">
        <f>($F$6*'Tariff Jul 2019'!AT22/100)*4</f>
        <v>144.36807999999999</v>
      </c>
      <c r="S34" s="298">
        <f>L34</f>
        <v>1650.3232683636365</v>
      </c>
      <c r="T34" s="298">
        <f>S34</f>
        <v>1650.3232683636365</v>
      </c>
      <c r="U34" s="298">
        <f t="shared" si="17"/>
        <v>1505.9551883636366</v>
      </c>
      <c r="V34" s="298">
        <f t="shared" si="18"/>
        <v>1505.9551883636366</v>
      </c>
      <c r="W34" s="300">
        <f t="shared" si="19"/>
        <v>1656.5507072000003</v>
      </c>
      <c r="X34" s="300">
        <f t="shared" si="19"/>
        <v>1656.5507072000003</v>
      </c>
      <c r="Y34" s="88">
        <f>'Tariff Jul 2019'!AT22</f>
        <v>17</v>
      </c>
      <c r="Z34" s="89">
        <f>'Tariff Jul 2019'!BI22</f>
        <v>0</v>
      </c>
      <c r="AA34" s="89" t="str">
        <f>'Tariff Jul 2019'!BJ22</f>
        <v>n</v>
      </c>
      <c r="AB34" s="90">
        <f>'Tariff Jul 2019'!G22</f>
        <v>42185</v>
      </c>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row>
    <row r="35" spans="1:141" ht="14" x14ac:dyDescent="0.15">
      <c r="A35" s="63" t="str">
        <f>'Tariff Jul 2019'!K23</f>
        <v>Commander</v>
      </c>
      <c r="B35" s="1" t="str">
        <f>'Tariff Jul 2019'!L23</f>
        <v>Market offer</v>
      </c>
      <c r="C35" s="102">
        <f>91*'Tariff Jul 2019'!M23/100</f>
        <v>80.808000000000007</v>
      </c>
      <c r="D35" s="102">
        <f>IF($H$5&gt;='Tariff Jul 2019'!P23,('Tariff Jul 2019'!P23*'Tariff Jul 2019'!N23/100),(($H$5)*'Tariff Jul 2019'!N23/100))</f>
        <v>261.68551927272728</v>
      </c>
      <c r="E35" s="102">
        <f>IF($H$5&lt;'Tariff Jul 2019'!P23,0,IF(($H$5-'Tariff Jul 2019'!P23)&lt;='Tariff Jul 2019'!R23,(($H$5-'Tariff Jul 2019'!P23)*'Tariff Jul 2019'!Q23/100),(('Tariff Jul 2019'!R23-'Tariff Jul 2019'!P23)*'Tariff Jul 2019'!Q23/100)))</f>
        <v>0</v>
      </c>
      <c r="F35" s="102">
        <f>IF($H$5&lt;'Tariff Jul 2019'!R23,0,IF(($H$5-'Tariff Jul 2019'!R23)&lt;='Tariff Jul 2019'!T23,(($H$5-'Tariff Jul 2019'!R23)*'Tariff Jul 2019'!S23/100),(('Tariff Jul 2019'!T23-'Tariff Jul 2019'!R23)*'Tariff Jul 2019'!S23/100)))</f>
        <v>0</v>
      </c>
      <c r="G35" s="102">
        <f>IF(($H$5&lt;'Tariff Jul 2019'!T23),(0),($H$5-'Tariff Jul 2019'!T23)*'Tariff Jul 2019'!U23/100)</f>
        <v>0</v>
      </c>
      <c r="H35" s="102">
        <f>($I$5)*'Tariff Jul 2019'!AE23/100</f>
        <v>36.481824145454546</v>
      </c>
      <c r="I35" s="102">
        <f>IF((I7&lt;'Tariff Jul 2019'!AF23),(0),(I7-'Tariff Jul 2019'!AF23)*'Tariff Jul 2019'!AG23/100)</f>
        <v>0</v>
      </c>
      <c r="J35" s="102">
        <f t="shared" si="14"/>
        <v>378.97534341818181</v>
      </c>
      <c r="K35" s="298">
        <f t="shared" si="20"/>
        <v>1192.6693736727273</v>
      </c>
      <c r="L35" s="86">
        <f t="shared" si="15"/>
        <v>1515.9013736727272</v>
      </c>
      <c r="M35" s="86">
        <f t="shared" si="16"/>
        <v>1667.49151104</v>
      </c>
      <c r="N35" s="1">
        <f>'Tariff Jul 2019'!AW23</f>
        <v>0</v>
      </c>
      <c r="O35" s="1">
        <f>'Tariff Jul 2019'!AX23</f>
        <v>0</v>
      </c>
      <c r="P35" s="1">
        <f>'Tariff Jul 2019'!AY23</f>
        <v>0</v>
      </c>
      <c r="Q35" s="1">
        <f>'Tariff Jul 2019'!AZ23</f>
        <v>0</v>
      </c>
      <c r="R35" s="87">
        <f>($F$6*'Tariff Jul 2019'!AT23/100)*4</f>
        <v>98.509983999999989</v>
      </c>
      <c r="S35" s="298">
        <f>L35</f>
        <v>1515.9013736727272</v>
      </c>
      <c r="T35" s="298">
        <f>S35</f>
        <v>1515.9013736727272</v>
      </c>
      <c r="U35" s="298">
        <f t="shared" si="17"/>
        <v>1417.3913896727272</v>
      </c>
      <c r="V35" s="298">
        <f t="shared" si="18"/>
        <v>1417.3913896727272</v>
      </c>
      <c r="W35" s="300">
        <f t="shared" si="19"/>
        <v>1559.13052864</v>
      </c>
      <c r="X35" s="300">
        <f t="shared" si="19"/>
        <v>1559.13052864</v>
      </c>
      <c r="Y35" s="88">
        <f>'Tariff Jul 2019'!AT23</f>
        <v>11.6</v>
      </c>
      <c r="Z35" s="89">
        <f>'Tariff Jul 2019'!BI23</f>
        <v>0</v>
      </c>
      <c r="AA35" s="89" t="str">
        <f>'Tariff Jul 2019'!BJ23</f>
        <v>n</v>
      </c>
      <c r="AB35" s="90">
        <f>'Tariff Jul 2019'!G23</f>
        <v>42185</v>
      </c>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row>
    <row r="36" spans="1:141" ht="14" x14ac:dyDescent="0.15">
      <c r="A36" s="63" t="str">
        <f>'Tariff Jul 2019'!K24</f>
        <v>Diamond Energy</v>
      </c>
      <c r="B36" s="1" t="str">
        <f>'Tariff Jul 2019'!L24</f>
        <v>Pay on time discount</v>
      </c>
      <c r="C36" s="102">
        <f>91*'Tariff Jul 2019'!M24/100</f>
        <v>79.124499999999998</v>
      </c>
      <c r="D36" s="102">
        <f>IF($H$5&gt;='Tariff Jul 2019'!P24,('Tariff Jul 2019'!P24*'Tariff Jul 2019'!N24/100),(($H$5)*'Tariff Jul 2019'!N24/100))</f>
        <v>99.78</v>
      </c>
      <c r="E36" s="102">
        <f>IF($H$5&lt;'Tariff Jul 2019'!P24,0,IF(($H$5-'Tariff Jul 2019'!P24)&lt;='Tariff Jul 2019'!R24,(($H$5-'Tariff Jul 2019'!P24)*'Tariff Jul 2019'!Q24/100),(('Tariff Jul 2019'!R24-'Tariff Jul 2019'!P24)*'Tariff Jul 2019'!Q24/100)))</f>
        <v>182.12193872000003</v>
      </c>
      <c r="F36" s="102">
        <f>IF($H$5&lt;'Tariff Jul 2019'!R24,0,IF(($H$5-'Tariff Jul 2019'!R24)&lt;='Tariff Jul 2019'!T24,(($H$5-'Tariff Jul 2019'!R24)*'Tariff Jul 2019'!S24/100),(('Tariff Jul 2019'!T24-'Tariff Jul 2019'!R24)*'Tariff Jul 2019'!S24/100)))</f>
        <v>0</v>
      </c>
      <c r="G36" s="102">
        <f>IF(($H$5&lt;'Tariff Jul 2019'!T24),(0),($H$5-'Tariff Jul 2019'!T24)*'Tariff Jul 2019'!U24/100)</f>
        <v>0</v>
      </c>
      <c r="H36" s="102">
        <f>($I$5)*'Tariff Jul 2019'!AE24/100</f>
        <v>40.271309400000007</v>
      </c>
      <c r="I36" s="102">
        <v>0</v>
      </c>
      <c r="J36" s="102">
        <f t="shared" si="14"/>
        <v>401.29774811999999</v>
      </c>
      <c r="K36" s="298">
        <f t="shared" si="20"/>
        <v>1288.6929924799999</v>
      </c>
      <c r="L36" s="86">
        <f t="shared" si="15"/>
        <v>1605.19099248</v>
      </c>
      <c r="M36" s="86">
        <f t="shared" si="16"/>
        <v>1765.7100917280002</v>
      </c>
      <c r="N36" s="1">
        <f>'Tariff Jul 2019'!AW24</f>
        <v>0</v>
      </c>
      <c r="O36" s="1">
        <f>'Tariff Jul 2019'!AX24</f>
        <v>0</v>
      </c>
      <c r="P36" s="1">
        <f>'Tariff Jul 2019'!AY24</f>
        <v>7</v>
      </c>
      <c r="Q36" s="1">
        <f>'Tariff Jul 2019'!AZ24</f>
        <v>0</v>
      </c>
      <c r="R36" s="87">
        <f>($F$6*'Tariff Jul 2019'!AT24/100)*4</f>
        <v>101.90687999999999</v>
      </c>
      <c r="S36" s="298">
        <f>L36</f>
        <v>1605.19099248</v>
      </c>
      <c r="T36" s="298">
        <f>S36-(S36*P36/100)</f>
        <v>1492.8276230064</v>
      </c>
      <c r="U36" s="298">
        <f t="shared" si="17"/>
        <v>1503.28411248</v>
      </c>
      <c r="V36" s="298">
        <f t="shared" si="18"/>
        <v>1390.9207430064</v>
      </c>
      <c r="W36" s="300">
        <f t="shared" si="19"/>
        <v>1653.612523728</v>
      </c>
      <c r="X36" s="300">
        <f t="shared" si="19"/>
        <v>1530.0128173070402</v>
      </c>
      <c r="Y36" s="88">
        <f>'Tariff Jul 2019'!AT24</f>
        <v>12</v>
      </c>
      <c r="Z36" s="89">
        <f>'Tariff Jul 2019'!BI24</f>
        <v>0</v>
      </c>
      <c r="AA36" s="89" t="str">
        <f>'Tariff Jul 2019'!BJ24</f>
        <v>n</v>
      </c>
      <c r="AB36" s="90">
        <f>'Tariff Jul 2019'!G24</f>
        <v>41820</v>
      </c>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row>
    <row r="37" spans="1:141" ht="14" x14ac:dyDescent="0.15">
      <c r="A37" s="63" t="str">
        <f>'Tariff Jul 2019'!K25</f>
        <v>Dodo Power &amp; Gas</v>
      </c>
      <c r="B37" s="1" t="str">
        <f>'Tariff Jul 2019'!L25</f>
        <v>Market offer</v>
      </c>
      <c r="C37" s="102">
        <f>91*'Tariff Jul 2019'!M25/100</f>
        <v>80.808000000000007</v>
      </c>
      <c r="D37" s="102">
        <f>IF($H$5&gt;='Tariff Jul 2019'!P25,('Tariff Jul 2019'!P25*'Tariff Jul 2019'!N25/100),(($H$5)*'Tariff Jul 2019'!N25/100))</f>
        <v>261.68551927272728</v>
      </c>
      <c r="E37" s="102">
        <f>IF($H$5&lt;'Tariff Jul 2019'!P25,0,IF(($H$5-'Tariff Jul 2019'!P25)&lt;='Tariff Jul 2019'!R25,(($H$5-'Tariff Jul 2019'!P25)*'Tariff Jul 2019'!Q25/100),(('Tariff Jul 2019'!R25-'Tariff Jul 2019'!P25)*'Tariff Jul 2019'!Q25/100)))</f>
        <v>0</v>
      </c>
      <c r="F37" s="102">
        <f>IF($H$5&lt;'Tariff Jul 2019'!R25,0,IF(($H$5-'Tariff Jul 2019'!R25)&lt;='Tariff Jul 2019'!T25,(($H$5-'Tariff Jul 2019'!R25)*'Tariff Jul 2019'!S25/100),(('Tariff Jul 2019'!T25-'Tariff Jul 2019'!R25)*'Tariff Jul 2019'!S25/100)))</f>
        <v>0</v>
      </c>
      <c r="G37" s="102">
        <f>IF(($H$5&lt;'Tariff Jul 2019'!T25),(0),($H$5-'Tariff Jul 2019'!T25)*'Tariff Jul 2019'!U25/100)</f>
        <v>0</v>
      </c>
      <c r="H37" s="102">
        <f>($I$5)*'Tariff Jul 2019'!AE25/100</f>
        <v>36.481824145454546</v>
      </c>
      <c r="I37" s="102">
        <v>0</v>
      </c>
      <c r="J37" s="102">
        <f t="shared" si="14"/>
        <v>378.97534341818181</v>
      </c>
      <c r="K37" s="298">
        <f t="shared" si="20"/>
        <v>1192.6693736727273</v>
      </c>
      <c r="L37" s="86">
        <f t="shared" si="15"/>
        <v>1515.9013736727272</v>
      </c>
      <c r="M37" s="86">
        <f t="shared" si="16"/>
        <v>1667.49151104</v>
      </c>
      <c r="N37" s="1">
        <f>'Tariff Jul 2019'!AW25</f>
        <v>0</v>
      </c>
      <c r="O37" s="1">
        <f>'Tariff Jul 2019'!AX25</f>
        <v>0</v>
      </c>
      <c r="P37" s="1">
        <f>'Tariff Jul 2019'!AY25</f>
        <v>0</v>
      </c>
      <c r="Q37" s="1">
        <f>'Tariff Jul 2019'!AZ25</f>
        <v>0</v>
      </c>
      <c r="R37" s="87">
        <f>($F$6*'Tariff Jul 2019'!AT25/100)*4</f>
        <v>98.509983999999989</v>
      </c>
      <c r="S37" s="298">
        <f>L37</f>
        <v>1515.9013736727272</v>
      </c>
      <c r="T37" s="298">
        <f t="shared" ref="T37:T42" si="21">S37</f>
        <v>1515.9013736727272</v>
      </c>
      <c r="U37" s="298">
        <f t="shared" si="17"/>
        <v>1417.3913896727272</v>
      </c>
      <c r="V37" s="298">
        <f t="shared" si="18"/>
        <v>1417.3913896727272</v>
      </c>
      <c r="W37" s="300">
        <f t="shared" si="19"/>
        <v>1559.13052864</v>
      </c>
      <c r="X37" s="300">
        <f t="shared" si="19"/>
        <v>1559.13052864</v>
      </c>
      <c r="Y37" s="88">
        <f>'Tariff Jul 2019'!AT25</f>
        <v>11.6</v>
      </c>
      <c r="Z37" s="89">
        <f>'Tariff Jul 2019'!BI25</f>
        <v>0</v>
      </c>
      <c r="AA37" s="89" t="str">
        <f>'Tariff Jul 2019'!BJ25</f>
        <v>n</v>
      </c>
      <c r="AB37" s="90">
        <f>'Tariff Jul 2019'!G25</f>
        <v>42185</v>
      </c>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row>
    <row r="38" spans="1:141" ht="14" x14ac:dyDescent="0.15">
      <c r="A38" s="63" t="str">
        <f>'Tariff Jul 2019'!K26</f>
        <v>EnergyAustralia</v>
      </c>
      <c r="B38" s="1" t="str">
        <f>'Tariff Jul 2019'!L26</f>
        <v>Total Plan Home</v>
      </c>
      <c r="C38" s="102">
        <f>91*'Tariff Jul 2019'!M26/100</f>
        <v>70.97999999999999</v>
      </c>
      <c r="D38" s="102">
        <f>$H$5*'Tariff Jul 2019'!N26/100</f>
        <v>298.75457600000004</v>
      </c>
      <c r="E38" s="102">
        <v>0</v>
      </c>
      <c r="F38" s="102">
        <v>0</v>
      </c>
      <c r="G38" s="102">
        <v>0</v>
      </c>
      <c r="H38" s="102">
        <f>($I$5)*'Tariff Jul 2019'!AE26/100</f>
        <v>40.537399163636358</v>
      </c>
      <c r="I38" s="102">
        <v>0</v>
      </c>
      <c r="J38" s="102">
        <f t="shared" si="14"/>
        <v>410.2719751636364</v>
      </c>
      <c r="K38" s="298">
        <f t="shared" si="20"/>
        <v>1357.1679006545455</v>
      </c>
      <c r="L38" s="86">
        <f t="shared" si="15"/>
        <v>1641.0879006545456</v>
      </c>
      <c r="M38" s="86">
        <f t="shared" si="16"/>
        <v>1805.1966907200003</v>
      </c>
      <c r="N38" s="1">
        <f>'Tariff Jul 2019'!AW26</f>
        <v>6</v>
      </c>
      <c r="O38" s="1">
        <f>'Tariff Jul 2019'!AX26</f>
        <v>0</v>
      </c>
      <c r="P38" s="1">
        <f>'Tariff Jul 2019'!AY26</f>
        <v>0</v>
      </c>
      <c r="Q38" s="1">
        <f>'Tariff Jul 2019'!AZ26</f>
        <v>0</v>
      </c>
      <c r="R38" s="87">
        <f>($F$6*'Tariff Jul 2019'!AT26/100)*4</f>
        <v>127.38359999999999</v>
      </c>
      <c r="S38" s="298">
        <f>L38-(L38*N38/100)</f>
        <v>1542.6226266152728</v>
      </c>
      <c r="T38" s="298">
        <f t="shared" si="21"/>
        <v>1542.6226266152728</v>
      </c>
      <c r="U38" s="298">
        <f t="shared" si="17"/>
        <v>1415.2390266152729</v>
      </c>
      <c r="V38" s="298">
        <f t="shared" si="18"/>
        <v>1415.2390266152729</v>
      </c>
      <c r="W38" s="300">
        <f t="shared" si="19"/>
        <v>1556.7629292768004</v>
      </c>
      <c r="X38" s="300">
        <f t="shared" si="19"/>
        <v>1556.7629292768004</v>
      </c>
      <c r="Y38" s="88">
        <f>'Tariff Jul 2019'!AT26</f>
        <v>15</v>
      </c>
      <c r="Z38" s="89">
        <f>'Tariff Jul 2019'!BI26</f>
        <v>0</v>
      </c>
      <c r="AA38" s="89" t="str">
        <f>'Tariff Jul 2019'!BJ26</f>
        <v>n</v>
      </c>
      <c r="AB38" s="90">
        <f>'Tariff Jul 2019'!G26</f>
        <v>42185</v>
      </c>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row>
    <row r="39" spans="1:141" ht="14" x14ac:dyDescent="0.15">
      <c r="A39" s="63" t="str">
        <f>'Tariff Jul 2019'!K27</f>
        <v>Lumo Energy</v>
      </c>
      <c r="B39" s="1" t="str">
        <f>'Tariff Jul 2019'!L27</f>
        <v>Basic</v>
      </c>
      <c r="C39" s="102">
        <f>91*'Tariff Jul 2019'!M27/100</f>
        <v>83.72</v>
      </c>
      <c r="D39" s="102">
        <f>$H$5*'Tariff Jul 2019'!N27/100</f>
        <v>259.77701338181822</v>
      </c>
      <c r="E39" s="102">
        <v>0</v>
      </c>
      <c r="F39" s="102">
        <v>0</v>
      </c>
      <c r="G39" s="102">
        <v>0</v>
      </c>
      <c r="H39" s="102">
        <f>($I$5)*'Tariff Jul 2019'!AE27/100</f>
        <v>37.711342363636362</v>
      </c>
      <c r="I39" s="102">
        <v>0</v>
      </c>
      <c r="J39" s="102">
        <f t="shared" si="14"/>
        <v>381.20835574545458</v>
      </c>
      <c r="K39" s="298">
        <f t="shared" si="20"/>
        <v>1189.9534229818182</v>
      </c>
      <c r="L39" s="86">
        <f t="shared" si="15"/>
        <v>1524.8334229818183</v>
      </c>
      <c r="M39" s="86">
        <f t="shared" si="16"/>
        <v>1677.3167652800003</v>
      </c>
      <c r="N39" s="1">
        <f>'Tariff Jul 2019'!AW27</f>
        <v>0</v>
      </c>
      <c r="O39" s="1">
        <f>'Tariff Jul 2019'!AX27</f>
        <v>0</v>
      </c>
      <c r="P39" s="1">
        <f>'Tariff Jul 2019'!AY27</f>
        <v>0</v>
      </c>
      <c r="Q39" s="1">
        <f>'Tariff Jul 2019'!AZ27</f>
        <v>0</v>
      </c>
      <c r="R39" s="87">
        <f>($F$6*'Tariff Jul 2019'!AT27/100)*4</f>
        <v>135.87583999999998</v>
      </c>
      <c r="S39" s="298">
        <f>L39</f>
        <v>1524.8334229818183</v>
      </c>
      <c r="T39" s="298">
        <f t="shared" si="21"/>
        <v>1524.8334229818183</v>
      </c>
      <c r="U39" s="298">
        <f t="shared" si="17"/>
        <v>1388.9575829818184</v>
      </c>
      <c r="V39" s="298">
        <f t="shared" si="18"/>
        <v>1388.9575829818184</v>
      </c>
      <c r="W39" s="300">
        <f t="shared" si="19"/>
        <v>1527.8533412800004</v>
      </c>
      <c r="X39" s="300">
        <f t="shared" si="19"/>
        <v>1527.8533412800004</v>
      </c>
      <c r="Y39" s="88">
        <f>'Tariff Jul 2019'!AT27</f>
        <v>16</v>
      </c>
      <c r="Z39" s="89">
        <f>'Tariff Jul 2019'!BI27</f>
        <v>0</v>
      </c>
      <c r="AA39" s="89" t="str">
        <f>'Tariff Jul 2019'!BJ27</f>
        <v>n</v>
      </c>
      <c r="AB39" s="90">
        <f>'Tariff Jul 2019'!G27</f>
        <v>42185</v>
      </c>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row>
    <row r="40" spans="1:141" ht="14" x14ac:dyDescent="0.15">
      <c r="A40" s="63" t="str">
        <f>'Tariff Jul 2019'!K28</f>
        <v>Momentum Energy</v>
      </c>
      <c r="B40" s="1" t="str">
        <f>'Tariff Jul 2019'!L28</f>
        <v>SmilePower Flexi</v>
      </c>
      <c r="C40" s="102">
        <f>91*'Tariff Jul 2019'!M28/100</f>
        <v>93.484300000000005</v>
      </c>
      <c r="D40" s="102">
        <f>$H$5*'Tariff Jul 2019'!N28/100</f>
        <v>243.52535168000003</v>
      </c>
      <c r="E40" s="102">
        <v>0</v>
      </c>
      <c r="F40" s="102">
        <v>0</v>
      </c>
      <c r="G40" s="102">
        <v>0</v>
      </c>
      <c r="H40" s="102">
        <f>($I$5)*'Tariff Jul 2019'!AE28/100</f>
        <v>37.889347239999999</v>
      </c>
      <c r="I40" s="102">
        <v>0</v>
      </c>
      <c r="J40" s="102">
        <f t="shared" si="14"/>
        <v>374.89899892000005</v>
      </c>
      <c r="K40" s="298">
        <f t="shared" si="20"/>
        <v>1125.6587956800001</v>
      </c>
      <c r="L40" s="86">
        <f t="shared" si="15"/>
        <v>1499.5959956800002</v>
      </c>
      <c r="M40" s="86">
        <f t="shared" si="16"/>
        <v>1649.5555952480004</v>
      </c>
      <c r="N40" s="1">
        <f>'Tariff Jul 2019'!AW28</f>
        <v>0</v>
      </c>
      <c r="O40" s="1">
        <f>'Tariff Jul 2019'!AX28</f>
        <v>0</v>
      </c>
      <c r="P40" s="1">
        <f>'Tariff Jul 2019'!AY28</f>
        <v>0</v>
      </c>
      <c r="Q40" s="1">
        <f>'Tariff Jul 2019'!AZ28</f>
        <v>0</v>
      </c>
      <c r="R40" s="87">
        <f>($F$6*'Tariff Jul 2019'!AT28/100)*4</f>
        <v>0</v>
      </c>
      <c r="S40" s="298">
        <f>L40</f>
        <v>1499.5959956800002</v>
      </c>
      <c r="T40" s="298">
        <f t="shared" si="21"/>
        <v>1499.5959956800002</v>
      </c>
      <c r="U40" s="298">
        <f t="shared" si="17"/>
        <v>1499.5959956800002</v>
      </c>
      <c r="V40" s="298">
        <f t="shared" si="18"/>
        <v>1499.5959956800002</v>
      </c>
      <c r="W40" s="300">
        <f t="shared" si="19"/>
        <v>1649.5555952480004</v>
      </c>
      <c r="X40" s="300">
        <f t="shared" si="19"/>
        <v>1649.5555952480004</v>
      </c>
      <c r="Y40" s="88">
        <f>'Tariff Jul 2019'!AT28</f>
        <v>0</v>
      </c>
      <c r="Z40" s="89">
        <f>'Tariff Jul 2019'!BI28</f>
        <v>0</v>
      </c>
      <c r="AA40" s="89" t="str">
        <f>'Tariff Jul 2019'!BJ28</f>
        <v>n</v>
      </c>
      <c r="AB40" s="90">
        <f>'Tariff Jul 2019'!G28</f>
        <v>42185</v>
      </c>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row>
    <row r="41" spans="1:141" ht="14" x14ac:dyDescent="0.15">
      <c r="A41" s="63" t="str">
        <f>'Tariff Jul 2019'!K29</f>
        <v>Origin Energy</v>
      </c>
      <c r="B41" s="1" t="str">
        <f>'Tariff Jul 2019'!L29</f>
        <v>Flexi</v>
      </c>
      <c r="C41" s="102">
        <f>91*'Tariff Jul 2019'!M29/100</f>
        <v>75.124636363636355</v>
      </c>
      <c r="D41" s="102">
        <f>IF($H$5&gt;='Tariff Jul 2019'!P29,('Tariff Jul 2019'!P29*'Tariff Jul 2019'!N29/100),(($H$5)*'Tariff Jul 2019'!N29/100))</f>
        <v>295.3779886545455</v>
      </c>
      <c r="E41" s="102">
        <f>IF($H$5&lt;'Tariff Jul 2019'!P29,0,IF(($H$5-'Tariff Jul 2019'!P29)&lt;='Tariff Jul 2019'!R29,(($H$5-'Tariff Jul 2019'!P29)*'Tariff Jul 2019'!Q29/100),(('Tariff Jul 2019'!R29-'Tariff Jul 2019'!P29)*'Tariff Jul 2019'!Q29/100)))</f>
        <v>0</v>
      </c>
      <c r="F41" s="102">
        <f>IF($H$5&lt;'Tariff Jul 2019'!R29,0,IF(($H$5-'Tariff Jul 2019'!R29)&lt;='Tariff Jul 2019'!T29,(($H$5-'Tariff Jul 2019'!R29)*'Tariff Jul 2019'!S29/100),(('Tariff Jul 2019'!T29-'Tariff Jul 2019'!R29)*'Tariff Jul 2019'!S29/100)))</f>
        <v>0</v>
      </c>
      <c r="G41" s="102">
        <f>IF(($H$5&lt;'Tariff Jul 2019'!T29),(0),($H$5-'Tariff Jul 2019'!T29)*'Tariff Jul 2019'!U29/100)</f>
        <v>0</v>
      </c>
      <c r="H41" s="102">
        <f>($I$5)*'Tariff Jul 2019'!AE29/100</f>
        <v>40.078623709090905</v>
      </c>
      <c r="I41" s="102">
        <v>0</v>
      </c>
      <c r="J41" s="102">
        <f t="shared" si="14"/>
        <v>410.58124872727274</v>
      </c>
      <c r="K41" s="298">
        <f t="shared" si="20"/>
        <v>1341.8264494545456</v>
      </c>
      <c r="L41" s="86">
        <f t="shared" si="15"/>
        <v>1642.3249949090909</v>
      </c>
      <c r="M41" s="86">
        <f t="shared" si="16"/>
        <v>1806.5574944000002</v>
      </c>
      <c r="N41" s="1">
        <f>'Tariff Jul 2019'!AW29</f>
        <v>12</v>
      </c>
      <c r="O41" s="1">
        <f>'Tariff Jul 2019'!AX29</f>
        <v>0</v>
      </c>
      <c r="P41" s="1">
        <f>'Tariff Jul 2019'!AY29</f>
        <v>0</v>
      </c>
      <c r="Q41" s="1">
        <f>'Tariff Jul 2019'!AZ29</f>
        <v>0</v>
      </c>
      <c r="R41" s="87">
        <f>($F$6*'Tariff Jul 2019'!AT29/100)*4</f>
        <v>84.922399999999996</v>
      </c>
      <c r="S41" s="298">
        <f>M41-(M41*N41/100)</f>
        <v>1589.7705950720001</v>
      </c>
      <c r="T41" s="298">
        <f t="shared" si="21"/>
        <v>1589.7705950720001</v>
      </c>
      <c r="U41" s="298">
        <f t="shared" si="17"/>
        <v>1504.8481950720002</v>
      </c>
      <c r="V41" s="298">
        <f t="shared" si="18"/>
        <v>1504.8481950720002</v>
      </c>
      <c r="W41" s="300">
        <f>U41</f>
        <v>1504.8481950720002</v>
      </c>
      <c r="X41" s="300">
        <f>V41</f>
        <v>1504.8481950720002</v>
      </c>
      <c r="Y41" s="88">
        <f>'Tariff Jul 2019'!AT29</f>
        <v>10</v>
      </c>
      <c r="Z41" s="89">
        <f>'Tariff Jul 2019'!BI29</f>
        <v>0</v>
      </c>
      <c r="AA41" s="89" t="str">
        <f>'Tariff Jul 2019'!BJ29</f>
        <v>n</v>
      </c>
      <c r="AB41" s="90">
        <f>'Tariff Jul 2019'!G29</f>
        <v>42185</v>
      </c>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row>
    <row r="42" spans="1:141" ht="14" x14ac:dyDescent="0.15">
      <c r="A42" s="63" t="str">
        <f>'Tariff Jul 2019'!K30</f>
        <v>Powerdirect</v>
      </c>
      <c r="B42" s="1" t="str">
        <f>'Tariff Jul 2019'!L30</f>
        <v>Discount Saver</v>
      </c>
      <c r="C42" s="102">
        <f>91*'Tariff Jul 2019'!M30/100</f>
        <v>73.709999999999994</v>
      </c>
      <c r="D42" s="102">
        <f>$H$5*'Tariff Jul 2019'!N30/100</f>
        <v>296.40564567272736</v>
      </c>
      <c r="E42" s="102">
        <v>0</v>
      </c>
      <c r="F42" s="102">
        <v>0</v>
      </c>
      <c r="G42" s="102">
        <v>0</v>
      </c>
      <c r="H42" s="102">
        <f>($I$5)*'Tariff Jul 2019'!AE30/100</f>
        <v>40.592452218181826</v>
      </c>
      <c r="I42" s="102">
        <v>0</v>
      </c>
      <c r="J42" s="102">
        <f t="shared" si="14"/>
        <v>410.70809789090919</v>
      </c>
      <c r="K42" s="298">
        <f t="shared" si="20"/>
        <v>1347.9923915636368</v>
      </c>
      <c r="L42" s="86">
        <f t="shared" si="15"/>
        <v>1642.8323915636367</v>
      </c>
      <c r="M42" s="86">
        <f t="shared" si="16"/>
        <v>1807.1156307200006</v>
      </c>
      <c r="N42" s="1">
        <f>'Tariff Jul 2019'!AW30</f>
        <v>12</v>
      </c>
      <c r="O42" s="1">
        <f>'Tariff Jul 2019'!AX30</f>
        <v>0</v>
      </c>
      <c r="P42" s="1">
        <f>'Tariff Jul 2019'!AY30</f>
        <v>0</v>
      </c>
      <c r="Q42" s="1">
        <f>'Tariff Jul 2019'!AZ30</f>
        <v>0</v>
      </c>
      <c r="R42" s="87">
        <f>($F$6*'Tariff Jul 2019'!AT30/100)*4</f>
        <v>138.42351199999999</v>
      </c>
      <c r="S42" s="298">
        <f>L42-(L42*N42/100)</f>
        <v>1445.6925045760004</v>
      </c>
      <c r="T42" s="298">
        <f t="shared" si="21"/>
        <v>1445.6925045760004</v>
      </c>
      <c r="U42" s="298">
        <f t="shared" si="17"/>
        <v>1307.2689925760003</v>
      </c>
      <c r="V42" s="298">
        <f t="shared" si="18"/>
        <v>1307.2689925760003</v>
      </c>
      <c r="W42" s="300">
        <f t="shared" ref="W42:X42" si="22">U42*1.1</f>
        <v>1437.9958918336004</v>
      </c>
      <c r="X42" s="300">
        <f t="shared" si="22"/>
        <v>1437.9958918336004</v>
      </c>
      <c r="Y42" s="88">
        <f>'Tariff Jul 2019'!AT30</f>
        <v>16.3</v>
      </c>
      <c r="Z42" s="89">
        <f>'Tariff Jul 2019'!BI30</f>
        <v>0</v>
      </c>
      <c r="AA42" s="89" t="str">
        <f>'Tariff Jul 2019'!BJ30</f>
        <v>n</v>
      </c>
      <c r="AB42" s="90">
        <f>'Tariff Jul 2019'!G30</f>
        <v>42185</v>
      </c>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row>
    <row r="43" spans="1:141" ht="14" x14ac:dyDescent="0.15">
      <c r="A43" s="63" t="str">
        <f>'Tariff Jul 2019'!K31</f>
        <v>Red Energy</v>
      </c>
      <c r="B43" s="1" t="str">
        <f>'Tariff Jul 2019'!L31</f>
        <v>No exit fee saver</v>
      </c>
      <c r="C43" s="102">
        <f>91*'Tariff Jul 2019'!M31/100</f>
        <v>90.999999999999986</v>
      </c>
      <c r="D43" s="102">
        <f>$H$5*'Tariff Jul 2019'!N31/100</f>
        <v>282.38546778181819</v>
      </c>
      <c r="E43" s="102">
        <v>0</v>
      </c>
      <c r="F43" s="102">
        <v>0</v>
      </c>
      <c r="G43" s="102">
        <v>0</v>
      </c>
      <c r="H43" s="102">
        <f>($I$5)*'Tariff Jul 2019'!AE31/100</f>
        <v>40.977823600000001</v>
      </c>
      <c r="I43" s="102">
        <v>0</v>
      </c>
      <c r="J43" s="102">
        <f t="shared" si="14"/>
        <v>414.36329138181821</v>
      </c>
      <c r="K43" s="298">
        <f t="shared" si="20"/>
        <v>1293.4531655272729</v>
      </c>
      <c r="L43" s="86">
        <f t="shared" si="15"/>
        <v>1657.4531655272729</v>
      </c>
      <c r="M43" s="86">
        <f t="shared" si="16"/>
        <v>1823.1984820800003</v>
      </c>
      <c r="N43" s="1">
        <f>'Tariff Jul 2019'!AW31</f>
        <v>0</v>
      </c>
      <c r="O43" s="1">
        <f>'Tariff Jul 2019'!AX31</f>
        <v>0</v>
      </c>
      <c r="P43" s="1">
        <f>'Tariff Jul 2019'!AY31</f>
        <v>10</v>
      </c>
      <c r="Q43" s="1">
        <f>'Tariff Jul 2019'!AZ31</f>
        <v>0</v>
      </c>
      <c r="R43" s="87">
        <f>($F$6*'Tariff Jul 2019'!AT31/100)*4</f>
        <v>135.87583999999998</v>
      </c>
      <c r="S43" s="298">
        <f>M43</f>
        <v>1823.1984820800003</v>
      </c>
      <c r="T43" s="298">
        <f>M43-(M43*P43/100)</f>
        <v>1640.8786338720001</v>
      </c>
      <c r="U43" s="298">
        <f t="shared" si="17"/>
        <v>1687.3226420800004</v>
      </c>
      <c r="V43" s="298">
        <f t="shared" si="18"/>
        <v>1505.0027938720002</v>
      </c>
      <c r="W43" s="300">
        <f>U43</f>
        <v>1687.3226420800004</v>
      </c>
      <c r="X43" s="300">
        <f>V43</f>
        <v>1505.0027938720002</v>
      </c>
      <c r="Y43" s="88">
        <f>'Tariff Jul 2019'!AT31</f>
        <v>16</v>
      </c>
      <c r="Z43" s="89">
        <f>'Tariff Jul 2019'!BI31</f>
        <v>0</v>
      </c>
      <c r="AA43" s="89" t="str">
        <f>'Tariff Jul 2019'!BJ31</f>
        <v>n</v>
      </c>
      <c r="AB43" s="90">
        <f>'Tariff Jul 2019'!G31</f>
        <v>42185</v>
      </c>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row>
    <row r="44" spans="1:141" ht="14" x14ac:dyDescent="0.15">
      <c r="A44" s="63" t="str">
        <f>'Tariff Jul 2019'!K32</f>
        <v>Energy Locals</v>
      </c>
      <c r="B44" s="1" t="str">
        <f>'Tariff Jul 2019'!L32</f>
        <v>Solar Promise</v>
      </c>
      <c r="C44" s="102">
        <f>(91*'Tariff Jul 2019'!M32/100)+('Tariff Jul 2019'!BM32/4)</f>
        <v>120.515</v>
      </c>
      <c r="D44" s="102">
        <f>$H$5*'Tariff Jul 2019'!N32/100</f>
        <v>242.16003592727276</v>
      </c>
      <c r="E44" s="102">
        <v>0</v>
      </c>
      <c r="F44" s="102">
        <v>0</v>
      </c>
      <c r="G44" s="102">
        <v>0</v>
      </c>
      <c r="H44" s="102">
        <f>($I$5)*'Tariff Jul 2019'!AE32/100</f>
        <v>48.428336981818184</v>
      </c>
      <c r="I44" s="102">
        <v>0</v>
      </c>
      <c r="J44" s="102">
        <f t="shared" si="14"/>
        <v>411.10337290909092</v>
      </c>
      <c r="K44" s="298">
        <f t="shared" si="20"/>
        <v>1162.3534916363637</v>
      </c>
      <c r="L44" s="86">
        <f t="shared" si="15"/>
        <v>1644.4134916363637</v>
      </c>
      <c r="M44" s="86">
        <f t="shared" si="16"/>
        <v>1808.8548408000001</v>
      </c>
      <c r="N44" s="1">
        <f>'Tariff Jul 2019'!AW32</f>
        <v>0</v>
      </c>
      <c r="O44" s="1">
        <f>'Tariff Jul 2019'!AX32</f>
        <v>0</v>
      </c>
      <c r="P44" s="1">
        <f>'Tariff Jul 2019'!AY32</f>
        <v>0</v>
      </c>
      <c r="Q44" s="1">
        <f>'Tariff Jul 2019'!AZ32</f>
        <v>0</v>
      </c>
      <c r="R44" s="87">
        <f>($F$6*'Tariff Jul 2019'!AT32/100)*4</f>
        <v>135.87583999999998</v>
      </c>
      <c r="S44" s="298">
        <f>L44</f>
        <v>1644.4134916363637</v>
      </c>
      <c r="T44" s="298">
        <f>S44</f>
        <v>1644.4134916363637</v>
      </c>
      <c r="U44" s="298">
        <f t="shared" si="17"/>
        <v>1508.5376516363638</v>
      </c>
      <c r="V44" s="298">
        <f t="shared" si="18"/>
        <v>1508.5376516363638</v>
      </c>
      <c r="W44" s="300">
        <f t="shared" ref="W44:X46" si="23">U44*1.1</f>
        <v>1659.3914168000003</v>
      </c>
      <c r="X44" s="300">
        <f t="shared" si="23"/>
        <v>1659.3914168000003</v>
      </c>
      <c r="Y44" s="88">
        <f>'Tariff Jul 2019'!AT32</f>
        <v>16</v>
      </c>
      <c r="Z44" s="89">
        <f>'Tariff Jul 2019'!BI32</f>
        <v>0</v>
      </c>
      <c r="AA44" s="89" t="str">
        <f>'Tariff Jul 2019'!BJ32</f>
        <v>n</v>
      </c>
      <c r="AB44" s="90">
        <f>'Tariff Jul 2019'!G32</f>
        <v>41915</v>
      </c>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row>
    <row r="45" spans="1:141" ht="14" x14ac:dyDescent="0.15">
      <c r="A45" s="63" t="str">
        <f>'Tariff Jul 2019'!K33</f>
        <v>Simply Energy</v>
      </c>
      <c r="B45" s="1" t="str">
        <f>'Tariff Jul 2019'!L33</f>
        <v>Plus</v>
      </c>
      <c r="C45" s="102">
        <f>91*'Tariff Jul 2019'!M33/100</f>
        <v>79.327181818181813</v>
      </c>
      <c r="D45" s="102">
        <f>$H$5*'Tariff Jul 2019'!N33/100</f>
        <v>292.00140130909097</v>
      </c>
      <c r="E45" s="102">
        <v>0</v>
      </c>
      <c r="F45" s="102">
        <v>0</v>
      </c>
      <c r="G45" s="102">
        <v>0</v>
      </c>
      <c r="H45" s="102">
        <f>($I$5)*'Tariff Jul 2019'!AE33/100</f>
        <v>40.720909345454544</v>
      </c>
      <c r="I45" s="102">
        <v>0</v>
      </c>
      <c r="J45" s="102">
        <f t="shared" ref="J45" si="24">SUM(C45:I45)</f>
        <v>412.04949247272737</v>
      </c>
      <c r="K45" s="298">
        <f t="shared" si="20"/>
        <v>1330.8892426181822</v>
      </c>
      <c r="L45" s="86">
        <f t="shared" si="15"/>
        <v>1648.1979698909095</v>
      </c>
      <c r="M45" s="86">
        <f t="shared" si="16"/>
        <v>1813.0177668800006</v>
      </c>
      <c r="N45" s="1">
        <f>'Tariff Jul 2019'!AW33</f>
        <v>0</v>
      </c>
      <c r="O45" s="1">
        <f>'Tariff Jul 2019'!AX33</f>
        <v>0</v>
      </c>
      <c r="P45" s="1">
        <f>'Tariff Jul 2019'!AY33</f>
        <v>0</v>
      </c>
      <c r="Q45" s="1">
        <f>'Tariff Jul 2019'!AZ33</f>
        <v>0</v>
      </c>
      <c r="R45" s="87">
        <f>($F$6*'Tariff Jul 2019'!AT33/100)*4</f>
        <v>127.38359999999999</v>
      </c>
      <c r="S45" s="298">
        <f>L45</f>
        <v>1648.1979698909095</v>
      </c>
      <c r="T45" s="298">
        <f>S45</f>
        <v>1648.1979698909095</v>
      </c>
      <c r="U45" s="298">
        <f t="shared" si="17"/>
        <v>1520.8143698909096</v>
      </c>
      <c r="V45" s="298">
        <f t="shared" si="18"/>
        <v>1520.8143698909096</v>
      </c>
      <c r="W45" s="300">
        <f t="shared" si="23"/>
        <v>1672.8958068800007</v>
      </c>
      <c r="X45" s="300">
        <f t="shared" si="23"/>
        <v>1672.8958068800007</v>
      </c>
      <c r="Y45" s="88">
        <f>'Tariff Jul 2019'!AT33</f>
        <v>15</v>
      </c>
      <c r="Z45" s="89">
        <f>'Tariff Jul 2019'!BI33</f>
        <v>0</v>
      </c>
      <c r="AA45" s="89" t="str">
        <f>'Tariff Jul 2019'!BJ33</f>
        <v>n</v>
      </c>
      <c r="AB45" s="90">
        <f>'Tariff Jul 2019'!G33</f>
        <v>42185</v>
      </c>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row>
    <row r="46" spans="1:141" ht="14" x14ac:dyDescent="0.15">
      <c r="A46" s="63" t="str">
        <f>'Tariff Jul 2019'!K34</f>
        <v>Amaysim</v>
      </c>
      <c r="B46" s="1" t="str">
        <f>'Tariff Jul 2019'!L34</f>
        <v>Solar as you go</v>
      </c>
      <c r="C46" s="102">
        <f>91*'Tariff Jul 2019'!M34/100</f>
        <v>65.52</v>
      </c>
      <c r="D46" s="102">
        <f>IF($H$5&gt;='Tariff Jul 2019'!P34,('Tariff Jul 2019'!P34*'Tariff Jul 2019'!N34/100),(($H$5)*'Tariff Jul 2019'!N34/100))</f>
        <v>306.829024</v>
      </c>
      <c r="E46" s="102">
        <f>IF($H$5&lt;'Tariff Jul 2019'!P34,0,IF(($H$5-'Tariff Jul 2019'!P34)&lt;='Tariff Jul 2019'!R34,(($H$5-'Tariff Jul 2019'!P34)*'Tariff Jul 2019'!Q34/100),(('Tariff Jul 2019'!R34-'Tariff Jul 2019'!P34)*'Tariff Jul 2019'!Q34/100)))</f>
        <v>0</v>
      </c>
      <c r="F46" s="102">
        <f>IF($H$5&lt;'Tariff Jul 2019'!R34,0,IF(($H$5-'Tariff Jul 2019'!R34)&lt;='Tariff Jul 2019'!T34,(($H$5-'Tariff Jul 2019'!R34)*'Tariff Jul 2019'!S34/100),(('Tariff Jul 2019'!T34-'Tariff Jul 2019'!R34)*'Tariff Jul 2019'!S34/100)))</f>
        <v>0</v>
      </c>
      <c r="G46" s="102">
        <f>IF(($H$5&lt;'Tariff Jul 2019'!T34),(0),($H$5-'Tariff Jul 2019'!T34)*'Tariff Jul 2019'!U34/100)</f>
        <v>0</v>
      </c>
      <c r="H46" s="102">
        <f>($I$5)*'Tariff Jul 2019'!AE34/100</f>
        <v>62.576972000000005</v>
      </c>
      <c r="I46" s="102">
        <v>0</v>
      </c>
      <c r="J46" s="102">
        <f t="shared" ref="J46:J47" si="25">SUM(C46:I46)</f>
        <v>434.925996</v>
      </c>
      <c r="K46" s="298">
        <f t="shared" ref="K46:K47" si="26">(J46-C46)*4</f>
        <v>1477.6239840000001</v>
      </c>
      <c r="L46" s="86">
        <f t="shared" ref="L46:L47" si="27">J46*4</f>
        <v>1739.703984</v>
      </c>
      <c r="M46" s="86">
        <f t="shared" ref="M46:M47" si="28">L46*1.1</f>
        <v>1913.6743824000002</v>
      </c>
      <c r="N46" s="1">
        <f>'Tariff Jul 2019'!AW34</f>
        <v>0</v>
      </c>
      <c r="O46" s="1">
        <f>'Tariff Jul 2019'!AX34</f>
        <v>0</v>
      </c>
      <c r="P46" s="1">
        <f>'Tariff Jul 2019'!AY34</f>
        <v>0</v>
      </c>
      <c r="Q46" s="1">
        <f>'Tariff Jul 2019'!AZ34</f>
        <v>0</v>
      </c>
      <c r="R46" s="87">
        <f>($F$6*'Tariff Jul 2019'!AT34/100)*4</f>
        <v>186.82928000000001</v>
      </c>
      <c r="S46" s="298">
        <f>L46</f>
        <v>1739.703984</v>
      </c>
      <c r="T46" s="298">
        <f>S46</f>
        <v>1739.703984</v>
      </c>
      <c r="U46" s="298">
        <f t="shared" si="17"/>
        <v>1552.8747040000001</v>
      </c>
      <c r="V46" s="298">
        <f t="shared" si="18"/>
        <v>1552.8747040000001</v>
      </c>
      <c r="W46" s="300">
        <f t="shared" si="23"/>
        <v>1708.1621744000001</v>
      </c>
      <c r="X46" s="300">
        <f t="shared" si="23"/>
        <v>1708.1621744000001</v>
      </c>
      <c r="Y46" s="88">
        <f>'Tariff Jul 2019'!AT34</f>
        <v>22</v>
      </c>
      <c r="Z46" s="89">
        <f>'Tariff Jul 2019'!BI34</f>
        <v>0</v>
      </c>
      <c r="AA46" s="89" t="str">
        <f>'Tariff Jul 2019'!BJ34</f>
        <v>n</v>
      </c>
      <c r="AB46" s="90">
        <f>'Tariff Jul 2019'!G34</f>
        <v>42020</v>
      </c>
      <c r="AC46" s="134"/>
      <c r="AD46" s="134"/>
    </row>
    <row r="47" spans="1:141" ht="15" thickBot="1" x14ac:dyDescent="0.2">
      <c r="A47" s="91" t="str">
        <f>'Tariff Jul 2019'!K35</f>
        <v>Powershop</v>
      </c>
      <c r="B47" s="92" t="str">
        <f>'Tariff Jul 2019'!L35</f>
        <v>Shopper with Mega Pack</v>
      </c>
      <c r="C47" s="103">
        <f>91*'Tariff Jul 2019'!M35/100</f>
        <v>98.543900000000008</v>
      </c>
      <c r="D47" s="103">
        <f>$H$5*'Tariff Jul 2019'!N35/100</f>
        <v>275.99931345454547</v>
      </c>
      <c r="E47" s="103">
        <v>0</v>
      </c>
      <c r="F47" s="103">
        <v>0</v>
      </c>
      <c r="G47" s="103">
        <v>0</v>
      </c>
      <c r="H47" s="103">
        <f>($I$5)*'Tariff Jul 2019'!AE35/100</f>
        <v>41.289790909090918</v>
      </c>
      <c r="I47" s="103">
        <v>0</v>
      </c>
      <c r="J47" s="103">
        <f t="shared" si="25"/>
        <v>415.83300436363641</v>
      </c>
      <c r="K47" s="299">
        <f t="shared" si="26"/>
        <v>1269.1564174545456</v>
      </c>
      <c r="L47" s="95">
        <f t="shared" si="27"/>
        <v>1663.3320174545456</v>
      </c>
      <c r="M47" s="95">
        <f t="shared" si="28"/>
        <v>1829.6652192000004</v>
      </c>
      <c r="N47" s="92">
        <f>'Tariff Jul 2019'!AW35</f>
        <v>0</v>
      </c>
      <c r="O47" s="92">
        <f>'Tariff Jul 2019'!AX35</f>
        <v>0</v>
      </c>
      <c r="P47" s="92">
        <f>'Tariff Jul 2019'!AY35</f>
        <v>15</v>
      </c>
      <c r="Q47" s="92">
        <f>'Tariff Jul 2019'!AZ35</f>
        <v>0</v>
      </c>
      <c r="R47" s="96">
        <f>($F$6*'Tariff Jul 2019'!AT35/100)*4</f>
        <v>86.620847999999981</v>
      </c>
      <c r="S47" s="299">
        <f>M47</f>
        <v>1829.6652192000004</v>
      </c>
      <c r="T47" s="299">
        <f>M47-(M47*P47/100)</f>
        <v>1555.2154363200002</v>
      </c>
      <c r="U47" s="299">
        <f t="shared" si="17"/>
        <v>1743.0443712000003</v>
      </c>
      <c r="V47" s="299">
        <f t="shared" si="18"/>
        <v>1468.5945883200002</v>
      </c>
      <c r="W47" s="301">
        <f>U47</f>
        <v>1743.0443712000003</v>
      </c>
      <c r="X47" s="301">
        <f>V47</f>
        <v>1468.5945883200002</v>
      </c>
      <c r="Y47" s="97">
        <f>'Tariff Jul 2019'!AT35</f>
        <v>10.199999999999999</v>
      </c>
      <c r="Z47" s="98">
        <f>'Tariff Jul 2019'!BI35</f>
        <v>0</v>
      </c>
      <c r="AA47" s="98" t="str">
        <f>'Tariff Jul 2019'!BJ35</f>
        <v>n</v>
      </c>
      <c r="AB47" s="99">
        <f>'Tariff Jul 2019'!G35</f>
        <v>42185</v>
      </c>
      <c r="AC47" s="134"/>
      <c r="AD47" s="134"/>
    </row>
    <row r="48" spans="1:141" ht="14" x14ac:dyDescent="0.15">
      <c r="AC48" s="134"/>
      <c r="AD48" s="134"/>
    </row>
    <row r="49" spans="29:30" ht="14" x14ac:dyDescent="0.15">
      <c r="AC49" s="134"/>
      <c r="AD49" s="134"/>
    </row>
    <row r="50" spans="29:30" ht="14" x14ac:dyDescent="0.15">
      <c r="AC50" s="134"/>
      <c r="AD50" s="134"/>
    </row>
    <row r="51" spans="29:30" ht="14" x14ac:dyDescent="0.15">
      <c r="AC51" s="134"/>
      <c r="AD51" s="134"/>
    </row>
    <row r="52" spans="29:30" ht="14" x14ac:dyDescent="0.15">
      <c r="AC52" s="134"/>
      <c r="AD52" s="134"/>
    </row>
  </sheetData>
  <sheetProtection algorithmName="SHA-512" hashValue="c3zMclIgG2EIYDwmZpXMpMu+IzTaNE5o9TgdzX43sS4gy1KlHSSE0RaJJDYdNQBCxNlvTA8pl3ZcZrDPiv2ksA==" saltValue="QZ8+UdDHzlvE6Pkn7isEcQ==" spinCount="100000" sheet="1" objects="1" scenarios="1"/>
  <dataValidations count="2">
    <dataValidation type="whole" showInputMessage="1" showErrorMessage="1" errorTitle="Incorrect number" error="Please enter quarterly consumption between 700-4000kWh" sqref="C5" xr:uid="{3F823FBC-648F-534C-ACB7-7742AD5878D7}">
      <formula1>700</formula1>
      <formula2>4000</formula2>
    </dataValidation>
    <dataValidation type="decimal" showInputMessage="1" showErrorMessage="1" errorTitle="Incorrect entry" error="Enter 1.5 or 3.0 only" sqref="C4" xr:uid="{569D656A-A150-654E-B658-8B72E9A24A17}">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2EACB-4883-984E-B9AF-F70995CBCD7C}">
  <sheetPr codeName="Sheet6"/>
  <dimension ref="A1:ED366"/>
  <sheetViews>
    <sheetView zoomScale="90" zoomScaleNormal="90" workbookViewId="0">
      <selection activeCell="C4" sqref="C4:C5"/>
    </sheetView>
  </sheetViews>
  <sheetFormatPr baseColWidth="10" defaultRowHeight="13" x14ac:dyDescent="0.15"/>
  <cols>
    <col min="1" max="1" width="21.6640625" style="1" customWidth="1"/>
    <col min="2" max="2" width="28.1640625" style="1" customWidth="1"/>
    <col min="3" max="10" width="13.83203125" style="1" customWidth="1"/>
    <col min="11" max="12" width="13.83203125" style="1" hidden="1" customWidth="1"/>
    <col min="13" max="18" width="13.83203125" style="1" customWidth="1"/>
    <col min="19" max="22" width="13.83203125" style="1" hidden="1" customWidth="1"/>
    <col min="23" max="28" width="13.83203125" style="1" customWidth="1"/>
    <col min="29" max="134" width="10.83203125" style="115"/>
    <col min="135" max="16384" width="10.83203125" style="1"/>
  </cols>
  <sheetData>
    <row r="1" spans="1:88" s="115" customFormat="1" ht="14" x14ac:dyDescent="0.15">
      <c r="A1" s="114" t="s">
        <v>340</v>
      </c>
      <c r="B1" s="114"/>
      <c r="C1" s="114"/>
      <c r="D1" s="114"/>
      <c r="E1" s="114"/>
      <c r="F1" s="114"/>
      <c r="G1" s="114"/>
      <c r="H1" s="114"/>
      <c r="I1" s="114"/>
      <c r="J1" s="114"/>
      <c r="K1" s="131">
        <v>3</v>
      </c>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row>
    <row r="2" spans="1:88" s="115" customFormat="1" ht="14" x14ac:dyDescent="0.15">
      <c r="A2" s="116" t="s">
        <v>152</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row>
    <row r="3" spans="1:88" s="115" customFormat="1" ht="14" x14ac:dyDescent="0.15">
      <c r="A3" s="116"/>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row>
    <row r="4" spans="1:88" ht="14" x14ac:dyDescent="0.15">
      <c r="A4" s="68" t="s">
        <v>341</v>
      </c>
      <c r="B4" s="69"/>
      <c r="C4" s="104">
        <v>3</v>
      </c>
      <c r="D4" s="114"/>
      <c r="E4" s="70" t="s">
        <v>366</v>
      </c>
      <c r="F4" s="71">
        <f>IF(C4&lt;K1,(630),(1260))</f>
        <v>1260</v>
      </c>
      <c r="G4" s="72"/>
      <c r="H4" s="73" t="s">
        <v>367</v>
      </c>
      <c r="I4" s="74" t="s">
        <v>368</v>
      </c>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row>
    <row r="5" spans="1:88" ht="14" x14ac:dyDescent="0.15">
      <c r="A5" s="75" t="s">
        <v>369</v>
      </c>
      <c r="B5" s="76"/>
      <c r="C5" s="105">
        <v>1500</v>
      </c>
      <c r="D5" s="114"/>
      <c r="E5" s="77" t="s">
        <v>370</v>
      </c>
      <c r="F5" s="78">
        <f>C5-(F4-F6)</f>
        <v>892.68</v>
      </c>
      <c r="G5" s="20" t="s">
        <v>371</v>
      </c>
      <c r="H5" s="79">
        <f>F5*80/100</f>
        <v>714.14399999999989</v>
      </c>
      <c r="I5" s="80">
        <f>F5*20/100</f>
        <v>178.53599999999997</v>
      </c>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row>
    <row r="6" spans="1:88" ht="14" x14ac:dyDescent="0.15">
      <c r="A6" s="115"/>
      <c r="B6" s="115"/>
      <c r="C6" s="115"/>
      <c r="D6" s="114"/>
      <c r="E6" s="77" t="s">
        <v>372</v>
      </c>
      <c r="F6" s="78">
        <f>IF(C4&lt;K1,(F4*22.1/100),(F4*51.8/100))</f>
        <v>652.67999999999995</v>
      </c>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row>
    <row r="7" spans="1:88" s="115" customFormat="1" ht="15" thickBot="1" x14ac:dyDescent="0.2">
      <c r="A7" s="114"/>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row>
    <row r="8" spans="1:88" ht="14" x14ac:dyDescent="0.15">
      <c r="A8" s="82" t="s">
        <v>356</v>
      </c>
      <c r="B8" s="83"/>
      <c r="C8" s="83"/>
      <c r="D8" s="83"/>
      <c r="E8" s="83"/>
      <c r="F8" s="83"/>
      <c r="G8" s="83"/>
      <c r="H8" s="83"/>
      <c r="I8" s="83"/>
      <c r="J8" s="83"/>
      <c r="K8" s="83"/>
      <c r="L8" s="83"/>
      <c r="M8" s="83"/>
      <c r="N8" s="83"/>
      <c r="O8" s="83"/>
      <c r="P8" s="83"/>
      <c r="Q8" s="83"/>
      <c r="R8" s="83"/>
      <c r="S8" s="83"/>
      <c r="T8" s="83"/>
      <c r="U8" s="83"/>
      <c r="V8" s="83"/>
      <c r="W8" s="83"/>
      <c r="X8" s="83"/>
      <c r="Y8" s="83"/>
      <c r="Z8" s="83"/>
      <c r="AA8" s="83"/>
      <c r="AB8" s="18"/>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row>
    <row r="9" spans="1:88" ht="90" x14ac:dyDescent="0.15">
      <c r="A9" s="287" t="s">
        <v>231</v>
      </c>
      <c r="B9" s="288" t="s">
        <v>243</v>
      </c>
      <c r="C9" s="289" t="s">
        <v>244</v>
      </c>
      <c r="D9" s="289" t="s">
        <v>227</v>
      </c>
      <c r="E9" s="290" t="s">
        <v>357</v>
      </c>
      <c r="F9" s="290" t="s">
        <v>358</v>
      </c>
      <c r="G9" s="290" t="s">
        <v>321</v>
      </c>
      <c r="H9" s="290" t="s">
        <v>328</v>
      </c>
      <c r="I9" s="290" t="s">
        <v>329</v>
      </c>
      <c r="J9" s="290" t="s">
        <v>799</v>
      </c>
      <c r="K9" s="296" t="s">
        <v>246</v>
      </c>
      <c r="L9" s="296" t="s">
        <v>247</v>
      </c>
      <c r="M9" s="291" t="s">
        <v>248</v>
      </c>
      <c r="N9" s="292" t="s">
        <v>249</v>
      </c>
      <c r="O9" s="292" t="s">
        <v>250</v>
      </c>
      <c r="P9" s="292" t="s">
        <v>251</v>
      </c>
      <c r="Q9" s="292" t="s">
        <v>365</v>
      </c>
      <c r="R9" s="293" t="s">
        <v>373</v>
      </c>
      <c r="S9" s="297" t="s">
        <v>255</v>
      </c>
      <c r="T9" s="297" t="s">
        <v>224</v>
      </c>
      <c r="U9" s="297" t="s">
        <v>374</v>
      </c>
      <c r="V9" s="297" t="s">
        <v>375</v>
      </c>
      <c r="W9" s="293" t="s">
        <v>376</v>
      </c>
      <c r="X9" s="293" t="s">
        <v>436</v>
      </c>
      <c r="Y9" s="292" t="s">
        <v>155</v>
      </c>
      <c r="Z9" s="292" t="s">
        <v>225</v>
      </c>
      <c r="AA9" s="292" t="s">
        <v>226</v>
      </c>
      <c r="AB9" s="294" t="s">
        <v>221</v>
      </c>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row>
    <row r="10" spans="1:88" ht="14" x14ac:dyDescent="0.15">
      <c r="A10" s="63" t="str">
        <f>'Tariff Jul 2018'!K2</f>
        <v>AGL</v>
      </c>
      <c r="B10" s="1" t="str">
        <f>'Tariff Jul 2018'!L2</f>
        <v xml:space="preserve">Solar Savers </v>
      </c>
      <c r="C10" s="84">
        <f>91*'Tariff Jul 2018'!M2/100</f>
        <v>75.53</v>
      </c>
      <c r="D10" s="84">
        <f>$F$5*'Tariff Jul 2018'!N2/100</f>
        <v>337.43303999999995</v>
      </c>
      <c r="E10" s="84">
        <v>0</v>
      </c>
      <c r="F10" s="85">
        <v>0</v>
      </c>
      <c r="G10" s="84">
        <v>0</v>
      </c>
      <c r="H10" s="84">
        <v>0</v>
      </c>
      <c r="I10" s="84">
        <v>0</v>
      </c>
      <c r="J10" s="84">
        <f>SUM(C10:I10)</f>
        <v>412.96303999999998</v>
      </c>
      <c r="K10" s="298">
        <f>(J10-C10)*4</f>
        <v>1349.73216</v>
      </c>
      <c r="L10" s="86">
        <f>J10*4</f>
        <v>1651.8521599999999</v>
      </c>
      <c r="M10" s="86">
        <f>L10*1.1</f>
        <v>1817.037376</v>
      </c>
      <c r="N10" s="1">
        <f>'Tariff Jul 2018'!AW2</f>
        <v>0</v>
      </c>
      <c r="O10" s="1">
        <f>'Tariff Jul 2018'!AX2</f>
        <v>0</v>
      </c>
      <c r="P10" s="1">
        <f>'Tariff Jul 2018'!AY2</f>
        <v>0</v>
      </c>
      <c r="Q10" s="1">
        <f>'Tariff Jul 2018'!AZ2</f>
        <v>0</v>
      </c>
      <c r="R10" s="87">
        <f>($F$6*'Tariff Jul 2018'!AT2/100)*4</f>
        <v>522.14399999999989</v>
      </c>
      <c r="S10" s="298">
        <f>L10</f>
        <v>1651.8521599999999</v>
      </c>
      <c r="T10" s="298">
        <f>S10-(K10*Q10/100)</f>
        <v>1651.8521599999999</v>
      </c>
      <c r="U10" s="298">
        <f>S10-R10</f>
        <v>1129.7081600000001</v>
      </c>
      <c r="V10" s="298">
        <f>T10-R10</f>
        <v>1129.7081600000001</v>
      </c>
      <c r="W10" s="300">
        <f>U10*1.1</f>
        <v>1242.6789760000001</v>
      </c>
      <c r="X10" s="300">
        <f>V10*1.1</f>
        <v>1242.6789760000001</v>
      </c>
      <c r="Y10" s="88">
        <f>'Tariff Jul 2018'!AT2</f>
        <v>20</v>
      </c>
      <c r="Z10" s="89">
        <f>'Tariff Jul 2018'!BI2</f>
        <v>0</v>
      </c>
      <c r="AA10" s="89" t="str">
        <f>'Tariff Jul 2018'!BJ2</f>
        <v>n</v>
      </c>
      <c r="AB10" s="90">
        <f>'Tariff Jul 2018'!G2</f>
        <v>41851</v>
      </c>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row>
    <row r="11" spans="1:88" ht="14" x14ac:dyDescent="0.15">
      <c r="A11" s="63" t="str">
        <f>'Tariff Jul 2018'!K3</f>
        <v>Alinta Energy</v>
      </c>
      <c r="B11" s="1" t="str">
        <f>'Tariff Jul 2018'!L3</f>
        <v>Fair Deal</v>
      </c>
      <c r="C11" s="84">
        <f>91*'Tariff Jul 2018'!M3/100</f>
        <v>75.53</v>
      </c>
      <c r="D11" s="84">
        <f>IF($F$5&gt;='Tariff Jul 2018'!P3,('Tariff Jul 2018'!P3*'Tariff Jul 2018'!N3/100),($F$5*'Tariff Jul 2018'!N3/100))</f>
        <v>117</v>
      </c>
      <c r="E11" s="84">
        <f>IF($F$5&lt;'Tariff Jul 2018'!P3,0,IF(($F$5-'Tariff Jul 2018'!P3)&lt;='Tariff Jul 2018'!R3,(($F$5-'Tariff Jul 2018'!P3)*'Tariff Jul 2018'!Q3/100),(('Tariff Jul 2018'!R3-'Tariff Jul 2018'!P3)*'Tariff Jul 2018'!Q3/100)))</f>
        <v>257.51945999999998</v>
      </c>
      <c r="F11" s="85">
        <f>IF($F$5&lt;'Tariff Jul 2018'!R3,0,IF(($F$5-'Tariff Jul 2018'!R3)&lt;='Tariff Jul 2018'!T3,(($F$5-'Tariff Jul 2018'!R3)*'Tariff Jul 2018'!S3/100),(('Tariff Jul 2018'!T3-'Tariff Jul 2018'!R3)*'Tariff Jul 2018'!S3/100)))</f>
        <v>0</v>
      </c>
      <c r="G11" s="84">
        <v>0</v>
      </c>
      <c r="H11" s="84">
        <v>0</v>
      </c>
      <c r="I11" s="84">
        <f>IF(($F$5&lt;'Tariff Jul 2018'!T3),(0),($F$5-'Tariff Jul 2018'!T3)*'Tariff Jul 2018'!U3/100)</f>
        <v>0</v>
      </c>
      <c r="J11" s="84">
        <f t="shared" ref="J11:J22" si="0">SUM(C11:I11)</f>
        <v>450.04945999999995</v>
      </c>
      <c r="K11" s="298">
        <f>(J11-C11)*4</f>
        <v>1498.0778399999999</v>
      </c>
      <c r="L11" s="86">
        <f t="shared" ref="L11:L22" si="1">J11*4</f>
        <v>1800.1978399999998</v>
      </c>
      <c r="M11" s="86">
        <f t="shared" ref="M11:M22" si="2">L11*1.1</f>
        <v>1980.2176239999999</v>
      </c>
      <c r="N11" s="1">
        <f>'Tariff Jul 2018'!AW3</f>
        <v>0</v>
      </c>
      <c r="O11" s="1">
        <f>'Tariff Jul 2018'!AX3</f>
        <v>0</v>
      </c>
      <c r="P11" s="1">
        <f>'Tariff Jul 2018'!AY3</f>
        <v>0</v>
      </c>
      <c r="Q11" s="1">
        <f>'Tariff Jul 2018'!AZ3</f>
        <v>25</v>
      </c>
      <c r="R11" s="87">
        <f>($F$6*'Tariff Jul 2018'!AT3/100)*4</f>
        <v>248.01839999999996</v>
      </c>
      <c r="S11" s="298">
        <f t="shared" ref="S11:S23" si="3">L11</f>
        <v>1800.1978399999998</v>
      </c>
      <c r="T11" s="298">
        <f>S11-(K11*Q11/100)</f>
        <v>1425.6783799999998</v>
      </c>
      <c r="U11" s="298">
        <f t="shared" ref="U11:U22" si="4">S11-R11</f>
        <v>1552.1794399999999</v>
      </c>
      <c r="V11" s="298">
        <f t="shared" ref="V11:V22" si="5">T11-R11</f>
        <v>1177.6599799999999</v>
      </c>
      <c r="W11" s="300">
        <f t="shared" ref="W11:X22" si="6">U11*1.1</f>
        <v>1707.3973840000001</v>
      </c>
      <c r="X11" s="300">
        <f t="shared" si="6"/>
        <v>1295.425978</v>
      </c>
      <c r="Y11" s="88">
        <f>'Tariff Jul 2018'!AT3</f>
        <v>9.5</v>
      </c>
      <c r="Z11" s="89">
        <f>'Tariff Jul 2018'!BI3</f>
        <v>0</v>
      </c>
      <c r="AA11" s="89" t="str">
        <f>'Tariff Jul 2018'!BJ3</f>
        <v>n</v>
      </c>
      <c r="AB11" s="90">
        <f>'Tariff Jul 2018'!G3</f>
        <v>41865</v>
      </c>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row>
    <row r="12" spans="1:88" ht="14" x14ac:dyDescent="0.15">
      <c r="A12" s="63" t="str">
        <f>'Tariff Jul 2018'!K4</f>
        <v>Click Energy</v>
      </c>
      <c r="B12" s="1" t="str">
        <f>'Tariff Jul 2018'!L4</f>
        <v>Solar Light</v>
      </c>
      <c r="C12" s="84">
        <f>91*'Tariff Jul 2018'!M4/100</f>
        <v>82.445999999999998</v>
      </c>
      <c r="D12" s="84">
        <f>IF($F$5&gt;='Tariff Jul 2018'!P4,('Tariff Jul 2018'!P4*'Tariff Jul 2018'!N4/100),($F$5*'Tariff Jul 2018'!N4/100))</f>
        <v>426.70103999999992</v>
      </c>
      <c r="E12" s="84">
        <v>0</v>
      </c>
      <c r="F12" s="85">
        <v>0</v>
      </c>
      <c r="G12" s="84">
        <v>0</v>
      </c>
      <c r="H12" s="84">
        <v>0</v>
      </c>
      <c r="I12" s="84">
        <f>IF(($F$5&lt;'Tariff Jul 2018'!T4),(0),($F$5-'Tariff Jul 2018'!T4)*'Tariff Jul 2018'!U4/100)</f>
        <v>0</v>
      </c>
      <c r="J12" s="84">
        <f t="shared" si="0"/>
        <v>509.14703999999995</v>
      </c>
      <c r="K12" s="298">
        <f t="shared" ref="K12:K22" si="7">(J12-C12)*4</f>
        <v>1706.8041599999997</v>
      </c>
      <c r="L12" s="86">
        <f t="shared" si="1"/>
        <v>2036.5881599999998</v>
      </c>
      <c r="M12" s="86">
        <f t="shared" si="2"/>
        <v>2240.2469759999999</v>
      </c>
      <c r="N12" s="1">
        <f>'Tariff Jul 2018'!AW4</f>
        <v>0</v>
      </c>
      <c r="O12" s="1">
        <f>'Tariff Jul 2018'!AX4</f>
        <v>0</v>
      </c>
      <c r="P12" s="1">
        <f>'Tariff Jul 2018'!AY4</f>
        <v>24</v>
      </c>
      <c r="Q12" s="1">
        <f>'Tariff Jul 2018'!AZ4</f>
        <v>0</v>
      </c>
      <c r="R12" s="87">
        <f>($F$6*'Tariff Jul 2018'!AT4/100)*4</f>
        <v>391.60799999999995</v>
      </c>
      <c r="S12" s="298">
        <f t="shared" si="3"/>
        <v>2036.5881599999998</v>
      </c>
      <c r="T12" s="298">
        <f>S12-(S12*P12/100)</f>
        <v>1547.8070015999997</v>
      </c>
      <c r="U12" s="298">
        <f t="shared" si="4"/>
        <v>1644.9801599999998</v>
      </c>
      <c r="V12" s="298">
        <f t="shared" si="5"/>
        <v>1156.1990015999997</v>
      </c>
      <c r="W12" s="300">
        <f t="shared" si="6"/>
        <v>1809.4781760000001</v>
      </c>
      <c r="X12" s="300">
        <f t="shared" si="6"/>
        <v>1271.8189017599998</v>
      </c>
      <c r="Y12" s="88">
        <f>'Tariff Jul 2018'!AT4</f>
        <v>15</v>
      </c>
      <c r="Z12" s="89">
        <f>'Tariff Jul 2018'!BI4</f>
        <v>0</v>
      </c>
      <c r="AA12" s="89" t="str">
        <f>'Tariff Jul 2018'!BJ4</f>
        <v>n</v>
      </c>
      <c r="AB12" s="90">
        <f>'Tariff Jul 2018'!G4</f>
        <v>41698</v>
      </c>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row>
    <row r="13" spans="1:88" ht="14" x14ac:dyDescent="0.15">
      <c r="A13" s="63" t="str">
        <f>'Tariff Jul 2018'!K5</f>
        <v>Commander</v>
      </c>
      <c r="B13" s="1" t="str">
        <f>'Tariff Jul 2018'!L5</f>
        <v>Market offer</v>
      </c>
      <c r="C13" s="84">
        <f>91*'Tariff Jul 2018'!M5/100</f>
        <v>73.664500000000004</v>
      </c>
      <c r="D13" s="84">
        <f>IF($F$5&gt;='Tariff Jul 2018'!P5,('Tariff Jul 2018'!P5*'Tariff Jul 2018'!N5/100),($F$5*'Tariff Jul 2018'!N5/100))</f>
        <v>365.10611999999992</v>
      </c>
      <c r="E13" s="84">
        <v>0</v>
      </c>
      <c r="F13" s="85">
        <v>0</v>
      </c>
      <c r="G13" s="84">
        <v>0</v>
      </c>
      <c r="H13" s="84">
        <v>0</v>
      </c>
      <c r="I13" s="84">
        <f>IF(($F$5&lt;'Tariff Jul 2018'!T5),(0),($F$5-'Tariff Jul 2018'!T5)*'Tariff Jul 2018'!U5/100)</f>
        <v>0</v>
      </c>
      <c r="J13" s="84">
        <f t="shared" si="0"/>
        <v>438.77061999999989</v>
      </c>
      <c r="K13" s="298">
        <f t="shared" si="7"/>
        <v>1460.4244799999997</v>
      </c>
      <c r="L13" s="86">
        <f t="shared" si="1"/>
        <v>1755.0824799999996</v>
      </c>
      <c r="M13" s="86">
        <f t="shared" si="2"/>
        <v>1930.5907279999997</v>
      </c>
      <c r="N13" s="1">
        <f>'Tariff Jul 2018'!AW5</f>
        <v>0</v>
      </c>
      <c r="O13" s="1">
        <f>'Tariff Jul 2018'!AX5</f>
        <v>0</v>
      </c>
      <c r="P13" s="1">
        <f>'Tariff Jul 2018'!AY5</f>
        <v>0</v>
      </c>
      <c r="Q13" s="1">
        <f>'Tariff Jul 2018'!AZ5</f>
        <v>20</v>
      </c>
      <c r="R13" s="87">
        <f>($F$6*'Tariff Jul 2018'!AT5/100)*4</f>
        <v>302.84351999999996</v>
      </c>
      <c r="S13" s="298">
        <f t="shared" si="3"/>
        <v>1755.0824799999996</v>
      </c>
      <c r="T13" s="298">
        <f>S13-(K13*Q13/100)</f>
        <v>1462.9975839999997</v>
      </c>
      <c r="U13" s="298">
        <f t="shared" si="4"/>
        <v>1452.2389599999997</v>
      </c>
      <c r="V13" s="298">
        <f t="shared" si="5"/>
        <v>1160.1540639999998</v>
      </c>
      <c r="W13" s="300">
        <f t="shared" si="6"/>
        <v>1597.4628559999999</v>
      </c>
      <c r="X13" s="300">
        <f t="shared" si="6"/>
        <v>1276.1694703999999</v>
      </c>
      <c r="Y13" s="88">
        <f>'Tariff Jul 2018'!AT5</f>
        <v>11.6</v>
      </c>
      <c r="Z13" s="89">
        <f>'Tariff Jul 2018'!BI5</f>
        <v>0</v>
      </c>
      <c r="AA13" s="89" t="str">
        <f>'Tariff Jul 2018'!BJ5</f>
        <v>n</v>
      </c>
      <c r="AB13" s="90">
        <f>'Tariff Jul 2018'!G5</f>
        <v>41847</v>
      </c>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row>
    <row r="14" spans="1:88" ht="14" x14ac:dyDescent="0.15">
      <c r="A14" s="63" t="str">
        <f>'Tariff Jul 2018'!K6</f>
        <v>Diamond Energy</v>
      </c>
      <c r="B14" s="1" t="str">
        <f>'Tariff Jul 2018'!L6</f>
        <v>Pay on time discount</v>
      </c>
      <c r="C14" s="84">
        <f>91*'Tariff Jul 2018'!M6/100</f>
        <v>79.124499999999998</v>
      </c>
      <c r="D14" s="84">
        <f>IF($F$5&gt;='Tariff Jul 2018'!P6,('Tariff Jul 2018'!P6*'Tariff Jul 2018'!N6/100),($F$5*'Tariff Jul 2018'!N6/100))</f>
        <v>99.78</v>
      </c>
      <c r="E14" s="84">
        <f>IF($F$5&lt;'Tariff Jul 2018'!P6,0,IF(($F$5-'Tariff Jul 2018'!P6)&lt;='Tariff Jul 2018'!R6,(($F$5-'Tariff Jul 2018'!P6)*'Tariff Jul 2018'!Q6/100),(('Tariff Jul 2018'!R6-'Tariff Jul 2018'!P6)*'Tariff Jul 2018'!Q6/100)))</f>
        <v>212.712852</v>
      </c>
      <c r="F14" s="85">
        <f>IF($F$5&lt;'Tariff Jul 2018'!R6,0,IF(($F$5-'Tariff Jul 2018'!R6)&lt;='Tariff Jul 2018'!T6,(($F$5-'Tariff Jul 2018'!R6)*'Tariff Jul 2018'!S6/100),(('Tariff Jul 2018'!T6-'Tariff Jul 2018'!R6)*'Tariff Jul 2018'!S6/100)))</f>
        <v>0</v>
      </c>
      <c r="G14" s="84">
        <v>0</v>
      </c>
      <c r="H14" s="84">
        <v>0</v>
      </c>
      <c r="I14" s="84">
        <f>IF(($F$5&lt;'Tariff Jul 2018'!T6),(0),($F$5-'Tariff Jul 2018'!T6)*'Tariff Jul 2018'!U6/100)</f>
        <v>0</v>
      </c>
      <c r="J14" s="84">
        <f t="shared" si="0"/>
        <v>391.61735199999998</v>
      </c>
      <c r="K14" s="298">
        <f t="shared" si="7"/>
        <v>1249.9714079999999</v>
      </c>
      <c r="L14" s="86">
        <f t="shared" si="1"/>
        <v>1566.4694079999999</v>
      </c>
      <c r="M14" s="86">
        <f t="shared" si="2"/>
        <v>1723.1163488</v>
      </c>
      <c r="N14" s="1">
        <f>'Tariff Jul 2018'!AW6</f>
        <v>0</v>
      </c>
      <c r="O14" s="1">
        <f>'Tariff Jul 2018'!AX6</f>
        <v>0</v>
      </c>
      <c r="P14" s="1">
        <f>'Tariff Jul 2018'!AY6</f>
        <v>7</v>
      </c>
      <c r="Q14" s="1">
        <f>'Tariff Jul 2018'!AZ6</f>
        <v>0</v>
      </c>
      <c r="R14" s="87">
        <f>($F$6*'Tariff Jul 2018'!AT6/100)*4</f>
        <v>313.28640000000001</v>
      </c>
      <c r="S14" s="298">
        <f t="shared" si="3"/>
        <v>1566.4694079999999</v>
      </c>
      <c r="T14" s="298">
        <f>S14-(S14*P14/100)</f>
        <v>1456.81654944</v>
      </c>
      <c r="U14" s="298">
        <f t="shared" si="4"/>
        <v>1253.183008</v>
      </c>
      <c r="V14" s="298">
        <f t="shared" si="5"/>
        <v>1143.5301494400001</v>
      </c>
      <c r="W14" s="300">
        <f t="shared" si="6"/>
        <v>1378.5013088000001</v>
      </c>
      <c r="X14" s="300">
        <f t="shared" si="6"/>
        <v>1257.8831643840001</v>
      </c>
      <c r="Y14" s="88">
        <f>'Tariff Jul 2018'!AT6</f>
        <v>12</v>
      </c>
      <c r="Z14" s="89">
        <f>'Tariff Jul 2018'!BI6</f>
        <v>0</v>
      </c>
      <c r="AA14" s="89" t="str">
        <f>'Tariff Jul 2018'!BJ6</f>
        <v>n</v>
      </c>
      <c r="AB14" s="90">
        <f>'Tariff Jul 2018'!G6</f>
        <v>41820</v>
      </c>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row>
    <row r="15" spans="1:88" ht="14" x14ac:dyDescent="0.15">
      <c r="A15" s="63" t="str">
        <f>'Tariff Jul 2018'!K7</f>
        <v>Dodo Power &amp; Gas</v>
      </c>
      <c r="B15" s="1" t="str">
        <f>'Tariff Jul 2018'!L7</f>
        <v>Market offer</v>
      </c>
      <c r="C15" s="84">
        <f>91*'Tariff Jul 2018'!M7/100</f>
        <v>73.664500000000004</v>
      </c>
      <c r="D15" s="84">
        <f>IF($F$5&gt;='Tariff Jul 2018'!P7,('Tariff Jul 2018'!P7*'Tariff Jul 2018'!N7/100),($F$5*'Tariff Jul 2018'!N7/100))</f>
        <v>380.72801999999996</v>
      </c>
      <c r="E15" s="84">
        <v>0</v>
      </c>
      <c r="F15" s="85">
        <v>0</v>
      </c>
      <c r="G15" s="84">
        <v>0</v>
      </c>
      <c r="H15" s="84">
        <v>0</v>
      </c>
      <c r="I15" s="84">
        <f>IF(($F$5&lt;'Tariff Jul 2018'!T7),(0),($F$5-'Tariff Jul 2018'!T7)*'Tariff Jul 2018'!U7/100)</f>
        <v>0</v>
      </c>
      <c r="J15" s="84">
        <f t="shared" si="0"/>
        <v>454.39251999999999</v>
      </c>
      <c r="K15" s="298">
        <f t="shared" si="7"/>
        <v>1522.9120800000001</v>
      </c>
      <c r="L15" s="86">
        <f t="shared" si="1"/>
        <v>1817.57008</v>
      </c>
      <c r="M15" s="86">
        <f t="shared" si="2"/>
        <v>1999.3270880000002</v>
      </c>
      <c r="N15" s="1">
        <f>'Tariff Jul 2018'!AW7</f>
        <v>0</v>
      </c>
      <c r="O15" s="1">
        <f>'Tariff Jul 2018'!AX7</f>
        <v>0</v>
      </c>
      <c r="P15" s="1">
        <f>'Tariff Jul 2018'!AY7</f>
        <v>0</v>
      </c>
      <c r="Q15" s="1">
        <f>'Tariff Jul 2018'!AZ7</f>
        <v>0</v>
      </c>
      <c r="R15" s="87">
        <f>($F$6*'Tariff Jul 2018'!AT7/100)*4</f>
        <v>302.84351999999996</v>
      </c>
      <c r="S15" s="298">
        <f t="shared" si="3"/>
        <v>1817.57008</v>
      </c>
      <c r="T15" s="298">
        <f>S15-(K15*Q15/100)</f>
        <v>1817.57008</v>
      </c>
      <c r="U15" s="298">
        <f t="shared" si="4"/>
        <v>1514.7265600000001</v>
      </c>
      <c r="V15" s="298">
        <f t="shared" si="5"/>
        <v>1514.7265600000001</v>
      </c>
      <c r="W15" s="300">
        <f t="shared" si="6"/>
        <v>1666.1992160000002</v>
      </c>
      <c r="X15" s="300">
        <f t="shared" si="6"/>
        <v>1666.1992160000002</v>
      </c>
      <c r="Y15" s="88">
        <f>'Tariff Jul 2018'!AT7</f>
        <v>11.6</v>
      </c>
      <c r="Z15" s="89">
        <f>'Tariff Jul 2018'!BI7</f>
        <v>0</v>
      </c>
      <c r="AA15" s="89" t="str">
        <f>'Tariff Jul 2018'!BJ7</f>
        <v>n</v>
      </c>
      <c r="AB15" s="90">
        <f>'Tariff Jul 2018'!G7</f>
        <v>41846</v>
      </c>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row>
    <row r="16" spans="1:88" ht="14" x14ac:dyDescent="0.15">
      <c r="A16" s="63" t="str">
        <f>'Tariff Jul 2018'!K8</f>
        <v>EnergyAustralia</v>
      </c>
      <c r="B16" s="1" t="str">
        <f>'Tariff Jul 2018'!L8</f>
        <v>Anytime Saver</v>
      </c>
      <c r="C16" s="84">
        <f>91*'Tariff Jul 2018'!M8/100</f>
        <v>81.536000000000001</v>
      </c>
      <c r="D16" s="84">
        <f>IF($F$5&gt;='Tariff Jul 2018'!P8,('Tariff Jul 2018'!P8*'Tariff Jul 2018'!N8/100),($F$5*'Tariff Jul 2018'!N8/100))</f>
        <v>377.33583599999997</v>
      </c>
      <c r="E16" s="84">
        <v>0</v>
      </c>
      <c r="F16" s="85">
        <v>0</v>
      </c>
      <c r="G16" s="84">
        <v>0</v>
      </c>
      <c r="H16" s="84">
        <v>0</v>
      </c>
      <c r="I16" s="84">
        <f>IF(($F$5&lt;'Tariff Jul 2018'!T8),(0),($F$5-'Tariff Jul 2018'!T8)*'Tariff Jul 2018'!U8/100)</f>
        <v>0</v>
      </c>
      <c r="J16" s="84">
        <f t="shared" si="0"/>
        <v>458.87183599999997</v>
      </c>
      <c r="K16" s="298">
        <f t="shared" si="7"/>
        <v>1509.3433439999999</v>
      </c>
      <c r="L16" s="86">
        <f t="shared" si="1"/>
        <v>1835.4873439999999</v>
      </c>
      <c r="M16" s="86">
        <f t="shared" si="2"/>
        <v>2019.0360784</v>
      </c>
      <c r="N16" s="1">
        <f>'Tariff Jul 2018'!AW8</f>
        <v>0</v>
      </c>
      <c r="O16" s="1">
        <f>'Tariff Jul 2018'!AX8</f>
        <v>20</v>
      </c>
      <c r="P16" s="1">
        <f>'Tariff Jul 2018'!AY8</f>
        <v>0</v>
      </c>
      <c r="Q16" s="1">
        <f>'Tariff Jul 2018'!AZ8</f>
        <v>0</v>
      </c>
      <c r="R16" s="87">
        <f>($F$6*'Tariff Jul 2018'!AT8/100)*4</f>
        <v>391.60799999999995</v>
      </c>
      <c r="S16" s="298">
        <f>L16-(K16*O16/100)</f>
        <v>1533.6186751999999</v>
      </c>
      <c r="T16" s="298">
        <f>S16-(K16*Q16/100)</f>
        <v>1533.6186751999999</v>
      </c>
      <c r="U16" s="298">
        <f t="shared" si="4"/>
        <v>1142.0106751999999</v>
      </c>
      <c r="V16" s="298">
        <f t="shared" si="5"/>
        <v>1142.0106751999999</v>
      </c>
      <c r="W16" s="300">
        <f t="shared" si="6"/>
        <v>1256.2117427200001</v>
      </c>
      <c r="X16" s="300">
        <f t="shared" si="6"/>
        <v>1256.2117427200001</v>
      </c>
      <c r="Y16" s="88">
        <f>'Tariff Jul 2018'!AT8</f>
        <v>15</v>
      </c>
      <c r="Z16" s="89">
        <f>'Tariff Jul 2018'!BI8</f>
        <v>0</v>
      </c>
      <c r="AA16" s="89" t="str">
        <f>'Tariff Jul 2018'!BJ8</f>
        <v>n</v>
      </c>
      <c r="AB16" s="90">
        <f>'Tariff Jul 2018'!G8</f>
        <v>41859</v>
      </c>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row>
    <row r="17" spans="1:88" ht="14" x14ac:dyDescent="0.15">
      <c r="A17" s="63" t="str">
        <f>'Tariff Jul 2018'!K9</f>
        <v>Lumo Energy</v>
      </c>
      <c r="B17" s="1" t="str">
        <f>'Tariff Jul 2018'!L9</f>
        <v>Advantage</v>
      </c>
      <c r="C17" s="84">
        <f>91*'Tariff Jul 2018'!M9/100</f>
        <v>80.08</v>
      </c>
      <c r="D17" s="84">
        <f>IF($F$5&gt;='Tariff Jul 2018'!P9,('Tariff Jul 2018'!P9*'Tariff Jul 2018'!N9/100),($F$5*'Tariff Jul 2018'!N9/100))</f>
        <v>348.14519999999999</v>
      </c>
      <c r="E17" s="84">
        <v>0</v>
      </c>
      <c r="F17" s="85">
        <v>0</v>
      </c>
      <c r="G17" s="84">
        <v>0</v>
      </c>
      <c r="H17" s="84">
        <v>0</v>
      </c>
      <c r="I17" s="84">
        <f>IF(($F$5&lt;'Tariff Jul 2018'!T9),(0),($F$5-'Tariff Jul 2018'!T9)*'Tariff Jul 2018'!U9/100)</f>
        <v>0</v>
      </c>
      <c r="J17" s="84">
        <f t="shared" si="0"/>
        <v>428.22519999999997</v>
      </c>
      <c r="K17" s="298">
        <f t="shared" si="7"/>
        <v>1392.5808</v>
      </c>
      <c r="L17" s="86">
        <f t="shared" si="1"/>
        <v>1712.9007999999999</v>
      </c>
      <c r="M17" s="86">
        <f t="shared" si="2"/>
        <v>1884.1908800000001</v>
      </c>
      <c r="N17" s="1">
        <f>'Tariff Jul 2018'!AW9</f>
        <v>0</v>
      </c>
      <c r="O17" s="1">
        <f>'Tariff Jul 2018'!AX9</f>
        <v>0</v>
      </c>
      <c r="P17" s="1">
        <f>'Tariff Jul 2018'!AY9</f>
        <v>15</v>
      </c>
      <c r="Q17" s="1">
        <f>'Tariff Jul 2018'!AZ9</f>
        <v>0</v>
      </c>
      <c r="R17" s="87">
        <f>($F$6*'Tariff Jul 2018'!AT9/100)*4</f>
        <v>417.71519999999998</v>
      </c>
      <c r="S17" s="298">
        <f t="shared" si="3"/>
        <v>1712.9007999999999</v>
      </c>
      <c r="T17" s="298">
        <f>S17-(S17*P17/100)</f>
        <v>1455.9656799999998</v>
      </c>
      <c r="U17" s="298">
        <f t="shared" si="4"/>
        <v>1295.1855999999998</v>
      </c>
      <c r="V17" s="298">
        <f t="shared" si="5"/>
        <v>1038.2504799999997</v>
      </c>
      <c r="W17" s="300">
        <f t="shared" si="6"/>
        <v>1424.70416</v>
      </c>
      <c r="X17" s="300">
        <f t="shared" si="6"/>
        <v>1142.0755279999998</v>
      </c>
      <c r="Y17" s="88">
        <f>'Tariff Jul 2018'!AT9</f>
        <v>16</v>
      </c>
      <c r="Z17" s="89">
        <f>'Tariff Jul 2018'!BI9</f>
        <v>0</v>
      </c>
      <c r="AA17" s="89" t="str">
        <f>'Tariff Jul 2018'!BJ9</f>
        <v>n</v>
      </c>
      <c r="AB17" s="90">
        <f>'Tariff Jul 2018'!G9</f>
        <v>41851</v>
      </c>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row>
    <row r="18" spans="1:88" ht="14" x14ac:dyDescent="0.15">
      <c r="A18" s="63" t="str">
        <f>'Tariff Jul 2018'!K10</f>
        <v>Momentum Energy</v>
      </c>
      <c r="B18" s="1" t="str">
        <f>'Tariff Jul 2018'!L10</f>
        <v>SmilePower</v>
      </c>
      <c r="C18" s="84">
        <f>91*'Tariff Jul 2018'!M10/100</f>
        <v>88.242699999999999</v>
      </c>
      <c r="D18" s="84">
        <f>IF($F$5&gt;='Tariff Jul 2018'!P10,('Tariff Jul 2018'!P10*'Tariff Jul 2018'!N10/100),($F$5*'Tariff Jul 2018'!N10/100))</f>
        <v>219.42</v>
      </c>
      <c r="E18" s="84">
        <v>0</v>
      </c>
      <c r="F18" s="85">
        <v>0</v>
      </c>
      <c r="G18" s="84">
        <v>0</v>
      </c>
      <c r="H18" s="84">
        <v>0</v>
      </c>
      <c r="I18" s="84">
        <f>IF(($F$5&lt;'Tariff Jul 2018'!T10),(0),($F$5-'Tariff Jul 2018'!T10)*'Tariff Jul 2018'!U10/100)</f>
        <v>107.03307599999998</v>
      </c>
      <c r="J18" s="84">
        <f t="shared" si="0"/>
        <v>414.69577599999997</v>
      </c>
      <c r="K18" s="298">
        <f t="shared" si="7"/>
        <v>1305.8123039999998</v>
      </c>
      <c r="L18" s="86">
        <f t="shared" si="1"/>
        <v>1658.7831039999999</v>
      </c>
      <c r="M18" s="86">
        <f t="shared" si="2"/>
        <v>1824.6614144</v>
      </c>
      <c r="N18" s="1">
        <f>'Tariff Jul 2018'!AW10</f>
        <v>0</v>
      </c>
      <c r="O18" s="1">
        <f>'Tariff Jul 2018'!AX10</f>
        <v>0</v>
      </c>
      <c r="P18" s="1">
        <f>'Tariff Jul 2018'!AY10</f>
        <v>0</v>
      </c>
      <c r="Q18" s="1">
        <f>'Tariff Jul 2018'!AZ10</f>
        <v>0</v>
      </c>
      <c r="R18" s="87">
        <f>($F$6*'Tariff Jul 2018'!AT10/100)*4</f>
        <v>177.52895999999998</v>
      </c>
      <c r="S18" s="298">
        <f t="shared" si="3"/>
        <v>1658.7831039999999</v>
      </c>
      <c r="T18" s="298">
        <f>S18</f>
        <v>1658.7831039999999</v>
      </c>
      <c r="U18" s="298">
        <f t="shared" si="4"/>
        <v>1481.254144</v>
      </c>
      <c r="V18" s="298">
        <f t="shared" si="5"/>
        <v>1481.254144</v>
      </c>
      <c r="W18" s="300">
        <f t="shared" si="6"/>
        <v>1629.3795584000002</v>
      </c>
      <c r="X18" s="300">
        <f t="shared" si="6"/>
        <v>1629.3795584000002</v>
      </c>
      <c r="Y18" s="88">
        <f>'Tariff Jul 2018'!AT10</f>
        <v>6.8</v>
      </c>
      <c r="Z18" s="89">
        <f>'Tariff Jul 2018'!BI10</f>
        <v>0</v>
      </c>
      <c r="AA18" s="89" t="str">
        <f>'Tariff Jul 2018'!BJ10</f>
        <v>n</v>
      </c>
      <c r="AB18" s="90">
        <f>'Tariff Jul 2018'!G10</f>
        <v>41820</v>
      </c>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row>
    <row r="19" spans="1:88" ht="14" x14ac:dyDescent="0.15">
      <c r="A19" s="63" t="str">
        <f>'Tariff Jul 2018'!K11</f>
        <v>Origin Energy</v>
      </c>
      <c r="B19" s="1" t="str">
        <f>'Tariff Jul 2018'!L11</f>
        <v>Solar Boost Plus</v>
      </c>
      <c r="C19" s="84">
        <f>91*'Tariff Jul 2018'!M11/100</f>
        <v>74.729200000000006</v>
      </c>
      <c r="D19" s="84">
        <f>IF($F$5&gt;='Tariff Jul 2018'!P11,('Tariff Jul 2018'!P11*'Tariff Jul 2018'!N11/100),($F$5*'Tariff Jul 2018'!N11/100))</f>
        <v>324.75698399999999</v>
      </c>
      <c r="E19" s="84">
        <v>0</v>
      </c>
      <c r="F19" s="85">
        <v>0</v>
      </c>
      <c r="G19" s="84">
        <v>0</v>
      </c>
      <c r="H19" s="84">
        <v>0</v>
      </c>
      <c r="I19" s="84">
        <f>IF(($F$5&lt;'Tariff Jul 2018'!T11),(0),($F$5-'Tariff Jul 2018'!T11)*'Tariff Jul 2018'!U11/100)</f>
        <v>0</v>
      </c>
      <c r="J19" s="84">
        <f t="shared" si="0"/>
        <v>399.48618399999998</v>
      </c>
      <c r="K19" s="298">
        <f t="shared" si="7"/>
        <v>1299.027936</v>
      </c>
      <c r="L19" s="86">
        <f t="shared" si="1"/>
        <v>1597.9447359999999</v>
      </c>
      <c r="M19" s="86">
        <f t="shared" si="2"/>
        <v>1757.7392096000001</v>
      </c>
      <c r="N19" s="1">
        <f>'Tariff Jul 2018'!AW11</f>
        <v>0</v>
      </c>
      <c r="O19" s="1">
        <f>'Tariff Jul 2018'!AX11</f>
        <v>12</v>
      </c>
      <c r="P19" s="1">
        <f>'Tariff Jul 2018'!AY11</f>
        <v>0</v>
      </c>
      <c r="Q19" s="1">
        <f>'Tariff Jul 2018'!AZ11</f>
        <v>0</v>
      </c>
      <c r="R19" s="87">
        <f>($F$6*'Tariff Jul 2018'!AT11/100)*4</f>
        <v>522.14399999999989</v>
      </c>
      <c r="S19" s="298">
        <f>L19-(K19*O19/100)</f>
        <v>1442.0613836799998</v>
      </c>
      <c r="T19" s="298">
        <f>S19</f>
        <v>1442.0613836799998</v>
      </c>
      <c r="U19" s="298">
        <f t="shared" si="4"/>
        <v>919.91738367999994</v>
      </c>
      <c r="V19" s="298">
        <f t="shared" si="5"/>
        <v>919.91738367999994</v>
      </c>
      <c r="W19" s="300">
        <f t="shared" si="6"/>
        <v>1011.909122048</v>
      </c>
      <c r="X19" s="300">
        <f t="shared" si="6"/>
        <v>1011.909122048</v>
      </c>
      <c r="Y19" s="88">
        <f>'Tariff Jul 2018'!AT11</f>
        <v>20</v>
      </c>
      <c r="Z19" s="89">
        <f>'Tariff Jul 2018'!BI11</f>
        <v>0</v>
      </c>
      <c r="AA19" s="89" t="str">
        <f>'Tariff Jul 2018'!BJ11</f>
        <v>n</v>
      </c>
      <c r="AB19" s="90">
        <f>'Tariff Jul 2018'!G11</f>
        <v>41820</v>
      </c>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row>
    <row r="20" spans="1:88" ht="14" x14ac:dyDescent="0.15">
      <c r="A20" s="63" t="str">
        <f>'Tariff Jul 2018'!K12</f>
        <v>Powerdirect</v>
      </c>
      <c r="B20" s="1" t="str">
        <f>'Tariff Jul 2018'!L12</f>
        <v>Market offer</v>
      </c>
      <c r="C20" s="84">
        <f>91*'Tariff Jul 2018'!M12/100</f>
        <v>75.53</v>
      </c>
      <c r="D20" s="84">
        <f>$F$5*'Tariff Jul 2018'!N12/100</f>
        <v>337.43303999999995</v>
      </c>
      <c r="E20" s="84">
        <v>0</v>
      </c>
      <c r="F20" s="85">
        <v>0</v>
      </c>
      <c r="G20" s="84">
        <v>0</v>
      </c>
      <c r="H20" s="84">
        <v>0</v>
      </c>
      <c r="I20" s="84">
        <v>0</v>
      </c>
      <c r="J20" s="84">
        <f t="shared" si="0"/>
        <v>412.96303999999998</v>
      </c>
      <c r="K20" s="298">
        <f t="shared" si="7"/>
        <v>1349.73216</v>
      </c>
      <c r="L20" s="86">
        <f t="shared" si="1"/>
        <v>1651.8521599999999</v>
      </c>
      <c r="M20" s="86">
        <f t="shared" si="2"/>
        <v>1817.037376</v>
      </c>
      <c r="N20" s="1">
        <f>'Tariff Jul 2018'!AW12</f>
        <v>0</v>
      </c>
      <c r="O20" s="1">
        <f>'Tariff Jul 2018'!AX12</f>
        <v>0</v>
      </c>
      <c r="P20" s="1">
        <f>'Tariff Jul 2018'!AY12</f>
        <v>0</v>
      </c>
      <c r="Q20" s="1">
        <f>'Tariff Jul 2018'!AZ12</f>
        <v>17</v>
      </c>
      <c r="R20" s="87">
        <f>($F$6*'Tariff Jul 2018'!AT12/100)*4</f>
        <v>425.54735999999997</v>
      </c>
      <c r="S20" s="298">
        <f t="shared" si="3"/>
        <v>1651.8521599999999</v>
      </c>
      <c r="T20" s="298">
        <f>S20-(K20*Q20/100)</f>
        <v>1422.3976928</v>
      </c>
      <c r="U20" s="298">
        <f t="shared" si="4"/>
        <v>1226.3047999999999</v>
      </c>
      <c r="V20" s="298">
        <f t="shared" si="5"/>
        <v>996.85033279999993</v>
      </c>
      <c r="W20" s="300">
        <f t="shared" si="6"/>
        <v>1348.9352799999999</v>
      </c>
      <c r="X20" s="300">
        <f t="shared" si="6"/>
        <v>1096.5353660799999</v>
      </c>
      <c r="Y20" s="88">
        <f>'Tariff Jul 2018'!AT12</f>
        <v>16.3</v>
      </c>
      <c r="Z20" s="89">
        <f>'Tariff Jul 2018'!BI12</f>
        <v>0</v>
      </c>
      <c r="AA20" s="89" t="str">
        <f>'Tariff Jul 2018'!BJ12</f>
        <v>n</v>
      </c>
      <c r="AB20" s="90">
        <f>'Tariff Jul 2018'!G12</f>
        <v>41823</v>
      </c>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row>
    <row r="21" spans="1:88" ht="14" x14ac:dyDescent="0.15">
      <c r="A21" s="63" t="str">
        <f>'Tariff Jul 2018'!K13</f>
        <v>Simply Energy</v>
      </c>
      <c r="B21" s="1" t="str">
        <f>'Tariff Jul 2018'!L13</f>
        <v>Plus</v>
      </c>
      <c r="C21" s="84">
        <f>91*'Tariff Jul 2018'!M13/100</f>
        <v>74.328800000000015</v>
      </c>
      <c r="D21" s="84">
        <f>IF($F$5&gt;='Tariff Jul 2018'!P13,('Tariff Jul 2018'!P13*'Tariff Jul 2018'!N13/100),($F$5*'Tariff Jul 2018'!N13/100))</f>
        <v>339.12913200000003</v>
      </c>
      <c r="E21" s="84">
        <v>0</v>
      </c>
      <c r="F21" s="85">
        <v>0</v>
      </c>
      <c r="G21" s="84">
        <v>0</v>
      </c>
      <c r="H21" s="84">
        <v>0</v>
      </c>
      <c r="I21" s="84">
        <f>IF(($F$5&lt;'Tariff Jul 2018'!T13),(0),($F$5-'Tariff Jul 2018'!T13)*'Tariff Jul 2018'!U13/100)</f>
        <v>0</v>
      </c>
      <c r="J21" s="84">
        <f t="shared" si="0"/>
        <v>413.45793200000003</v>
      </c>
      <c r="K21" s="298">
        <f>(J21-C21)*4</f>
        <v>1356.5165280000001</v>
      </c>
      <c r="L21" s="86">
        <f t="shared" si="1"/>
        <v>1653.8317280000001</v>
      </c>
      <c r="M21" s="86">
        <f t="shared" si="2"/>
        <v>1819.2149008000004</v>
      </c>
      <c r="N21" s="1">
        <f>'Tariff Jul 2018'!AW13</f>
        <v>0</v>
      </c>
      <c r="O21" s="1">
        <f>'Tariff Jul 2018'!AX13</f>
        <v>0</v>
      </c>
      <c r="P21" s="1">
        <f>'Tariff Jul 2018'!AY13</f>
        <v>0</v>
      </c>
      <c r="Q21" s="1">
        <f>'Tariff Jul 2018'!AZ13</f>
        <v>18</v>
      </c>
      <c r="R21" s="87">
        <f>($F$6*'Tariff Jul 2018'!AT13/100)*4</f>
        <v>261.07199999999995</v>
      </c>
      <c r="S21" s="298">
        <f t="shared" si="3"/>
        <v>1653.8317280000001</v>
      </c>
      <c r="T21" s="298">
        <f>S21-(K21*Q21/100)</f>
        <v>1409.6587529600001</v>
      </c>
      <c r="U21" s="298">
        <f t="shared" si="4"/>
        <v>1392.7597280000002</v>
      </c>
      <c r="V21" s="298">
        <f t="shared" si="5"/>
        <v>1148.5867529600002</v>
      </c>
      <c r="W21" s="300">
        <f t="shared" si="6"/>
        <v>1532.0357008000003</v>
      </c>
      <c r="X21" s="300">
        <f t="shared" si="6"/>
        <v>1263.4454282560005</v>
      </c>
      <c r="Y21" s="88">
        <f>'Tariff Jul 2018'!AT13</f>
        <v>10</v>
      </c>
      <c r="Z21" s="89">
        <f>'Tariff Jul 2018'!BI13</f>
        <v>0</v>
      </c>
      <c r="AA21" s="89" t="str">
        <f>'Tariff Jul 2018'!BJ13</f>
        <v>n</v>
      </c>
      <c r="AB21" s="90">
        <f>'Tariff Jul 2018'!G13</f>
        <v>41858</v>
      </c>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row>
    <row r="22" spans="1:88" ht="14" x14ac:dyDescent="0.15">
      <c r="A22" s="63" t="str">
        <f>'Tariff Jul 2018'!K14</f>
        <v>Red Energy</v>
      </c>
      <c r="B22" s="1" t="str">
        <f>'Tariff Jul 2018'!L14</f>
        <v>No exit fee saver</v>
      </c>
      <c r="C22" s="84">
        <f>91*'Tariff Jul 2018'!M14/100</f>
        <v>77.304500000000004</v>
      </c>
      <c r="D22" s="84">
        <f>IF($F$5&gt;='Tariff Jul 2018'!P14,('Tariff Jul 2018'!P14*'Tariff Jul 2018'!N14/100),($F$5*'Tariff Jul 2018'!N14/100))</f>
        <v>336.09401999999994</v>
      </c>
      <c r="E22" s="84">
        <v>0</v>
      </c>
      <c r="F22" s="85">
        <v>0</v>
      </c>
      <c r="G22" s="84">
        <v>0</v>
      </c>
      <c r="H22" s="84">
        <v>0</v>
      </c>
      <c r="I22" s="84">
        <f>IF(($F$5&lt;'Tariff Jul 2018'!T14),(0),($F$5-'Tariff Jul 2018'!T14)*'Tariff Jul 2018'!U14/100)</f>
        <v>0</v>
      </c>
      <c r="J22" s="84">
        <f t="shared" si="0"/>
        <v>413.39851999999996</v>
      </c>
      <c r="K22" s="298">
        <f t="shared" si="7"/>
        <v>1344.3760799999998</v>
      </c>
      <c r="L22" s="86">
        <f t="shared" si="1"/>
        <v>1653.5940799999998</v>
      </c>
      <c r="M22" s="86">
        <f t="shared" si="2"/>
        <v>1818.9534879999999</v>
      </c>
      <c r="N22" s="1">
        <f>'Tariff Jul 2018'!AW14</f>
        <v>0</v>
      </c>
      <c r="O22" s="1">
        <f>'Tariff Jul 2018'!AX14</f>
        <v>0</v>
      </c>
      <c r="P22" s="1">
        <f>'Tariff Jul 2018'!AY14</f>
        <v>10</v>
      </c>
      <c r="Q22" s="1">
        <f>'Tariff Jul 2018'!AZ14</f>
        <v>0</v>
      </c>
      <c r="R22" s="87">
        <f>($F$6*'Tariff Jul 2018'!AT14/100)*4</f>
        <v>417.71519999999998</v>
      </c>
      <c r="S22" s="298">
        <f t="shared" si="3"/>
        <v>1653.5940799999998</v>
      </c>
      <c r="T22" s="298">
        <f>S22-(L22*P22/100)</f>
        <v>1488.2346719999998</v>
      </c>
      <c r="U22" s="298">
        <f t="shared" si="4"/>
        <v>1235.8788799999998</v>
      </c>
      <c r="V22" s="298">
        <f t="shared" si="5"/>
        <v>1070.519472</v>
      </c>
      <c r="W22" s="300">
        <f t="shared" si="6"/>
        <v>1359.4667679999998</v>
      </c>
      <c r="X22" s="300">
        <f t="shared" si="6"/>
        <v>1177.5714192</v>
      </c>
      <c r="Y22" s="88">
        <f>'Tariff Jul 2018'!AT14</f>
        <v>16</v>
      </c>
      <c r="Z22" s="89">
        <f>'Tariff Jul 2018'!BI14</f>
        <v>0</v>
      </c>
      <c r="AA22" s="89" t="str">
        <f>'Tariff Jul 2018'!BJ14</f>
        <v>n</v>
      </c>
      <c r="AB22" s="90">
        <f>'Tariff Jul 2018'!G14</f>
        <v>41844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row>
    <row r="23" spans="1:88" ht="15" thickBot="1" x14ac:dyDescent="0.2">
      <c r="A23" s="91" t="str">
        <f>'Tariff Jul 2018'!K15</f>
        <v>Amaysim</v>
      </c>
      <c r="B23" s="92" t="str">
        <f>'Tariff Jul 2018'!L15</f>
        <v>Solar 4</v>
      </c>
      <c r="C23" s="93">
        <f>91*'Tariff Jul 2018'!M15/100</f>
        <v>82.445999999999998</v>
      </c>
      <c r="D23" s="93">
        <f>IF($F$5&gt;='Tariff Jul 2018'!P15,('Tariff Jul 2018'!P15*'Tariff Jul 2018'!N15/100),($F$5*'Tariff Jul 2018'!N15/100))</f>
        <v>426.70103999999992</v>
      </c>
      <c r="E23" s="93">
        <v>0</v>
      </c>
      <c r="F23" s="94">
        <v>0</v>
      </c>
      <c r="G23" s="93">
        <v>0</v>
      </c>
      <c r="H23" s="93">
        <v>0</v>
      </c>
      <c r="I23" s="93">
        <f>IF(($F$5&lt;'Tariff Jul 2018'!T15),(0),($F$5-'Tariff Jul 2018'!T15)*'Tariff Jul 2018'!U15/100)</f>
        <v>0</v>
      </c>
      <c r="J23" s="93">
        <f t="shared" ref="J23" si="8">SUM(C23:I23)</f>
        <v>509.14703999999995</v>
      </c>
      <c r="K23" s="299">
        <f t="shared" ref="K23" si="9">(J23-C23)*4</f>
        <v>1706.8041599999997</v>
      </c>
      <c r="L23" s="95">
        <f t="shared" ref="L23" si="10">J23*4</f>
        <v>2036.5881599999998</v>
      </c>
      <c r="M23" s="95">
        <f t="shared" ref="M23" si="11">L23*1.1</f>
        <v>2240.2469759999999</v>
      </c>
      <c r="N23" s="92">
        <f>'Tariff Jul 2018'!AW15</f>
        <v>0</v>
      </c>
      <c r="O23" s="92">
        <f>'Tariff Jul 2018'!AX15</f>
        <v>0</v>
      </c>
      <c r="P23" s="92">
        <f>'Tariff Jul 2018'!AY15</f>
        <v>5</v>
      </c>
      <c r="Q23" s="92">
        <f>'Tariff Jul 2018'!AZ15</f>
        <v>0</v>
      </c>
      <c r="R23" s="96">
        <f>($F$6*'Tariff Jul 2018'!AT15/100)*4</f>
        <v>522.14399999999989</v>
      </c>
      <c r="S23" s="298">
        <f t="shared" si="3"/>
        <v>2036.5881599999998</v>
      </c>
      <c r="T23" s="298">
        <f>S23-(L23*P23/100)</f>
        <v>1934.7587519999997</v>
      </c>
      <c r="U23" s="299">
        <f t="shared" ref="U23" si="12">S23-R23</f>
        <v>1514.44416</v>
      </c>
      <c r="V23" s="299">
        <f t="shared" ref="V23" si="13">T23-R23</f>
        <v>1412.614752</v>
      </c>
      <c r="W23" s="301">
        <f t="shared" ref="W23" si="14">U23*1.1</f>
        <v>1665.8885760000001</v>
      </c>
      <c r="X23" s="301">
        <f t="shared" ref="X23" si="15">V23*1.1</f>
        <v>1553.8762272000001</v>
      </c>
      <c r="Y23" s="97">
        <f>'Tariff Jul 2018'!AT15</f>
        <v>20</v>
      </c>
      <c r="Z23" s="98">
        <f>'Tariff Jul 2018'!BI15</f>
        <v>0</v>
      </c>
      <c r="AA23" s="98" t="str">
        <f>'Tariff Jul 2018'!BJ15</f>
        <v>n</v>
      </c>
      <c r="AB23" s="99">
        <f>'Tariff Jul 2018'!G15</f>
        <v>41787</v>
      </c>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row>
    <row r="24" spans="1:88" s="115" customFormat="1" ht="14" x14ac:dyDescent="0.15">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row>
    <row r="25" spans="1:88" s="115" customFormat="1" ht="15" thickBot="1" x14ac:dyDescent="0.2">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row>
    <row r="26" spans="1:88" ht="14" x14ac:dyDescent="0.15">
      <c r="A26" s="82" t="s">
        <v>154</v>
      </c>
      <c r="B26" s="83"/>
      <c r="C26" s="100"/>
      <c r="D26" s="100"/>
      <c r="E26" s="100"/>
      <c r="F26" s="100"/>
      <c r="G26" s="101"/>
      <c r="H26" s="101"/>
      <c r="I26" s="83"/>
      <c r="J26" s="83"/>
      <c r="K26" s="101"/>
      <c r="L26" s="83"/>
      <c r="M26" s="83"/>
      <c r="N26" s="83"/>
      <c r="O26" s="83"/>
      <c r="P26" s="83"/>
      <c r="Q26" s="83"/>
      <c r="R26" s="83"/>
      <c r="S26" s="83"/>
      <c r="T26" s="83"/>
      <c r="U26" s="83"/>
      <c r="V26" s="83"/>
      <c r="W26" s="83"/>
      <c r="X26" s="83"/>
      <c r="Y26" s="83"/>
      <c r="Z26" s="83"/>
      <c r="AA26" s="83"/>
      <c r="AB26" s="18"/>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row>
    <row r="27" spans="1:88" ht="90" x14ac:dyDescent="0.15">
      <c r="A27" s="287" t="s">
        <v>231</v>
      </c>
      <c r="B27" s="288" t="s">
        <v>243</v>
      </c>
      <c r="C27" s="289" t="s">
        <v>244</v>
      </c>
      <c r="D27" s="289" t="s">
        <v>227</v>
      </c>
      <c r="E27" s="290" t="s">
        <v>357</v>
      </c>
      <c r="F27" s="290" t="s">
        <v>358</v>
      </c>
      <c r="G27" s="290" t="s">
        <v>329</v>
      </c>
      <c r="H27" s="290" t="s">
        <v>222</v>
      </c>
      <c r="I27" s="290" t="s">
        <v>223</v>
      </c>
      <c r="J27" s="290" t="s">
        <v>799</v>
      </c>
      <c r="K27" s="296" t="s">
        <v>246</v>
      </c>
      <c r="L27" s="296" t="s">
        <v>247</v>
      </c>
      <c r="M27" s="291" t="s">
        <v>248</v>
      </c>
      <c r="N27" s="292" t="s">
        <v>249</v>
      </c>
      <c r="O27" s="292" t="s">
        <v>250</v>
      </c>
      <c r="P27" s="292" t="s">
        <v>251</v>
      </c>
      <c r="Q27" s="292" t="s">
        <v>365</v>
      </c>
      <c r="R27" s="293" t="s">
        <v>373</v>
      </c>
      <c r="S27" s="297" t="s">
        <v>255</v>
      </c>
      <c r="T27" s="297" t="s">
        <v>224</v>
      </c>
      <c r="U27" s="297" t="s">
        <v>374</v>
      </c>
      <c r="V27" s="297" t="s">
        <v>375</v>
      </c>
      <c r="W27" s="293" t="s">
        <v>376</v>
      </c>
      <c r="X27" s="293" t="s">
        <v>436</v>
      </c>
      <c r="Y27" s="292" t="s">
        <v>155</v>
      </c>
      <c r="Z27" s="295" t="s">
        <v>225</v>
      </c>
      <c r="AA27" s="292" t="s">
        <v>226</v>
      </c>
      <c r="AB27" s="294" t="s">
        <v>221</v>
      </c>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row>
    <row r="28" spans="1:88" ht="14" x14ac:dyDescent="0.15">
      <c r="A28" s="63" t="str">
        <f>'Tariff Jul 2018'!K16</f>
        <v>AGL</v>
      </c>
      <c r="B28" s="1" t="str">
        <f>'Tariff Jul 2018'!L16</f>
        <v xml:space="preserve">Solar Savers </v>
      </c>
      <c r="C28" s="102">
        <f>91*'Tariff Jul 2018'!M16/100</f>
        <v>75.53</v>
      </c>
      <c r="D28" s="102">
        <f>$H$5*'Tariff Jul 2018'!N16/100</f>
        <v>269.94643199999996</v>
      </c>
      <c r="E28" s="102">
        <v>0</v>
      </c>
      <c r="F28" s="102">
        <v>0</v>
      </c>
      <c r="G28" s="102">
        <v>0</v>
      </c>
      <c r="H28" s="102">
        <f>($I$5)*'Tariff Jul 2018'!AE16/100</f>
        <v>39.099383999999993</v>
      </c>
      <c r="I28" s="102">
        <v>0</v>
      </c>
      <c r="J28" s="102">
        <f>SUM(C28:I28)</f>
        <v>384.57581599999992</v>
      </c>
      <c r="K28" s="298">
        <f>(J28-C28)*4</f>
        <v>1236.1832639999998</v>
      </c>
      <c r="L28" s="86">
        <f>J28*4</f>
        <v>1538.3032639999997</v>
      </c>
      <c r="M28" s="86">
        <f>L28*1.1</f>
        <v>1692.1335903999998</v>
      </c>
      <c r="N28" s="1">
        <f>'Tariff Jul 2018'!AW16</f>
        <v>0</v>
      </c>
      <c r="O28" s="1">
        <f>'Tariff Jul 2018'!AX16</f>
        <v>0</v>
      </c>
      <c r="P28" s="1">
        <f>'Tariff Jul 2018'!AY16</f>
        <v>0</v>
      </c>
      <c r="Q28" s="1">
        <f>'Tariff Jul 2018'!AZ16</f>
        <v>0</v>
      </c>
      <c r="R28" s="87">
        <f>($F$6*'Tariff Jul 2018'!AT16/100)*4</f>
        <v>522.14399999999989</v>
      </c>
      <c r="S28" s="298">
        <f>L28</f>
        <v>1538.3032639999997</v>
      </c>
      <c r="T28" s="298">
        <f>S28-(K28*Q28/100)</f>
        <v>1538.3032639999997</v>
      </c>
      <c r="U28" s="298">
        <f>S28-R28</f>
        <v>1016.1592639999998</v>
      </c>
      <c r="V28" s="298">
        <f>T28-R28</f>
        <v>1016.1592639999998</v>
      </c>
      <c r="W28" s="300">
        <f>U28*1.1</f>
        <v>1117.7751903999999</v>
      </c>
      <c r="X28" s="300">
        <f>V28*1.1</f>
        <v>1117.7751903999999</v>
      </c>
      <c r="Y28" s="88">
        <f>'Tariff Jul 2018'!AT14</f>
        <v>16</v>
      </c>
      <c r="Z28" s="89">
        <f>'Tariff Jul 2018'!BI16</f>
        <v>0</v>
      </c>
      <c r="AA28" s="89" t="str">
        <f>'Tariff Jul 2018'!BJ16</f>
        <v>n</v>
      </c>
      <c r="AB28" s="90">
        <f>'Tariff Jul 2018'!G16</f>
        <v>41851</v>
      </c>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row>
    <row r="29" spans="1:88" ht="14" x14ac:dyDescent="0.15">
      <c r="A29" s="63" t="str">
        <f>'Tariff Jul 2018'!K17</f>
        <v>Alinta Energy</v>
      </c>
      <c r="B29" s="1" t="str">
        <f>'Tariff Jul 2018'!L17</f>
        <v>Fair Deal</v>
      </c>
      <c r="C29" s="102">
        <f>91*'Tariff Jul 2018'!M17/100</f>
        <v>75.53</v>
      </c>
      <c r="D29" s="102">
        <f>IF($H$5&gt;='Tariff Jul 2018'!P17,('Tariff Jul 2018'!P17*'Tariff Jul 2018'!N17/100),(($H$5)*'Tariff Jul 2018'!N17/100))</f>
        <v>117</v>
      </c>
      <c r="E29" s="102">
        <f>IF($H$5&lt;'Tariff Jul 2018'!P17,0,IF(($H$5-'Tariff Jul 2018'!P17)&lt;='Tariff Jul 2018'!R17,(($H$5-'Tariff Jul 2018'!P17)*'Tariff Jul 2018'!Q17/100),(('Tariff Jul 2018'!R17-'Tariff Jul 2018'!P17)*'Tariff Jul 2018'!Q17/100)))</f>
        <v>179.94556799999995</v>
      </c>
      <c r="F29" s="102">
        <f>IF($H$5&lt;'Tariff Jul 2018'!R17,0,IF(($H$5-'Tariff Jul 2018'!R17)&lt;='Tariff Jul 2018'!T17,(($H$5-'Tariff Jul 2018'!R17)*'Tariff Jul 2018'!S17/100),(('Tariff Jul 2018'!T17-'Tariff Jul 2018'!R17)*'Tariff Jul 2018'!S17/100)))</f>
        <v>0</v>
      </c>
      <c r="G29" s="102">
        <f>IF(($H$5&lt;'Tariff Jul 2018'!T17),(0),($H$5-'Tariff Jul 2018'!T17)*'Tariff Jul 2018'!U17/100)</f>
        <v>0</v>
      </c>
      <c r="H29" s="102">
        <f>IF($I$5&gt;='Tariff Jul 2018'!AF17,('Tariff Jul 2018'!AF17*'Tariff Jul 2018'!AE17/100),(($I$5)*'Tariff Jul 2018'!AE17/100))</f>
        <v>0</v>
      </c>
      <c r="I29" s="102">
        <f>IF((I5&lt;'Tariff Jul 2018'!AF17),(0),(I5-'Tariff Jul 2018'!AF17)*'Tariff Jul 2018'!AG17/100)</f>
        <v>0</v>
      </c>
      <c r="J29" s="102">
        <f t="shared" ref="J29:J40" si="16">SUM(C29:I29)</f>
        <v>372.47556799999995</v>
      </c>
      <c r="K29" s="298">
        <f>(J29-C29)*4</f>
        <v>1187.7822719999999</v>
      </c>
      <c r="L29" s="86">
        <f t="shared" ref="L29:L40" si="17">J29*4</f>
        <v>1489.9022719999998</v>
      </c>
      <c r="M29" s="86">
        <f t="shared" ref="M29:M40" si="18">L29*1.1</f>
        <v>1638.8924992</v>
      </c>
      <c r="N29" s="1">
        <f>'Tariff Jul 2018'!AW17</f>
        <v>0</v>
      </c>
      <c r="O29" s="1">
        <f>'Tariff Jul 2018'!AX17</f>
        <v>0</v>
      </c>
      <c r="P29" s="1">
        <f>'Tariff Jul 2018'!AY17</f>
        <v>0</v>
      </c>
      <c r="Q29" s="1">
        <f>'Tariff Jul 2018'!AZ17</f>
        <v>25</v>
      </c>
      <c r="R29" s="87">
        <f>($F$6*'Tariff Jul 2018'!AT17/100)*4</f>
        <v>248.01839999999996</v>
      </c>
      <c r="S29" s="298">
        <f t="shared" ref="S29:S33" si="19">L29</f>
        <v>1489.9022719999998</v>
      </c>
      <c r="T29" s="298">
        <f>S29-(K29*Q29/100)</f>
        <v>1192.9567039999997</v>
      </c>
      <c r="U29" s="298">
        <f t="shared" ref="U29:U40" si="20">S29-R29</f>
        <v>1241.8838719999999</v>
      </c>
      <c r="V29" s="298">
        <f t="shared" ref="V29:V40" si="21">T29-R29</f>
        <v>944.93830399999979</v>
      </c>
      <c r="W29" s="300">
        <f t="shared" ref="W29:X40" si="22">U29*1.1</f>
        <v>1366.0722592</v>
      </c>
      <c r="X29" s="300">
        <f t="shared" si="22"/>
        <v>1039.4321343999998</v>
      </c>
      <c r="Y29" s="88">
        <f>'Tariff Jul 2018'!AT16</f>
        <v>20</v>
      </c>
      <c r="Z29" s="89">
        <f>'Tariff Jul 2018'!BI17</f>
        <v>0</v>
      </c>
      <c r="AA29" s="89" t="str">
        <f>'Tariff Jul 2018'!BJ17</f>
        <v>n</v>
      </c>
      <c r="AB29" s="90">
        <f>'Tariff Jul 2018'!G17</f>
        <v>41865</v>
      </c>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row>
    <row r="30" spans="1:88" ht="14" x14ac:dyDescent="0.15">
      <c r="A30" s="63" t="str">
        <f>'Tariff Jul 2018'!K18</f>
        <v>Click Energy</v>
      </c>
      <c r="B30" s="1" t="str">
        <f>'Tariff Jul 2018'!L18</f>
        <v>Solar Light</v>
      </c>
      <c r="C30" s="102">
        <f>91*'Tariff Jul 2018'!M18/100</f>
        <v>82.445999999999998</v>
      </c>
      <c r="D30" s="102">
        <f>IF($H$5&gt;='Tariff Jul 2018'!P18,('Tariff Jul 2018'!P18*'Tariff Jul 2018'!N18/100),(($H$5)*'Tariff Jul 2018'!N18/100))</f>
        <v>341.36083199999996</v>
      </c>
      <c r="E30" s="102">
        <v>0</v>
      </c>
      <c r="F30" s="102">
        <v>0</v>
      </c>
      <c r="G30" s="102">
        <f>IF(($H$5&lt;'Tariff Jul 2018'!T18),(0),($H$5-'Tariff Jul 2018'!T18)*'Tariff Jul 2018'!U18/100)</f>
        <v>0</v>
      </c>
      <c r="H30" s="102">
        <f>($I$5)*'Tariff Jul 2018'!AE18/100</f>
        <v>69.986111999999991</v>
      </c>
      <c r="I30" s="102">
        <v>0</v>
      </c>
      <c r="J30" s="102">
        <f t="shared" si="16"/>
        <v>493.79294399999998</v>
      </c>
      <c r="K30" s="298">
        <f t="shared" ref="K30:K40" si="23">(J30-C30)*4</f>
        <v>1645.387776</v>
      </c>
      <c r="L30" s="86">
        <f t="shared" si="17"/>
        <v>1975.1717759999999</v>
      </c>
      <c r="M30" s="86">
        <f t="shared" si="18"/>
        <v>2172.6889535999999</v>
      </c>
      <c r="N30" s="1">
        <f>'Tariff Jul 2018'!AW18</f>
        <v>0</v>
      </c>
      <c r="O30" s="1">
        <f>'Tariff Jul 2018'!AX18</f>
        <v>0</v>
      </c>
      <c r="P30" s="1">
        <f>'Tariff Jul 2018'!AY18</f>
        <v>24</v>
      </c>
      <c r="Q30" s="1">
        <f>'Tariff Jul 2018'!AZ18</f>
        <v>0</v>
      </c>
      <c r="R30" s="87">
        <f>($F$6*'Tariff Jul 2018'!AT18/100)*4</f>
        <v>391.60799999999995</v>
      </c>
      <c r="S30" s="298">
        <f t="shared" si="19"/>
        <v>1975.1717759999999</v>
      </c>
      <c r="T30" s="298">
        <f>S30-(S30*P30/100)</f>
        <v>1501.1305497599999</v>
      </c>
      <c r="U30" s="298">
        <f t="shared" si="20"/>
        <v>1583.563776</v>
      </c>
      <c r="V30" s="298">
        <f t="shared" si="21"/>
        <v>1109.5225497599999</v>
      </c>
      <c r="W30" s="300">
        <f t="shared" si="22"/>
        <v>1741.9201536</v>
      </c>
      <c r="X30" s="300">
        <f t="shared" si="22"/>
        <v>1220.4748047360001</v>
      </c>
      <c r="Y30" s="88">
        <f>'Tariff Jul 2018'!AT17</f>
        <v>9.5</v>
      </c>
      <c r="Z30" s="89">
        <f>'Tariff Jul 2018'!BI18</f>
        <v>0</v>
      </c>
      <c r="AA30" s="89" t="str">
        <f>'Tariff Jul 2018'!BJ18</f>
        <v>n</v>
      </c>
      <c r="AB30" s="90">
        <f>'Tariff Jul 2018'!G18</f>
        <v>41698</v>
      </c>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row>
    <row r="31" spans="1:88" ht="14" x14ac:dyDescent="0.15">
      <c r="A31" s="63" t="str">
        <f>'Tariff Jul 2018'!K19</f>
        <v>Commander</v>
      </c>
      <c r="B31" s="1" t="str">
        <f>'Tariff Jul 2018'!L19</f>
        <v>Market offer</v>
      </c>
      <c r="C31" s="102">
        <f>91*'Tariff Jul 2018'!M19/100</f>
        <v>73.664500000000004</v>
      </c>
      <c r="D31" s="102">
        <f>IF($H$5&gt;='Tariff Jul 2018'!P19,('Tariff Jul 2018'!P19*'Tariff Jul 2018'!N19/100),(($H$5)*'Tariff Jul 2018'!N19/100))</f>
        <v>292.08489599999996</v>
      </c>
      <c r="E31" s="102">
        <v>0</v>
      </c>
      <c r="F31" s="102">
        <v>0</v>
      </c>
      <c r="G31" s="102">
        <f>IF(($H$5&lt;'Tariff Jul 2018'!T19),(0),($H$5-'Tariff Jul 2018'!T19)*'Tariff Jul 2018'!U19/100)</f>
        <v>0</v>
      </c>
      <c r="H31" s="102">
        <f>($I$5)*'Tariff Jul 2018'!AE19/100</f>
        <v>40.152746399999991</v>
      </c>
      <c r="I31" s="102">
        <v>0</v>
      </c>
      <c r="J31" s="102">
        <f t="shared" si="16"/>
        <v>405.90214239999995</v>
      </c>
      <c r="K31" s="298">
        <f t="shared" si="23"/>
        <v>1328.9505695999997</v>
      </c>
      <c r="L31" s="86">
        <f t="shared" si="17"/>
        <v>1623.6085695999998</v>
      </c>
      <c r="M31" s="86">
        <f t="shared" si="18"/>
        <v>1785.9694265599999</v>
      </c>
      <c r="N31" s="1">
        <f>'Tariff Jul 2018'!AW19</f>
        <v>0</v>
      </c>
      <c r="O31" s="1">
        <f>'Tariff Jul 2018'!AX19</f>
        <v>0</v>
      </c>
      <c r="P31" s="1">
        <f>'Tariff Jul 2018'!AY19</f>
        <v>0</v>
      </c>
      <c r="Q31" s="1">
        <f>'Tariff Jul 2018'!AZ19</f>
        <v>20</v>
      </c>
      <c r="R31" s="87">
        <f>($F$6*'Tariff Jul 2018'!AT19/100)*4</f>
        <v>302.84351999999996</v>
      </c>
      <c r="S31" s="298">
        <f t="shared" si="19"/>
        <v>1623.6085695999998</v>
      </c>
      <c r="T31" s="298">
        <f>S31-(K31*Q31/100)</f>
        <v>1357.8184556799997</v>
      </c>
      <c r="U31" s="298">
        <f t="shared" si="20"/>
        <v>1320.7650495999999</v>
      </c>
      <c r="V31" s="298">
        <f t="shared" si="21"/>
        <v>1054.9749356799998</v>
      </c>
      <c r="W31" s="300">
        <f t="shared" si="22"/>
        <v>1452.8415545600001</v>
      </c>
      <c r="X31" s="300">
        <f t="shared" si="22"/>
        <v>1160.4724292479998</v>
      </c>
      <c r="Y31" s="88">
        <f>'Tariff Jul 2018'!AT18</f>
        <v>15</v>
      </c>
      <c r="Z31" s="89">
        <f>'Tariff Jul 2018'!BI19</f>
        <v>0</v>
      </c>
      <c r="AA31" s="89" t="str">
        <f>'Tariff Jul 2018'!BJ19</f>
        <v>n</v>
      </c>
      <c r="AB31" s="90">
        <f>'Tariff Jul 2018'!G19</f>
        <v>41847</v>
      </c>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row>
    <row r="32" spans="1:88" ht="14" x14ac:dyDescent="0.15">
      <c r="A32" s="63" t="str">
        <f>'Tariff Jul 2018'!K20</f>
        <v>Diamond Energy</v>
      </c>
      <c r="B32" s="1" t="str">
        <f>'Tariff Jul 2018'!L20</f>
        <v>Pay on time discount</v>
      </c>
      <c r="C32" s="102">
        <f>91*'Tariff Jul 2018'!M20/100</f>
        <v>79.124499999999998</v>
      </c>
      <c r="D32" s="102">
        <f>IF($H$5&gt;='Tariff Jul 2018'!P20,('Tariff Jul 2018'!P20*'Tariff Jul 2018'!N20/100),(($H$5)*'Tariff Jul 2018'!N20/100))</f>
        <v>99.78</v>
      </c>
      <c r="E32" s="102">
        <f>IF($H$5&lt;'Tariff Jul 2018'!P20,0,IF(($H$5-'Tariff Jul 2018'!P20)&lt;='Tariff Jul 2018'!R20,(($H$5-'Tariff Jul 2018'!P20)*'Tariff Jul 2018'!Q20/100),(('Tariff Jul 2018'!R20-'Tariff Jul 2018'!P20)*'Tariff Jul 2018'!Q20/100)))</f>
        <v>148.63628159999996</v>
      </c>
      <c r="F32" s="102">
        <f>IF($H$5&lt;'Tariff Jul 2018'!R20,0,IF(($H$5-'Tariff Jul 2018'!R20)&lt;='Tariff Jul 2018'!T20,(($H$5-'Tariff Jul 2018'!R20)*'Tariff Jul 2018'!S20/100),(('Tariff Jul 2018'!T20-'Tariff Jul 2018'!R20)*'Tariff Jul 2018'!S20/100)))</f>
        <v>0</v>
      </c>
      <c r="G32" s="102">
        <f>IF(($H$5&lt;'Tariff Jul 2018'!T20),(0),($H$5-'Tariff Jul 2018'!T20)*'Tariff Jul 2018'!U20/100)</f>
        <v>0</v>
      </c>
      <c r="H32" s="102">
        <f>($I$5)*'Tariff Jul 2018'!AE20/100</f>
        <v>35.617931999999989</v>
      </c>
      <c r="I32" s="102">
        <v>0</v>
      </c>
      <c r="J32" s="102">
        <f t="shared" si="16"/>
        <v>363.15871359999994</v>
      </c>
      <c r="K32" s="298">
        <f t="shared" si="23"/>
        <v>1136.1368543999997</v>
      </c>
      <c r="L32" s="86">
        <f t="shared" si="17"/>
        <v>1452.6348543999998</v>
      </c>
      <c r="M32" s="86">
        <f t="shared" si="18"/>
        <v>1597.8983398399998</v>
      </c>
      <c r="N32" s="1">
        <f>'Tariff Jul 2018'!AW20</f>
        <v>0</v>
      </c>
      <c r="O32" s="1">
        <f>'Tariff Jul 2018'!AX20</f>
        <v>0</v>
      </c>
      <c r="P32" s="1">
        <f>'Tariff Jul 2018'!AY20</f>
        <v>7</v>
      </c>
      <c r="Q32" s="1">
        <f>'Tariff Jul 2018'!AZ20</f>
        <v>0</v>
      </c>
      <c r="R32" s="87">
        <f>($F$6*'Tariff Jul 2018'!AT20/100)*4</f>
        <v>313.28640000000001</v>
      </c>
      <c r="S32" s="298">
        <f t="shared" si="19"/>
        <v>1452.6348543999998</v>
      </c>
      <c r="T32" s="298">
        <f>S32-(S32*P32/100)</f>
        <v>1350.9504145919998</v>
      </c>
      <c r="U32" s="298">
        <f t="shared" si="20"/>
        <v>1139.3484543999998</v>
      </c>
      <c r="V32" s="298">
        <f t="shared" si="21"/>
        <v>1037.6640145919998</v>
      </c>
      <c r="W32" s="300">
        <f t="shared" si="22"/>
        <v>1253.2832998399999</v>
      </c>
      <c r="X32" s="300">
        <f t="shared" si="22"/>
        <v>1141.4304160511999</v>
      </c>
      <c r="Y32" s="88">
        <f>'Tariff Jul 2018'!AT19</f>
        <v>11.6</v>
      </c>
      <c r="Z32" s="89">
        <f>'Tariff Jul 2018'!BI20</f>
        <v>0</v>
      </c>
      <c r="AA32" s="89" t="str">
        <f>'Tariff Jul 2018'!BJ20</f>
        <v>n</v>
      </c>
      <c r="AB32" s="90">
        <f>'Tariff Jul 2018'!G20</f>
        <v>41820</v>
      </c>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row>
    <row r="33" spans="1:88" ht="14" x14ac:dyDescent="0.15">
      <c r="A33" s="63" t="str">
        <f>'Tariff Jul 2018'!K21</f>
        <v>Dodo Power &amp; Gas</v>
      </c>
      <c r="B33" s="1" t="str">
        <f>'Tariff Jul 2018'!L21</f>
        <v>Market offer</v>
      </c>
      <c r="C33" s="102">
        <f>91*'Tariff Jul 2018'!M21/100</f>
        <v>73.664500000000004</v>
      </c>
      <c r="D33" s="102">
        <f>IF($H$5&gt;='Tariff Jul 2018'!P21,('Tariff Jul 2018'!P21*'Tariff Jul 2018'!N21/100),(($H$5)*'Tariff Jul 2018'!N21/100))</f>
        <v>304.58241599999997</v>
      </c>
      <c r="E33" s="102">
        <v>0</v>
      </c>
      <c r="F33" s="102">
        <v>0</v>
      </c>
      <c r="G33" s="102">
        <f>IF(($H$5&lt;'Tariff Jul 2018'!T21),(0),($H$5-'Tariff Jul 2018'!T21)*'Tariff Jul 2018'!U21/100)</f>
        <v>0</v>
      </c>
      <c r="H33" s="102">
        <f>($I$5)*'Tariff Jul 2018'!AE21/100</f>
        <v>41.866691999999993</v>
      </c>
      <c r="I33" s="102">
        <v>0</v>
      </c>
      <c r="J33" s="102">
        <f t="shared" si="16"/>
        <v>420.11360799999994</v>
      </c>
      <c r="K33" s="298">
        <f t="shared" si="23"/>
        <v>1385.7964319999996</v>
      </c>
      <c r="L33" s="86">
        <f t="shared" si="17"/>
        <v>1680.4544319999998</v>
      </c>
      <c r="M33" s="86">
        <f t="shared" si="18"/>
        <v>1848.4998751999999</v>
      </c>
      <c r="N33" s="1">
        <f>'Tariff Jul 2018'!AW21</f>
        <v>0</v>
      </c>
      <c r="O33" s="1">
        <f>'Tariff Jul 2018'!AX21</f>
        <v>0</v>
      </c>
      <c r="P33" s="1">
        <f>'Tariff Jul 2018'!AY21</f>
        <v>0</v>
      </c>
      <c r="Q33" s="1">
        <f>'Tariff Jul 2018'!AZ21</f>
        <v>0</v>
      </c>
      <c r="R33" s="87">
        <f>($F$6*'Tariff Jul 2018'!AT21/100)*4</f>
        <v>302.84351999999996</v>
      </c>
      <c r="S33" s="298">
        <f t="shared" si="19"/>
        <v>1680.4544319999998</v>
      </c>
      <c r="T33" s="298">
        <f>S33-(K33*Q33/100)</f>
        <v>1680.4544319999998</v>
      </c>
      <c r="U33" s="298">
        <f t="shared" si="20"/>
        <v>1377.6109119999999</v>
      </c>
      <c r="V33" s="298">
        <f t="shared" si="21"/>
        <v>1377.6109119999999</v>
      </c>
      <c r="W33" s="300">
        <f t="shared" si="22"/>
        <v>1515.3720031999999</v>
      </c>
      <c r="X33" s="300">
        <f t="shared" si="22"/>
        <v>1515.3720031999999</v>
      </c>
      <c r="Y33" s="88">
        <f>'Tariff Jul 2018'!AT20</f>
        <v>12</v>
      </c>
      <c r="Z33" s="89">
        <f>'Tariff Jul 2018'!BI21</f>
        <v>0</v>
      </c>
      <c r="AA33" s="89" t="str">
        <f>'Tariff Jul 2018'!BJ21</f>
        <v>n</v>
      </c>
      <c r="AB33" s="90">
        <f>'Tariff Jul 2018'!G21</f>
        <v>41846</v>
      </c>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row>
    <row r="34" spans="1:88" ht="14" x14ac:dyDescent="0.15">
      <c r="A34" s="63" t="str">
        <f>'Tariff Jul 2018'!K22</f>
        <v>EnergyAustralia</v>
      </c>
      <c r="B34" s="1" t="str">
        <f>'Tariff Jul 2018'!L22</f>
        <v>Anytime Saver</v>
      </c>
      <c r="C34" s="102">
        <f>91*'Tariff Jul 2018'!M22/100</f>
        <v>81.536000000000001</v>
      </c>
      <c r="D34" s="102">
        <f>IF($H$5&gt;='Tariff Jul 2018'!P22,('Tariff Jul 2018'!P22*'Tariff Jul 2018'!N22/100),(($H$5)*'Tariff Jul 2018'!N22/100))</f>
        <v>301.86866879999997</v>
      </c>
      <c r="E34" s="102">
        <v>0</v>
      </c>
      <c r="F34" s="102">
        <v>0</v>
      </c>
      <c r="G34" s="102">
        <f>IF(($H$5&lt;'Tariff Jul 2018'!T22),(0),($H$5-'Tariff Jul 2018'!T22)*'Tariff Jul 2018'!U22/100)</f>
        <v>0</v>
      </c>
      <c r="H34" s="102">
        <f>($I$5)*'Tariff Jul 2018'!AE22/100</f>
        <v>30.190437599999996</v>
      </c>
      <c r="I34" s="102">
        <v>0</v>
      </c>
      <c r="J34" s="102">
        <f t="shared" si="16"/>
        <v>413.59510639999996</v>
      </c>
      <c r="K34" s="298">
        <f t="shared" si="23"/>
        <v>1328.2364255999998</v>
      </c>
      <c r="L34" s="86">
        <f t="shared" si="17"/>
        <v>1654.3804255999999</v>
      </c>
      <c r="M34" s="86">
        <f t="shared" si="18"/>
        <v>1819.8184681600001</v>
      </c>
      <c r="N34" s="1">
        <f>'Tariff Jul 2018'!AW22</f>
        <v>0</v>
      </c>
      <c r="O34" s="1">
        <f>'Tariff Jul 2018'!AX22</f>
        <v>20</v>
      </c>
      <c r="P34" s="1">
        <f>'Tariff Jul 2018'!AY22</f>
        <v>0</v>
      </c>
      <c r="Q34" s="1">
        <f>'Tariff Jul 2018'!AZ22</f>
        <v>0</v>
      </c>
      <c r="R34" s="87">
        <f>($F$6*'Tariff Jul 2018'!AT22/100)*4</f>
        <v>391.60799999999995</v>
      </c>
      <c r="S34" s="298">
        <f>L34-(K34*O34/100)</f>
        <v>1388.7331404799997</v>
      </c>
      <c r="T34" s="298">
        <f>S34-(K34*Q34/100)</f>
        <v>1388.7331404799997</v>
      </c>
      <c r="U34" s="298">
        <f t="shared" si="20"/>
        <v>997.1251404799998</v>
      </c>
      <c r="V34" s="298">
        <f t="shared" si="21"/>
        <v>997.1251404799998</v>
      </c>
      <c r="W34" s="300">
        <f t="shared" si="22"/>
        <v>1096.8376545279998</v>
      </c>
      <c r="X34" s="300">
        <f t="shared" si="22"/>
        <v>1096.8376545279998</v>
      </c>
      <c r="Y34" s="88">
        <f>'Tariff Jul 2018'!AT21</f>
        <v>11.6</v>
      </c>
      <c r="Z34" s="89">
        <f>'Tariff Jul 2018'!BI22</f>
        <v>0</v>
      </c>
      <c r="AA34" s="89" t="str">
        <f>'Tariff Jul 2018'!BJ22</f>
        <v>n</v>
      </c>
      <c r="AB34" s="90">
        <f>'Tariff Jul 2018'!G22</f>
        <v>41859</v>
      </c>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row>
    <row r="35" spans="1:88" ht="14" x14ac:dyDescent="0.15">
      <c r="A35" s="63" t="str">
        <f>'Tariff Jul 2018'!K23</f>
        <v>Lumo Energy</v>
      </c>
      <c r="B35" s="1" t="str">
        <f>'Tariff Jul 2018'!L23</f>
        <v>Advantage</v>
      </c>
      <c r="C35" s="102">
        <f>91*'Tariff Jul 2018'!M23/100</f>
        <v>80.08</v>
      </c>
      <c r="D35" s="102">
        <f>IF($H$5&gt;='Tariff Jul 2018'!P23,('Tariff Jul 2018'!P23*'Tariff Jul 2018'!N23/100),(($H$5)*'Tariff Jul 2018'!N23/100))</f>
        <v>278.51615999999996</v>
      </c>
      <c r="E35" s="102">
        <v>0</v>
      </c>
      <c r="F35" s="102">
        <v>0</v>
      </c>
      <c r="G35" s="102">
        <f>IF(($H$5&lt;'Tariff Jul 2018'!T23),(0),($H$5-'Tariff Jul 2018'!T23)*'Tariff Jul 2018'!U23/100)</f>
        <v>0</v>
      </c>
      <c r="H35" s="102">
        <f>($I$5)*'Tariff Jul 2018'!AE23/100</f>
        <v>35.707199999999993</v>
      </c>
      <c r="I35" s="102">
        <v>0</v>
      </c>
      <c r="J35" s="102">
        <f t="shared" si="16"/>
        <v>394.30335999999994</v>
      </c>
      <c r="K35" s="298">
        <f t="shared" si="23"/>
        <v>1256.8934399999998</v>
      </c>
      <c r="L35" s="86">
        <f t="shared" si="17"/>
        <v>1577.2134399999998</v>
      </c>
      <c r="M35" s="86">
        <f t="shared" si="18"/>
        <v>1734.9347839999998</v>
      </c>
      <c r="N35" s="1">
        <f>'Tariff Jul 2018'!AW23</f>
        <v>0</v>
      </c>
      <c r="O35" s="1">
        <f>'Tariff Jul 2018'!AX23</f>
        <v>0</v>
      </c>
      <c r="P35" s="1">
        <f>'Tariff Jul 2018'!AY23</f>
        <v>15</v>
      </c>
      <c r="Q35" s="1">
        <f>'Tariff Jul 2018'!AZ23</f>
        <v>0</v>
      </c>
      <c r="R35" s="87">
        <f>($F$6*'Tariff Jul 2018'!AT23/100)*4</f>
        <v>417.71519999999998</v>
      </c>
      <c r="S35" s="298">
        <f t="shared" ref="S35:S36" si="24">L35</f>
        <v>1577.2134399999998</v>
      </c>
      <c r="T35" s="298">
        <f>S35-(S35*P35/100)</f>
        <v>1340.6314239999997</v>
      </c>
      <c r="U35" s="298">
        <f t="shared" si="20"/>
        <v>1159.4982399999999</v>
      </c>
      <c r="V35" s="298">
        <f t="shared" si="21"/>
        <v>922.91622399999972</v>
      </c>
      <c r="W35" s="300">
        <f t="shared" si="22"/>
        <v>1275.4480639999999</v>
      </c>
      <c r="X35" s="300">
        <f t="shared" si="22"/>
        <v>1015.2078463999998</v>
      </c>
      <c r="Y35" s="88">
        <f>'Tariff Jul 2018'!AT22</f>
        <v>15</v>
      </c>
      <c r="Z35" s="89">
        <f>'Tariff Jul 2018'!BI23</f>
        <v>0</v>
      </c>
      <c r="AA35" s="89" t="str">
        <f>'Tariff Jul 2018'!BJ23</f>
        <v>n</v>
      </c>
      <c r="AB35" s="90">
        <f>'Tariff Jul 2018'!G23</f>
        <v>41851</v>
      </c>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row>
    <row r="36" spans="1:88" ht="14" x14ac:dyDescent="0.15">
      <c r="A36" s="63" t="str">
        <f>'Tariff Jul 2018'!K24</f>
        <v>Momentum Energy</v>
      </c>
      <c r="B36" s="1" t="str">
        <f>'Tariff Jul 2018'!L24</f>
        <v>SmilePower</v>
      </c>
      <c r="C36" s="102">
        <f>91*'Tariff Jul 2018'!M24/100</f>
        <v>95.431700000000006</v>
      </c>
      <c r="D36" s="102">
        <f>IF($H$5&gt;='Tariff Jul 2018'!P24,('Tariff Jul 2018'!P24*'Tariff Jul 2018'!N24/100),(($H$5)*'Tariff Jul 2018'!N24/100))</f>
        <v>217.62000000000003</v>
      </c>
      <c r="E36" s="102">
        <v>0</v>
      </c>
      <c r="F36" s="102">
        <v>0</v>
      </c>
      <c r="G36" s="102">
        <f>IF(($H$5&lt;'Tariff Jul 2018'!T24),(0),($H$5-'Tariff Jul 2018'!T24)*'Tariff Jul 2018'!U24/100)</f>
        <v>41.400028799999966</v>
      </c>
      <c r="H36" s="102">
        <f>($I$5)*'Tariff Jul 2018'!AE24/100</f>
        <v>40.295575199999995</v>
      </c>
      <c r="I36" s="102">
        <v>0</v>
      </c>
      <c r="J36" s="102">
        <f t="shared" si="16"/>
        <v>394.74730399999999</v>
      </c>
      <c r="K36" s="298">
        <f t="shared" si="23"/>
        <v>1197.262416</v>
      </c>
      <c r="L36" s="86">
        <f t="shared" si="17"/>
        <v>1578.9892159999999</v>
      </c>
      <c r="M36" s="86">
        <f t="shared" si="18"/>
        <v>1736.8881376000002</v>
      </c>
      <c r="N36" s="1">
        <f>'Tariff Jul 2018'!AW24</f>
        <v>0</v>
      </c>
      <c r="O36" s="1">
        <f>'Tariff Jul 2018'!AX24</f>
        <v>0</v>
      </c>
      <c r="P36" s="1">
        <f>'Tariff Jul 2018'!AY24</f>
        <v>0</v>
      </c>
      <c r="Q36" s="1">
        <f>'Tariff Jul 2018'!AZ24</f>
        <v>0</v>
      </c>
      <c r="R36" s="87">
        <f>($F$6*'Tariff Jul 2018'!AT24/100)*4</f>
        <v>177.52895999999998</v>
      </c>
      <c r="S36" s="298">
        <f t="shared" si="24"/>
        <v>1578.9892159999999</v>
      </c>
      <c r="T36" s="298">
        <f>S36</f>
        <v>1578.9892159999999</v>
      </c>
      <c r="U36" s="298">
        <f t="shared" si="20"/>
        <v>1401.4602559999998</v>
      </c>
      <c r="V36" s="298">
        <f t="shared" si="21"/>
        <v>1401.4602559999998</v>
      </c>
      <c r="W36" s="300">
        <f t="shared" si="22"/>
        <v>1541.6062815999999</v>
      </c>
      <c r="X36" s="300">
        <f t="shared" si="22"/>
        <v>1541.6062815999999</v>
      </c>
      <c r="Y36" s="88">
        <f>'Tariff Jul 2018'!AT23</f>
        <v>16</v>
      </c>
      <c r="Z36" s="89">
        <f>'Tariff Jul 2018'!BI24</f>
        <v>0</v>
      </c>
      <c r="AA36" s="89" t="str">
        <f>'Tariff Jul 2018'!BJ24</f>
        <v>n</v>
      </c>
      <c r="AB36" s="90">
        <f>'Tariff Jul 2018'!G24</f>
        <v>41820</v>
      </c>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row>
    <row r="37" spans="1:88" ht="14" x14ac:dyDescent="0.15">
      <c r="A37" s="63" t="str">
        <f>'Tariff Jul 2018'!K25</f>
        <v>Origin Energy</v>
      </c>
      <c r="B37" s="1" t="str">
        <f>'Tariff Jul 2018'!L25</f>
        <v>Solar Boost Plus</v>
      </c>
      <c r="C37" s="102">
        <f>91*'Tariff Jul 2018'!M25/100</f>
        <v>74.729200000000006</v>
      </c>
      <c r="D37" s="102">
        <f>IF($H$5&gt;='Tariff Jul 2018'!P25,('Tariff Jul 2018'!P25*'Tariff Jul 2018'!N25/100),(($H$5)*'Tariff Jul 2018'!N25/100))</f>
        <v>259.80558719999999</v>
      </c>
      <c r="E37" s="102">
        <v>0</v>
      </c>
      <c r="F37" s="102">
        <v>0</v>
      </c>
      <c r="G37" s="102">
        <f>IF(($H$5&lt;'Tariff Jul 2018'!T25),(0),($H$5-'Tariff Jul 2018'!T25)*'Tariff Jul 2018'!U25/100)</f>
        <v>0</v>
      </c>
      <c r="H37" s="102">
        <f>($I$5)*'Tariff Jul 2018'!AE25/100</f>
        <v>34.028961599999995</v>
      </c>
      <c r="I37" s="102">
        <v>0</v>
      </c>
      <c r="J37" s="102">
        <f t="shared" si="16"/>
        <v>368.56374879999998</v>
      </c>
      <c r="K37" s="298">
        <f t="shared" si="23"/>
        <v>1175.3381952</v>
      </c>
      <c r="L37" s="86">
        <f t="shared" si="17"/>
        <v>1474.2549951999999</v>
      </c>
      <c r="M37" s="86">
        <f t="shared" si="18"/>
        <v>1621.6804947200001</v>
      </c>
      <c r="N37" s="1">
        <f>'Tariff Jul 2018'!AW25</f>
        <v>0</v>
      </c>
      <c r="O37" s="1">
        <f>'Tariff Jul 2018'!AX25</f>
        <v>12</v>
      </c>
      <c r="P37" s="1">
        <f>'Tariff Jul 2018'!AY25</f>
        <v>0</v>
      </c>
      <c r="Q37" s="1">
        <f>'Tariff Jul 2018'!AZ25</f>
        <v>0</v>
      </c>
      <c r="R37" s="87">
        <f>($F$6*'Tariff Jul 2018'!AT25/100)*4</f>
        <v>522.14399999999989</v>
      </c>
      <c r="S37" s="298">
        <f>L37-(K37*O37/100)</f>
        <v>1333.2144117759999</v>
      </c>
      <c r="T37" s="298">
        <f>S37</f>
        <v>1333.2144117759999</v>
      </c>
      <c r="U37" s="298">
        <f t="shared" si="20"/>
        <v>811.07041177600001</v>
      </c>
      <c r="V37" s="298">
        <f t="shared" si="21"/>
        <v>811.07041177600001</v>
      </c>
      <c r="W37" s="300">
        <f t="shared" si="22"/>
        <v>892.1774529536001</v>
      </c>
      <c r="X37" s="300">
        <f t="shared" si="22"/>
        <v>892.1774529536001</v>
      </c>
      <c r="Y37" s="88">
        <f>'Tariff Jul 2018'!AT24</f>
        <v>6.8</v>
      </c>
      <c r="Z37" s="89">
        <f>'Tariff Jul 2018'!BI25</f>
        <v>0</v>
      </c>
      <c r="AA37" s="89" t="str">
        <f>'Tariff Jul 2018'!BJ25</f>
        <v>n</v>
      </c>
      <c r="AB37" s="90">
        <f>'Tariff Jul 2018'!G25</f>
        <v>41820</v>
      </c>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row>
    <row r="38" spans="1:88" ht="14" x14ac:dyDescent="0.15">
      <c r="A38" s="63" t="str">
        <f>'Tariff Jul 2018'!K26</f>
        <v>Powerdirect</v>
      </c>
      <c r="B38" s="1" t="str">
        <f>'Tariff Jul 2018'!L26</f>
        <v>Market offer</v>
      </c>
      <c r="C38" s="102">
        <f>91*'Tariff Jul 2018'!M26/100</f>
        <v>75.53</v>
      </c>
      <c r="D38" s="102">
        <f>$H$5*'Tariff Jul 2018'!N26/100</f>
        <v>269.94643199999996</v>
      </c>
      <c r="E38" s="102">
        <v>0</v>
      </c>
      <c r="F38" s="102">
        <v>0</v>
      </c>
      <c r="G38" s="102">
        <v>0</v>
      </c>
      <c r="H38" s="102">
        <f>($I$5)*'Tariff Jul 2018'!AE26/100</f>
        <v>39.099383999999993</v>
      </c>
      <c r="I38" s="102">
        <v>0</v>
      </c>
      <c r="J38" s="102">
        <f t="shared" si="16"/>
        <v>384.57581599999992</v>
      </c>
      <c r="K38" s="298">
        <f t="shared" si="23"/>
        <v>1236.1832639999998</v>
      </c>
      <c r="L38" s="86">
        <f t="shared" si="17"/>
        <v>1538.3032639999997</v>
      </c>
      <c r="M38" s="86">
        <f t="shared" si="18"/>
        <v>1692.1335903999998</v>
      </c>
      <c r="N38" s="1">
        <f>'Tariff Jul 2018'!AW26</f>
        <v>0</v>
      </c>
      <c r="O38" s="1">
        <f>'Tariff Jul 2018'!AX26</f>
        <v>0</v>
      </c>
      <c r="P38" s="1">
        <f>'Tariff Jul 2018'!AY26</f>
        <v>0</v>
      </c>
      <c r="Q38" s="1">
        <f>'Tariff Jul 2018'!AZ26</f>
        <v>17</v>
      </c>
      <c r="R38" s="87">
        <f>($F$6*'Tariff Jul 2018'!AT26/100)*4</f>
        <v>425.54735999999997</v>
      </c>
      <c r="S38" s="298">
        <f t="shared" ref="S38:S41" si="25">L38</f>
        <v>1538.3032639999997</v>
      </c>
      <c r="T38" s="298">
        <f>S38-(K38*Q38/100)</f>
        <v>1328.1521091199997</v>
      </c>
      <c r="U38" s="298">
        <f t="shared" si="20"/>
        <v>1112.7559039999996</v>
      </c>
      <c r="V38" s="298">
        <f t="shared" si="21"/>
        <v>902.60474911999972</v>
      </c>
      <c r="W38" s="300">
        <f t="shared" si="22"/>
        <v>1224.0314943999997</v>
      </c>
      <c r="X38" s="300">
        <f t="shared" si="22"/>
        <v>992.86522403199979</v>
      </c>
      <c r="Y38" s="88">
        <f>'Tariff Jul 2018'!AT25</f>
        <v>20</v>
      </c>
      <c r="Z38" s="89">
        <f>'Tariff Jul 2018'!BI26</f>
        <v>0</v>
      </c>
      <c r="AA38" s="89" t="str">
        <f>'Tariff Jul 2018'!BJ26</f>
        <v>n</v>
      </c>
      <c r="AB38" s="90">
        <f>'Tariff Jul 2018'!G26</f>
        <v>41823</v>
      </c>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row>
    <row r="39" spans="1:88" ht="14" x14ac:dyDescent="0.15">
      <c r="A39" s="63" t="str">
        <f>'Tariff Jul 2018'!K27</f>
        <v>Simply Energy</v>
      </c>
      <c r="B39" s="1" t="str">
        <f>'Tariff Jul 2018'!L27</f>
        <v>Plus</v>
      </c>
      <c r="C39" s="102">
        <f>91*'Tariff Jul 2018'!M27/100</f>
        <v>74.328800000000015</v>
      </c>
      <c r="D39" s="102">
        <f>IF($H$5&gt;='Tariff Jul 2018'!P27,('Tariff Jul 2018'!P27*'Tariff Jul 2018'!N27/100),(($H$5)*'Tariff Jul 2018'!N27/100))</f>
        <v>271.30330559999999</v>
      </c>
      <c r="E39" s="102">
        <v>0</v>
      </c>
      <c r="F39" s="102">
        <v>0</v>
      </c>
      <c r="G39" s="102">
        <f>IF(($H$5&lt;'Tariff Jul 2018'!T27),(0),($H$5-'Tariff Jul 2018'!T27)*'Tariff Jul 2018'!U27/100)</f>
        <v>0</v>
      </c>
      <c r="H39" s="102">
        <f>($I$5)*'Tariff Jul 2018'!AE27/100</f>
        <v>49.079546399999991</v>
      </c>
      <c r="I39" s="102">
        <v>0</v>
      </c>
      <c r="J39" s="102">
        <f t="shared" si="16"/>
        <v>394.71165199999996</v>
      </c>
      <c r="K39" s="298">
        <f t="shared" si="23"/>
        <v>1281.5314079999998</v>
      </c>
      <c r="L39" s="86">
        <f t="shared" si="17"/>
        <v>1578.8466079999998</v>
      </c>
      <c r="M39" s="86">
        <f t="shared" si="18"/>
        <v>1736.7312688</v>
      </c>
      <c r="N39" s="1">
        <f>'Tariff Jul 2018'!AW27</f>
        <v>0</v>
      </c>
      <c r="O39" s="1">
        <f>'Tariff Jul 2018'!AX27</f>
        <v>0</v>
      </c>
      <c r="P39" s="1">
        <f>'Tariff Jul 2018'!AY27</f>
        <v>0</v>
      </c>
      <c r="Q39" s="1">
        <f>'Tariff Jul 2018'!AZ27</f>
        <v>18</v>
      </c>
      <c r="R39" s="87">
        <f>($F$6*'Tariff Jul 2018'!AT27/100)*4</f>
        <v>261.07199999999995</v>
      </c>
      <c r="S39" s="298">
        <f t="shared" si="25"/>
        <v>1578.8466079999998</v>
      </c>
      <c r="T39" s="298">
        <f>S39-(K39*Q39/100)</f>
        <v>1348.1709545599999</v>
      </c>
      <c r="U39" s="298">
        <f t="shared" si="20"/>
        <v>1317.7746079999999</v>
      </c>
      <c r="V39" s="298">
        <f t="shared" si="21"/>
        <v>1087.09895456</v>
      </c>
      <c r="W39" s="300">
        <f t="shared" si="22"/>
        <v>1449.5520688000001</v>
      </c>
      <c r="X39" s="300">
        <f t="shared" si="22"/>
        <v>1195.8088500160002</v>
      </c>
      <c r="Y39" s="88">
        <f>'Tariff Jul 2018'!AT26</f>
        <v>16.3</v>
      </c>
      <c r="Z39" s="89">
        <f>'Tariff Jul 2018'!BI27</f>
        <v>0</v>
      </c>
      <c r="AA39" s="89" t="str">
        <f>'Tariff Jul 2018'!BJ27</f>
        <v>n</v>
      </c>
      <c r="AB39" s="90">
        <f>'Tariff Jul 2018'!G27</f>
        <v>41858</v>
      </c>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row>
    <row r="40" spans="1:88" ht="14" x14ac:dyDescent="0.15">
      <c r="A40" s="63" t="str">
        <f>'Tariff Jul 2018'!K28</f>
        <v>Red Energy</v>
      </c>
      <c r="B40" s="1" t="str">
        <f>'Tariff Jul 2018'!L28</f>
        <v>No exit fee saver</v>
      </c>
      <c r="C40" s="102">
        <f>91*'Tariff Jul 2018'!M28/100</f>
        <v>77.304500000000004</v>
      </c>
      <c r="D40" s="102">
        <f>IF($H$5&gt;='Tariff Jul 2018'!P28,('Tariff Jul 2018'!P28*'Tariff Jul 2018'!N28/100),(($H$5)*'Tariff Jul 2018'!N28/100))</f>
        <v>268.87521599999997</v>
      </c>
      <c r="E40" s="102">
        <v>0</v>
      </c>
      <c r="F40" s="102">
        <v>0</v>
      </c>
      <c r="G40" s="102">
        <f>IF(($H$5&lt;'Tariff Jul 2018'!T28),(0),($H$5-'Tariff Jul 2018'!T28)*'Tariff Jul 2018'!U28/100)</f>
        <v>0</v>
      </c>
      <c r="H40" s="102">
        <f>($I$5)*'Tariff Jul 2018'!AE28/100</f>
        <v>34.546715999999996</v>
      </c>
      <c r="I40" s="102">
        <v>0</v>
      </c>
      <c r="J40" s="102">
        <f t="shared" si="16"/>
        <v>380.72643199999999</v>
      </c>
      <c r="K40" s="298">
        <f t="shared" si="23"/>
        <v>1213.6877279999999</v>
      </c>
      <c r="L40" s="86">
        <f t="shared" si="17"/>
        <v>1522.905728</v>
      </c>
      <c r="M40" s="86">
        <f t="shared" si="18"/>
        <v>1675.1963008</v>
      </c>
      <c r="N40" s="1">
        <f>'Tariff Jul 2018'!AW28</f>
        <v>0</v>
      </c>
      <c r="O40" s="1">
        <f>'Tariff Jul 2018'!AX28</f>
        <v>0</v>
      </c>
      <c r="P40" s="1">
        <f>'Tariff Jul 2018'!AY28</f>
        <v>10</v>
      </c>
      <c r="Q40" s="1">
        <f>'Tariff Jul 2018'!AZ28</f>
        <v>0</v>
      </c>
      <c r="R40" s="87">
        <f>($F$6*'Tariff Jul 2018'!AT28/100)*4</f>
        <v>417.71519999999998</v>
      </c>
      <c r="S40" s="298">
        <f t="shared" si="25"/>
        <v>1522.905728</v>
      </c>
      <c r="T40" s="298">
        <f>S40-(L40*P40/100)</f>
        <v>1370.6151551999999</v>
      </c>
      <c r="U40" s="298">
        <f t="shared" si="20"/>
        <v>1105.1905280000001</v>
      </c>
      <c r="V40" s="298">
        <f t="shared" si="21"/>
        <v>952.89995519999991</v>
      </c>
      <c r="W40" s="300">
        <f t="shared" si="22"/>
        <v>1215.7095808000001</v>
      </c>
      <c r="X40" s="300">
        <f t="shared" si="22"/>
        <v>1048.1899507200001</v>
      </c>
      <c r="Y40" s="88">
        <f>'Tariff Jul 2018'!AT27</f>
        <v>10</v>
      </c>
      <c r="Z40" s="89">
        <f>'Tariff Jul 2018'!BI28</f>
        <v>0</v>
      </c>
      <c r="AA40" s="89" t="str">
        <f>'Tariff Jul 2018'!BJ28</f>
        <v>n</v>
      </c>
      <c r="AB40" s="90">
        <f>'Tariff Jul 2018'!G28</f>
        <v>41844</v>
      </c>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row>
    <row r="41" spans="1:88" ht="15" thickBot="1" x14ac:dyDescent="0.2">
      <c r="A41" s="91" t="str">
        <f>'Tariff Jul 2018'!K29</f>
        <v>Amaysim</v>
      </c>
      <c r="B41" s="92" t="str">
        <f>'Tariff Jul 2018'!L29</f>
        <v>Solar 4</v>
      </c>
      <c r="C41" s="103">
        <f>91*'Tariff Jul 2018'!M29/100</f>
        <v>82.445999999999998</v>
      </c>
      <c r="D41" s="103">
        <f>IF($H$5&gt;='Tariff Jul 2018'!P29,('Tariff Jul 2018'!P29*'Tariff Jul 2018'!N29/100),(($H$5)*'Tariff Jul 2018'!N29/100))</f>
        <v>341.36083199999996</v>
      </c>
      <c r="E41" s="103">
        <v>0</v>
      </c>
      <c r="F41" s="103">
        <v>0</v>
      </c>
      <c r="G41" s="103">
        <f>IF(($H$5&lt;'Tariff Jul 2018'!T29),(0),($H$5-'Tariff Jul 2018'!T29)*'Tariff Jul 2018'!U29/100)</f>
        <v>0</v>
      </c>
      <c r="H41" s="103">
        <f>($I$5)*'Tariff Jul 2018'!AE29/100</f>
        <v>58.738343999999991</v>
      </c>
      <c r="I41" s="103">
        <v>1</v>
      </c>
      <c r="J41" s="103">
        <f t="shared" ref="J41" si="26">SUM(C41:I41)</f>
        <v>483.54517599999997</v>
      </c>
      <c r="K41" s="299">
        <f t="shared" ref="K41" si="27">(J41-C41)*4</f>
        <v>1604.3967039999998</v>
      </c>
      <c r="L41" s="95">
        <f t="shared" ref="L41" si="28">J41*4</f>
        <v>1934.1807039999999</v>
      </c>
      <c r="M41" s="95">
        <f t="shared" ref="M41" si="29">L41*1.1</f>
        <v>2127.5987743999999</v>
      </c>
      <c r="N41" s="92">
        <f>'Tariff Jul 2018'!AW29</f>
        <v>0</v>
      </c>
      <c r="O41" s="92">
        <f>'Tariff Jul 2018'!AX29</f>
        <v>0</v>
      </c>
      <c r="P41" s="92">
        <f>'Tariff Jul 2018'!AY29</f>
        <v>5</v>
      </c>
      <c r="Q41" s="92">
        <f>'Tariff Jul 2018'!AZ29</f>
        <v>0</v>
      </c>
      <c r="R41" s="96">
        <f>($F$6*'Tariff Jul 2018'!AT29/100)*4</f>
        <v>522.14399999999989</v>
      </c>
      <c r="S41" s="298">
        <f t="shared" si="25"/>
        <v>1934.1807039999999</v>
      </c>
      <c r="T41" s="298">
        <f>S41-(L41*P41/100)</f>
        <v>1837.4716687999999</v>
      </c>
      <c r="U41" s="299">
        <f t="shared" ref="U41" si="30">S41-R41</f>
        <v>1412.0367040000001</v>
      </c>
      <c r="V41" s="299">
        <f t="shared" ref="V41" si="31">T41-R41</f>
        <v>1315.3276688000001</v>
      </c>
      <c r="W41" s="301">
        <f t="shared" ref="W41" si="32">U41*1.1</f>
        <v>1553.2403744000003</v>
      </c>
      <c r="X41" s="301">
        <f t="shared" ref="X41" si="33">V41*1.1</f>
        <v>1446.8604356800001</v>
      </c>
      <c r="Y41" s="97">
        <f>'Tariff Jul 2018'!AT28</f>
        <v>16</v>
      </c>
      <c r="Z41" s="98">
        <f>'Tariff Jul 2018'!BI29</f>
        <v>0</v>
      </c>
      <c r="AA41" s="98" t="str">
        <f>'Tariff Jul 2018'!BJ29</f>
        <v>n</v>
      </c>
      <c r="AB41" s="99">
        <f>'Tariff Jul 2018'!G29</f>
        <v>41787</v>
      </c>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row>
    <row r="42" spans="1:88" s="115" customFormat="1" x14ac:dyDescent="0.15"/>
    <row r="43" spans="1:88" s="115" customFormat="1" x14ac:dyDescent="0.15"/>
    <row r="44" spans="1:88" s="115" customFormat="1" x14ac:dyDescent="0.15"/>
    <row r="45" spans="1:88" s="115" customFormat="1" x14ac:dyDescent="0.15"/>
    <row r="46" spans="1:88" s="115" customFormat="1" x14ac:dyDescent="0.15"/>
    <row r="47" spans="1:88" s="115" customFormat="1" x14ac:dyDescent="0.15"/>
    <row r="48" spans="1:88" s="115" customFormat="1" x14ac:dyDescent="0.15"/>
    <row r="49" s="115" customFormat="1" x14ac:dyDescent="0.15"/>
    <row r="50" s="115" customFormat="1" x14ac:dyDescent="0.15"/>
    <row r="51" s="115" customFormat="1" x14ac:dyDescent="0.15"/>
    <row r="52" s="115" customFormat="1" x14ac:dyDescent="0.15"/>
    <row r="53" s="115" customFormat="1" x14ac:dyDescent="0.15"/>
    <row r="54" s="115" customFormat="1" x14ac:dyDescent="0.15"/>
    <row r="55" s="115" customFormat="1" x14ac:dyDescent="0.15"/>
    <row r="56" s="115" customFormat="1" x14ac:dyDescent="0.15"/>
    <row r="57" s="115" customFormat="1" x14ac:dyDescent="0.15"/>
    <row r="58" s="115" customFormat="1" x14ac:dyDescent="0.15"/>
    <row r="59" s="115" customFormat="1" x14ac:dyDescent="0.15"/>
    <row r="60" s="115" customFormat="1" x14ac:dyDescent="0.15"/>
    <row r="61" s="115" customFormat="1" x14ac:dyDescent="0.15"/>
    <row r="62" s="115" customFormat="1" x14ac:dyDescent="0.15"/>
    <row r="63" s="115" customFormat="1" x14ac:dyDescent="0.15"/>
    <row r="64" s="115" customFormat="1" x14ac:dyDescent="0.15"/>
    <row r="65" s="115" customFormat="1" x14ac:dyDescent="0.15"/>
    <row r="66" s="115" customFormat="1" x14ac:dyDescent="0.15"/>
    <row r="67" s="115" customFormat="1" x14ac:dyDescent="0.15"/>
    <row r="68" s="115" customFormat="1" x14ac:dyDescent="0.15"/>
    <row r="69" s="115" customFormat="1" x14ac:dyDescent="0.15"/>
    <row r="70" s="115" customFormat="1" x14ac:dyDescent="0.15"/>
    <row r="71" s="115" customFormat="1" x14ac:dyDescent="0.15"/>
    <row r="72" s="115" customFormat="1" x14ac:dyDescent="0.15"/>
    <row r="73" s="115" customFormat="1" x14ac:dyDescent="0.15"/>
    <row r="74" s="115" customFormat="1" x14ac:dyDescent="0.15"/>
    <row r="75" s="115" customFormat="1" x14ac:dyDescent="0.15"/>
    <row r="76" s="115" customFormat="1" x14ac:dyDescent="0.15"/>
    <row r="77" s="115" customFormat="1" x14ac:dyDescent="0.15"/>
    <row r="78" s="115" customFormat="1" x14ac:dyDescent="0.15"/>
    <row r="79" s="115" customFormat="1" x14ac:dyDescent="0.15"/>
    <row r="80" s="115" customFormat="1" x14ac:dyDescent="0.15"/>
    <row r="81" s="115" customFormat="1" x14ac:dyDescent="0.15"/>
    <row r="82" s="115" customFormat="1" x14ac:dyDescent="0.15"/>
    <row r="83" s="115" customFormat="1" x14ac:dyDescent="0.15"/>
    <row r="84" s="115" customFormat="1" x14ac:dyDescent="0.15"/>
    <row r="85" s="115" customFormat="1" x14ac:dyDescent="0.15"/>
    <row r="86" s="115" customFormat="1" x14ac:dyDescent="0.15"/>
    <row r="87" s="115" customFormat="1" x14ac:dyDescent="0.15"/>
    <row r="88" s="115" customFormat="1" x14ac:dyDescent="0.15"/>
    <row r="89" s="115" customFormat="1" x14ac:dyDescent="0.15"/>
    <row r="90" s="115" customFormat="1" x14ac:dyDescent="0.15"/>
    <row r="91" s="115" customFormat="1" x14ac:dyDescent="0.15"/>
    <row r="92" s="115" customFormat="1" x14ac:dyDescent="0.15"/>
    <row r="93" s="115" customFormat="1" x14ac:dyDescent="0.15"/>
    <row r="94" s="115" customFormat="1" x14ac:dyDescent="0.15"/>
    <row r="95" s="115" customFormat="1" x14ac:dyDescent="0.15"/>
    <row r="96" s="115" customFormat="1" x14ac:dyDescent="0.15"/>
    <row r="97" s="115" customFormat="1" x14ac:dyDescent="0.15"/>
    <row r="98" s="115" customFormat="1" x14ac:dyDescent="0.15"/>
    <row r="99" s="115" customFormat="1" x14ac:dyDescent="0.15"/>
    <row r="100" s="115" customFormat="1" x14ac:dyDescent="0.15"/>
    <row r="101" s="115" customFormat="1" x14ac:dyDescent="0.15"/>
    <row r="102" s="115" customFormat="1" x14ac:dyDescent="0.15"/>
    <row r="103" s="115" customFormat="1" x14ac:dyDescent="0.15"/>
    <row r="104" s="115" customFormat="1" x14ac:dyDescent="0.15"/>
    <row r="105" s="115" customFormat="1" x14ac:dyDescent="0.15"/>
    <row r="106" s="115" customFormat="1" x14ac:dyDescent="0.15"/>
    <row r="107" s="115" customFormat="1" x14ac:dyDescent="0.15"/>
    <row r="108" s="115" customFormat="1" x14ac:dyDescent="0.15"/>
    <row r="109" s="115" customFormat="1" x14ac:dyDescent="0.15"/>
    <row r="110" s="115" customFormat="1" x14ac:dyDescent="0.15"/>
    <row r="111" s="115" customFormat="1" x14ac:dyDescent="0.15"/>
    <row r="112" s="115" customFormat="1" x14ac:dyDescent="0.15"/>
    <row r="113" s="115" customFormat="1" x14ac:dyDescent="0.15"/>
    <row r="114" s="115" customFormat="1" x14ac:dyDescent="0.15"/>
    <row r="115" s="115" customFormat="1" x14ac:dyDescent="0.15"/>
    <row r="116" s="115" customFormat="1" x14ac:dyDescent="0.15"/>
    <row r="117" s="115" customFormat="1" x14ac:dyDescent="0.15"/>
    <row r="118" s="115" customFormat="1" x14ac:dyDescent="0.15"/>
    <row r="119" s="115" customFormat="1" x14ac:dyDescent="0.15"/>
    <row r="120" s="115" customFormat="1" x14ac:dyDescent="0.15"/>
    <row r="121" s="115" customFormat="1" x14ac:dyDescent="0.15"/>
    <row r="122" s="115" customFormat="1" x14ac:dyDescent="0.15"/>
    <row r="123" s="115" customFormat="1" x14ac:dyDescent="0.15"/>
    <row r="124" s="115" customFormat="1" x14ac:dyDescent="0.15"/>
    <row r="125" s="115" customFormat="1" x14ac:dyDescent="0.15"/>
    <row r="126" s="115" customFormat="1" x14ac:dyDescent="0.15"/>
    <row r="127" s="115" customFormat="1" x14ac:dyDescent="0.15"/>
    <row r="128" s="115" customFormat="1" x14ac:dyDescent="0.15"/>
    <row r="129" s="115" customFormat="1" x14ac:dyDescent="0.15"/>
    <row r="130" s="115" customFormat="1" x14ac:dyDescent="0.15"/>
    <row r="131" s="115" customFormat="1" x14ac:dyDescent="0.15"/>
    <row r="132" s="115" customFormat="1" x14ac:dyDescent="0.15"/>
    <row r="133" s="115" customFormat="1" x14ac:dyDescent="0.15"/>
    <row r="134" s="115" customFormat="1" x14ac:dyDescent="0.15"/>
    <row r="135" s="115" customFormat="1" x14ac:dyDescent="0.15"/>
    <row r="136" s="115" customFormat="1" x14ac:dyDescent="0.15"/>
    <row r="137" s="115" customFormat="1" x14ac:dyDescent="0.15"/>
    <row r="138" s="115" customFormat="1" x14ac:dyDescent="0.15"/>
    <row r="139" s="115" customFormat="1" x14ac:dyDescent="0.15"/>
    <row r="140" s="115" customFormat="1" x14ac:dyDescent="0.15"/>
    <row r="141" s="115" customFormat="1" x14ac:dyDescent="0.15"/>
    <row r="142" s="115" customFormat="1" x14ac:dyDescent="0.15"/>
    <row r="143" s="115" customFormat="1" x14ac:dyDescent="0.15"/>
    <row r="144" s="115" customFormat="1" x14ac:dyDescent="0.15"/>
    <row r="145" s="115" customFormat="1" x14ac:dyDescent="0.15"/>
    <row r="146" s="115" customFormat="1" x14ac:dyDescent="0.15"/>
    <row r="147" s="115" customFormat="1" x14ac:dyDescent="0.15"/>
    <row r="148" s="115" customFormat="1" x14ac:dyDescent="0.15"/>
    <row r="149" s="115" customFormat="1" x14ac:dyDescent="0.15"/>
    <row r="150" s="115" customFormat="1" x14ac:dyDescent="0.15"/>
    <row r="151" s="115" customFormat="1" x14ac:dyDescent="0.15"/>
    <row r="152" s="115" customFormat="1" x14ac:dyDescent="0.15"/>
    <row r="153" s="115" customFormat="1" x14ac:dyDescent="0.15"/>
    <row r="154" s="115" customFormat="1" x14ac:dyDescent="0.15"/>
    <row r="155" s="115" customFormat="1" x14ac:dyDescent="0.15"/>
    <row r="156" s="115" customFormat="1" x14ac:dyDescent="0.15"/>
    <row r="157" s="115" customFormat="1" x14ac:dyDescent="0.15"/>
    <row r="158" s="115" customFormat="1" x14ac:dyDescent="0.15"/>
    <row r="159" s="115" customFormat="1" x14ac:dyDescent="0.15"/>
    <row r="160" s="115" customFormat="1" x14ac:dyDescent="0.15"/>
    <row r="161" s="115" customFormat="1" x14ac:dyDescent="0.15"/>
    <row r="162" s="115" customFormat="1" x14ac:dyDescent="0.15"/>
    <row r="163" s="115" customFormat="1" x14ac:dyDescent="0.15"/>
    <row r="164" s="115" customFormat="1" x14ac:dyDescent="0.15"/>
    <row r="165" s="115" customFormat="1" x14ac:dyDescent="0.15"/>
    <row r="166" s="115" customFormat="1" x14ac:dyDescent="0.15"/>
    <row r="167" s="115" customFormat="1" x14ac:dyDescent="0.15"/>
    <row r="168" s="115" customFormat="1" x14ac:dyDescent="0.15"/>
    <row r="169" s="115" customFormat="1" x14ac:dyDescent="0.15"/>
    <row r="170" s="115" customFormat="1" x14ac:dyDescent="0.15"/>
    <row r="171" s="115" customFormat="1" x14ac:dyDescent="0.15"/>
    <row r="172" s="115" customFormat="1" x14ac:dyDescent="0.15"/>
    <row r="173" s="115" customFormat="1" x14ac:dyDescent="0.15"/>
    <row r="174" s="115" customFormat="1" x14ac:dyDescent="0.15"/>
    <row r="175" s="115" customFormat="1" x14ac:dyDescent="0.15"/>
    <row r="176" s="115" customFormat="1" x14ac:dyDescent="0.15"/>
    <row r="177" s="115" customFormat="1" x14ac:dyDescent="0.15"/>
    <row r="178" s="115" customFormat="1" x14ac:dyDescent="0.15"/>
    <row r="179" s="115" customFormat="1" x14ac:dyDescent="0.15"/>
    <row r="180" s="115" customFormat="1" x14ac:dyDescent="0.15"/>
    <row r="181" s="115" customFormat="1" x14ac:dyDescent="0.15"/>
    <row r="182" s="115" customFormat="1" x14ac:dyDescent="0.15"/>
    <row r="183" s="115" customFormat="1" x14ac:dyDescent="0.15"/>
    <row r="184" s="115" customFormat="1" x14ac:dyDescent="0.15"/>
    <row r="185" s="115" customFormat="1" x14ac:dyDescent="0.15"/>
    <row r="186" s="115" customFormat="1" x14ac:dyDescent="0.15"/>
    <row r="187" s="115" customFormat="1" x14ac:dyDescent="0.15"/>
    <row r="188" s="115" customFormat="1" x14ac:dyDescent="0.15"/>
    <row r="189" s="115" customFormat="1" x14ac:dyDescent="0.15"/>
    <row r="190" s="115" customFormat="1" x14ac:dyDescent="0.15"/>
    <row r="191" s="115" customFormat="1" x14ac:dyDescent="0.15"/>
    <row r="192" s="115" customFormat="1" x14ac:dyDescent="0.15"/>
    <row r="193" s="115" customFormat="1" x14ac:dyDescent="0.15"/>
    <row r="194" s="115" customFormat="1" x14ac:dyDescent="0.15"/>
    <row r="195" s="115" customFormat="1" x14ac:dyDescent="0.15"/>
    <row r="196" s="115" customFormat="1" x14ac:dyDescent="0.15"/>
    <row r="197" s="115" customFormat="1" x14ac:dyDescent="0.15"/>
    <row r="198" s="115" customFormat="1" x14ac:dyDescent="0.15"/>
    <row r="199" s="115" customFormat="1" x14ac:dyDescent="0.15"/>
    <row r="200" s="115" customFormat="1" x14ac:dyDescent="0.15"/>
    <row r="201" s="115" customFormat="1" x14ac:dyDescent="0.15"/>
    <row r="202" s="115" customFormat="1" x14ac:dyDescent="0.15"/>
    <row r="203" s="115" customFormat="1" x14ac:dyDescent="0.15"/>
    <row r="204" s="115" customFormat="1" x14ac:dyDescent="0.15"/>
    <row r="205" s="115" customFormat="1" x14ac:dyDescent="0.15"/>
    <row r="206" s="115" customFormat="1" x14ac:dyDescent="0.15"/>
    <row r="207" s="115" customFormat="1" x14ac:dyDescent="0.15"/>
    <row r="208" s="115" customFormat="1" x14ac:dyDescent="0.15"/>
    <row r="209" s="115" customFormat="1" x14ac:dyDescent="0.15"/>
    <row r="210" s="115" customFormat="1" x14ac:dyDescent="0.15"/>
    <row r="211" s="115" customFormat="1" x14ac:dyDescent="0.15"/>
    <row r="212" s="115" customFormat="1" x14ac:dyDescent="0.15"/>
    <row r="213" s="115" customFormat="1" x14ac:dyDescent="0.15"/>
    <row r="214" s="115" customFormat="1" x14ac:dyDescent="0.15"/>
    <row r="215" s="115" customFormat="1" x14ac:dyDescent="0.15"/>
    <row r="216" s="115" customFormat="1" x14ac:dyDescent="0.15"/>
    <row r="217" s="115" customFormat="1" x14ac:dyDescent="0.15"/>
    <row r="218" s="115" customFormat="1" x14ac:dyDescent="0.15"/>
    <row r="219" s="115" customFormat="1" x14ac:dyDescent="0.15"/>
    <row r="220" s="115" customFormat="1" x14ac:dyDescent="0.15"/>
    <row r="221" s="115" customFormat="1" x14ac:dyDescent="0.15"/>
    <row r="222" s="115" customFormat="1" x14ac:dyDescent="0.15"/>
    <row r="223" s="115" customFormat="1" x14ac:dyDescent="0.15"/>
    <row r="224" s="115" customFormat="1" x14ac:dyDescent="0.15"/>
    <row r="225" s="115" customFormat="1" x14ac:dyDescent="0.15"/>
    <row r="226" s="115" customFormat="1" x14ac:dyDescent="0.15"/>
    <row r="227" s="115" customFormat="1" x14ac:dyDescent="0.15"/>
    <row r="228" s="115" customFormat="1" x14ac:dyDescent="0.15"/>
    <row r="229" s="115" customFormat="1" x14ac:dyDescent="0.15"/>
    <row r="230" s="115" customFormat="1" x14ac:dyDescent="0.15"/>
    <row r="231" s="115" customFormat="1" x14ac:dyDescent="0.15"/>
    <row r="232" s="115" customFormat="1" x14ac:dyDescent="0.15"/>
    <row r="233" s="115" customFormat="1" x14ac:dyDescent="0.15"/>
    <row r="234" s="115" customFormat="1" x14ac:dyDescent="0.15"/>
    <row r="235" s="115" customFormat="1" x14ac:dyDescent="0.15"/>
    <row r="236" s="115" customFormat="1" x14ac:dyDescent="0.15"/>
    <row r="237" s="115" customFormat="1" x14ac:dyDescent="0.15"/>
    <row r="238" s="115" customFormat="1" x14ac:dyDescent="0.15"/>
    <row r="239" s="115" customFormat="1" x14ac:dyDescent="0.15"/>
    <row r="240" s="115" customFormat="1" x14ac:dyDescent="0.15"/>
    <row r="241" s="115" customFormat="1" x14ac:dyDescent="0.15"/>
    <row r="242" s="115" customFormat="1" x14ac:dyDescent="0.15"/>
    <row r="243" s="115" customFormat="1" x14ac:dyDescent="0.15"/>
    <row r="244" s="115" customFormat="1" x14ac:dyDescent="0.15"/>
    <row r="245" s="115" customFormat="1" x14ac:dyDescent="0.15"/>
    <row r="246" s="115" customFormat="1" x14ac:dyDescent="0.15"/>
    <row r="247" s="115" customFormat="1" x14ac:dyDescent="0.15"/>
    <row r="248" s="115" customFormat="1" x14ac:dyDescent="0.15"/>
    <row r="249" s="115" customFormat="1" x14ac:dyDescent="0.15"/>
    <row r="250" s="115" customFormat="1" x14ac:dyDescent="0.15"/>
    <row r="251" s="115" customFormat="1" x14ac:dyDescent="0.15"/>
    <row r="252" s="115" customFormat="1" x14ac:dyDescent="0.15"/>
    <row r="253" s="115" customFormat="1" x14ac:dyDescent="0.15"/>
    <row r="254" s="115" customFormat="1" x14ac:dyDescent="0.15"/>
    <row r="255" s="115" customFormat="1" x14ac:dyDescent="0.15"/>
    <row r="256" s="115" customFormat="1" x14ac:dyDescent="0.15"/>
    <row r="257" s="115" customFormat="1" x14ac:dyDescent="0.15"/>
    <row r="258" s="115" customFormat="1" x14ac:dyDescent="0.15"/>
    <row r="259" s="115" customFormat="1" x14ac:dyDescent="0.15"/>
    <row r="260" s="115" customFormat="1" x14ac:dyDescent="0.15"/>
    <row r="261" s="115" customFormat="1" x14ac:dyDescent="0.15"/>
    <row r="262" s="115" customFormat="1" x14ac:dyDescent="0.15"/>
    <row r="263" s="115" customFormat="1" x14ac:dyDescent="0.15"/>
    <row r="264" s="115" customFormat="1" x14ac:dyDescent="0.15"/>
    <row r="265" s="115" customFormat="1" x14ac:dyDescent="0.15"/>
    <row r="266" s="115" customFormat="1" x14ac:dyDescent="0.15"/>
    <row r="267" s="115" customFormat="1" x14ac:dyDescent="0.15"/>
    <row r="268" s="115" customFormat="1" x14ac:dyDescent="0.15"/>
    <row r="269" s="115" customFormat="1" x14ac:dyDescent="0.15"/>
    <row r="270" s="115" customFormat="1" x14ac:dyDescent="0.15"/>
    <row r="271" s="115" customFormat="1" x14ac:dyDescent="0.15"/>
    <row r="272" s="115" customFormat="1" x14ac:dyDescent="0.15"/>
    <row r="273" s="115" customFormat="1" x14ac:dyDescent="0.15"/>
    <row r="274" s="115" customFormat="1" x14ac:dyDescent="0.15"/>
    <row r="275" s="115" customFormat="1" x14ac:dyDescent="0.15"/>
    <row r="276" s="115" customFormat="1" x14ac:dyDescent="0.15"/>
    <row r="277" s="115" customFormat="1" x14ac:dyDescent="0.15"/>
    <row r="278" s="115" customFormat="1" x14ac:dyDescent="0.15"/>
    <row r="279" s="115" customFormat="1" x14ac:dyDescent="0.15"/>
    <row r="280" s="115" customFormat="1" x14ac:dyDescent="0.15"/>
    <row r="281" s="115" customFormat="1" x14ac:dyDescent="0.15"/>
    <row r="282" s="115" customFormat="1" x14ac:dyDescent="0.15"/>
    <row r="283" s="115" customFormat="1" x14ac:dyDescent="0.15"/>
    <row r="284" s="115" customFormat="1" x14ac:dyDescent="0.15"/>
    <row r="285" s="115" customFormat="1" x14ac:dyDescent="0.15"/>
    <row r="286" s="115" customFormat="1" x14ac:dyDescent="0.15"/>
    <row r="287" s="115" customFormat="1" x14ac:dyDescent="0.15"/>
    <row r="288" s="115" customFormat="1" x14ac:dyDescent="0.15"/>
    <row r="289" s="115" customFormat="1" x14ac:dyDescent="0.15"/>
    <row r="290" s="115" customFormat="1" x14ac:dyDescent="0.15"/>
    <row r="291" s="115" customFormat="1" x14ac:dyDescent="0.15"/>
    <row r="292" s="115" customFormat="1" x14ac:dyDescent="0.15"/>
    <row r="293" s="115" customFormat="1" x14ac:dyDescent="0.15"/>
    <row r="294" s="115" customFormat="1" x14ac:dyDescent="0.15"/>
    <row r="295" s="115" customFormat="1" x14ac:dyDescent="0.15"/>
    <row r="296" s="115" customFormat="1" x14ac:dyDescent="0.15"/>
    <row r="297" s="115" customFormat="1" x14ac:dyDescent="0.15"/>
    <row r="298" s="115" customFormat="1" x14ac:dyDescent="0.15"/>
    <row r="299" s="115" customFormat="1" x14ac:dyDescent="0.15"/>
    <row r="300" s="115" customFormat="1" x14ac:dyDescent="0.15"/>
    <row r="301" s="115" customFormat="1" x14ac:dyDescent="0.15"/>
    <row r="302" s="115" customFormat="1" x14ac:dyDescent="0.15"/>
    <row r="303" s="115" customFormat="1" x14ac:dyDescent="0.15"/>
    <row r="304" s="115" customFormat="1" x14ac:dyDescent="0.15"/>
    <row r="305" s="115" customFormat="1" x14ac:dyDescent="0.15"/>
    <row r="306" s="115" customFormat="1" x14ac:dyDescent="0.15"/>
    <row r="307" s="115" customFormat="1" x14ac:dyDescent="0.15"/>
    <row r="308" s="115" customFormat="1" x14ac:dyDescent="0.15"/>
    <row r="309" s="115" customFormat="1" x14ac:dyDescent="0.15"/>
    <row r="310" s="115" customFormat="1" x14ac:dyDescent="0.15"/>
    <row r="311" s="115" customFormat="1" x14ac:dyDescent="0.15"/>
    <row r="312" s="115" customFormat="1" x14ac:dyDescent="0.15"/>
    <row r="313" s="115" customFormat="1" x14ac:dyDescent="0.15"/>
    <row r="314" s="115" customFormat="1" x14ac:dyDescent="0.15"/>
    <row r="315" s="115" customFormat="1" x14ac:dyDescent="0.15"/>
    <row r="316" s="115" customFormat="1" x14ac:dyDescent="0.15"/>
    <row r="317" s="115" customFormat="1" x14ac:dyDescent="0.15"/>
    <row r="318" s="115" customFormat="1" x14ac:dyDescent="0.15"/>
    <row r="319" s="115" customFormat="1" x14ac:dyDescent="0.15"/>
    <row r="320" s="115" customFormat="1" x14ac:dyDescent="0.15"/>
    <row r="321" s="115" customFormat="1" x14ac:dyDescent="0.15"/>
    <row r="322" s="115" customFormat="1" x14ac:dyDescent="0.15"/>
    <row r="323" s="115" customFormat="1" x14ac:dyDescent="0.15"/>
    <row r="324" s="115" customFormat="1" x14ac:dyDescent="0.15"/>
    <row r="325" s="115" customFormat="1" x14ac:dyDescent="0.15"/>
    <row r="326" s="115" customFormat="1" x14ac:dyDescent="0.15"/>
    <row r="327" s="115" customFormat="1" x14ac:dyDescent="0.15"/>
    <row r="328" s="115" customFormat="1" x14ac:dyDescent="0.15"/>
    <row r="329" s="115" customFormat="1" x14ac:dyDescent="0.15"/>
    <row r="330" s="115" customFormat="1" x14ac:dyDescent="0.15"/>
    <row r="331" s="115" customFormat="1" x14ac:dyDescent="0.15"/>
    <row r="332" s="115" customFormat="1" x14ac:dyDescent="0.15"/>
    <row r="333" s="115" customFormat="1" x14ac:dyDescent="0.15"/>
    <row r="334" s="115" customFormat="1" x14ac:dyDescent="0.15"/>
    <row r="335" s="115" customFormat="1" x14ac:dyDescent="0.15"/>
    <row r="336" s="115" customFormat="1" x14ac:dyDescent="0.15"/>
    <row r="337" s="115" customFormat="1" x14ac:dyDescent="0.15"/>
    <row r="338" s="115" customFormat="1" x14ac:dyDescent="0.15"/>
    <row r="339" s="115" customFormat="1" x14ac:dyDescent="0.15"/>
    <row r="340" s="115" customFormat="1" x14ac:dyDescent="0.15"/>
    <row r="341" s="115" customFormat="1" x14ac:dyDescent="0.15"/>
    <row r="342" s="115" customFormat="1" x14ac:dyDescent="0.15"/>
    <row r="343" s="115" customFormat="1" x14ac:dyDescent="0.15"/>
    <row r="344" s="115" customFormat="1" x14ac:dyDescent="0.15"/>
    <row r="345" s="115" customFormat="1" x14ac:dyDescent="0.15"/>
    <row r="346" s="115" customFormat="1" x14ac:dyDescent="0.15"/>
    <row r="347" s="115" customFormat="1" x14ac:dyDescent="0.15"/>
    <row r="348" s="115" customFormat="1" x14ac:dyDescent="0.15"/>
    <row r="349" s="115" customFormat="1" x14ac:dyDescent="0.15"/>
    <row r="350" s="115" customFormat="1" x14ac:dyDescent="0.15"/>
    <row r="351" s="115" customFormat="1" x14ac:dyDescent="0.15"/>
    <row r="352" s="115" customFormat="1" x14ac:dyDescent="0.15"/>
    <row r="353" s="115" customFormat="1" x14ac:dyDescent="0.15"/>
    <row r="354" s="115" customFormat="1" x14ac:dyDescent="0.15"/>
    <row r="355" s="115" customFormat="1" x14ac:dyDescent="0.15"/>
    <row r="356" s="115" customFormat="1" x14ac:dyDescent="0.15"/>
    <row r="357" s="115" customFormat="1" x14ac:dyDescent="0.15"/>
    <row r="358" s="115" customFormat="1" x14ac:dyDescent="0.15"/>
    <row r="359" s="115" customFormat="1" x14ac:dyDescent="0.15"/>
    <row r="360" s="115" customFormat="1" x14ac:dyDescent="0.15"/>
    <row r="361" s="115" customFormat="1" x14ac:dyDescent="0.15"/>
    <row r="362" s="115" customFormat="1" x14ac:dyDescent="0.15"/>
    <row r="363" s="115" customFormat="1" x14ac:dyDescent="0.15"/>
    <row r="364" s="115" customFormat="1" x14ac:dyDescent="0.15"/>
    <row r="365" s="115" customFormat="1" x14ac:dyDescent="0.15"/>
    <row r="366" s="115" customFormat="1" x14ac:dyDescent="0.15"/>
  </sheetData>
  <sheetProtection algorithmName="SHA-512" hashValue="Ea73ovVH4TXchIamk0JbpBJcoJ3/XkPKeGLIxfkf+riwM7NpG8xcIUZDx0oBodJ78+Ev8eoMD5/Nnl6jbx8DJA==" saltValue="/lA4pId4YYkVjB+cm/8k2A==" spinCount="100000" sheet="1" objects="1" scenarios="1"/>
  <dataValidations count="2">
    <dataValidation type="decimal" showInputMessage="1" showErrorMessage="1" errorTitle="Incorrect entry" error="Enter 1.5 or 3.0 only" sqref="C4" xr:uid="{34583DC4-EAC1-AC40-AA9C-529D235FEB2F}">
      <formula1>1.5</formula1>
      <formula2>3</formula2>
    </dataValidation>
    <dataValidation type="whole" showInputMessage="1" showErrorMessage="1" errorTitle="Incorrect number" error="Please enter quarterly consumption between 700-4000kWh" sqref="C5" xr:uid="{9235A7B7-B91E-084F-830C-5F1CD13CBC3F}">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0C931-93B6-D44E-A0FD-AC9628C0D06A}">
  <sheetPr codeName="Sheet7"/>
  <dimension ref="A1:EK149"/>
  <sheetViews>
    <sheetView zoomScale="90" zoomScaleNormal="90" workbookViewId="0">
      <selection activeCell="C4" sqref="C4:C5"/>
    </sheetView>
  </sheetViews>
  <sheetFormatPr baseColWidth="10" defaultRowHeight="13" x14ac:dyDescent="0.15"/>
  <cols>
    <col min="1" max="1" width="22" style="1" customWidth="1"/>
    <col min="2" max="2" width="28" style="1" customWidth="1"/>
    <col min="3" max="10" width="13.83203125" style="1" customWidth="1"/>
    <col min="11" max="12" width="13.83203125" style="1" hidden="1" customWidth="1"/>
    <col min="13" max="18" width="13.83203125" style="1" customWidth="1"/>
    <col min="19" max="22" width="13.83203125" style="1" hidden="1" customWidth="1"/>
    <col min="23" max="28" width="13.83203125" style="1" customWidth="1"/>
    <col min="29" max="127" width="10.83203125" style="115"/>
    <col min="128" max="135" width="10.83203125" style="110"/>
    <col min="136" max="16384" width="10.83203125" style="1"/>
  </cols>
  <sheetData>
    <row r="1" spans="1:141" s="115" customFormat="1" ht="14" x14ac:dyDescent="0.15">
      <c r="A1" s="114" t="s">
        <v>340</v>
      </c>
      <c r="B1" s="114"/>
      <c r="C1" s="114"/>
      <c r="D1" s="114"/>
      <c r="E1" s="114"/>
      <c r="F1" s="114"/>
      <c r="G1" s="114"/>
      <c r="H1" s="114"/>
      <c r="I1" s="114"/>
      <c r="J1" s="114"/>
      <c r="K1" s="131">
        <v>3</v>
      </c>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row>
    <row r="2" spans="1:141" s="115" customFormat="1" ht="14" x14ac:dyDescent="0.15">
      <c r="A2" s="116" t="s">
        <v>153</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row>
    <row r="3" spans="1:141" s="115" customFormat="1" ht="14" x14ac:dyDescent="0.15">
      <c r="A3" s="116"/>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row>
    <row r="4" spans="1:141" ht="14" x14ac:dyDescent="0.15">
      <c r="A4" s="68" t="s">
        <v>341</v>
      </c>
      <c r="B4" s="69"/>
      <c r="C4" s="104">
        <v>1.5</v>
      </c>
      <c r="D4" s="114"/>
      <c r="E4" s="70" t="s">
        <v>366</v>
      </c>
      <c r="F4" s="71">
        <f>IF(C4&lt;K1,(703),(1406))</f>
        <v>703</v>
      </c>
      <c r="G4" s="72"/>
      <c r="H4" s="73" t="s">
        <v>367</v>
      </c>
      <c r="I4" s="74" t="s">
        <v>368</v>
      </c>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09"/>
      <c r="DY4" s="109"/>
      <c r="DZ4" s="109"/>
      <c r="EA4" s="109"/>
      <c r="EB4" s="109"/>
      <c r="EC4" s="109"/>
      <c r="ED4" s="109"/>
      <c r="EE4" s="109"/>
      <c r="EF4" s="66"/>
      <c r="EG4" s="66"/>
      <c r="EH4" s="66"/>
      <c r="EI4" s="66"/>
      <c r="EJ4" s="66"/>
      <c r="EK4" s="66"/>
    </row>
    <row r="5" spans="1:141" ht="14" x14ac:dyDescent="0.15">
      <c r="A5" s="75" t="s">
        <v>369</v>
      </c>
      <c r="B5" s="76"/>
      <c r="C5" s="105">
        <v>1500</v>
      </c>
      <c r="D5" s="114"/>
      <c r="E5" s="77" t="s">
        <v>370</v>
      </c>
      <c r="F5" s="78">
        <f>C5-(F4-F6)</f>
        <v>1009.306</v>
      </c>
      <c r="G5" s="20" t="s">
        <v>371</v>
      </c>
      <c r="H5" s="79">
        <f>F5*80/100</f>
        <v>807.4448000000001</v>
      </c>
      <c r="I5" s="80">
        <f>F5*20/100</f>
        <v>201.86120000000003</v>
      </c>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09"/>
      <c r="DY5" s="109"/>
      <c r="DZ5" s="109"/>
      <c r="EA5" s="109"/>
      <c r="EB5" s="109"/>
      <c r="EC5" s="109"/>
      <c r="ED5" s="109"/>
      <c r="EE5" s="109"/>
      <c r="EF5" s="66"/>
      <c r="EG5" s="66"/>
      <c r="EH5" s="66"/>
      <c r="EI5" s="66"/>
      <c r="EJ5" s="66"/>
      <c r="EK5" s="66"/>
    </row>
    <row r="6" spans="1:141" s="110" customFormat="1" ht="14" x14ac:dyDescent="0.15">
      <c r="A6" s="115"/>
      <c r="B6" s="115"/>
      <c r="C6" s="115"/>
      <c r="D6" s="114"/>
      <c r="E6" s="112" t="s">
        <v>372</v>
      </c>
      <c r="F6" s="113">
        <f>IF(C4&lt;K1,(F4*30.2/100),(F4*56.8/100))</f>
        <v>212.30599999999998</v>
      </c>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09"/>
      <c r="DY6" s="109"/>
      <c r="DZ6" s="109"/>
      <c r="EA6" s="109"/>
      <c r="EB6" s="109"/>
      <c r="EC6" s="109"/>
      <c r="ED6" s="109"/>
      <c r="EE6" s="109"/>
      <c r="EF6" s="109"/>
      <c r="EG6" s="109"/>
      <c r="EH6" s="109"/>
      <c r="EI6" s="109"/>
      <c r="EJ6" s="109"/>
      <c r="EK6" s="109"/>
    </row>
    <row r="7" spans="1:141" s="115" customFormat="1" ht="15" thickBot="1" x14ac:dyDescent="0.2">
      <c r="A7" s="114"/>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row>
    <row r="8" spans="1:141" ht="14" x14ac:dyDescent="0.15">
      <c r="A8" s="82" t="s">
        <v>356</v>
      </c>
      <c r="B8" s="83"/>
      <c r="C8" s="83"/>
      <c r="D8" s="83"/>
      <c r="E8" s="83"/>
      <c r="F8" s="83"/>
      <c r="G8" s="83"/>
      <c r="H8" s="83"/>
      <c r="I8" s="83"/>
      <c r="J8" s="83"/>
      <c r="K8" s="83"/>
      <c r="L8" s="83"/>
      <c r="M8" s="83"/>
      <c r="N8" s="83"/>
      <c r="O8" s="83"/>
      <c r="P8" s="83"/>
      <c r="Q8" s="83"/>
      <c r="R8" s="83"/>
      <c r="S8" s="83"/>
      <c r="T8" s="83"/>
      <c r="U8" s="83"/>
      <c r="V8" s="83"/>
      <c r="W8" s="83"/>
      <c r="X8" s="83"/>
      <c r="Y8" s="83"/>
      <c r="Z8" s="83"/>
      <c r="AA8" s="83"/>
      <c r="AB8" s="18"/>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09"/>
      <c r="DY8" s="109"/>
      <c r="DZ8" s="109"/>
      <c r="EA8" s="109"/>
      <c r="EB8" s="109"/>
      <c r="EC8" s="109"/>
      <c r="ED8" s="109"/>
      <c r="EE8" s="109"/>
      <c r="EF8" s="66"/>
      <c r="EG8" s="66"/>
      <c r="EH8" s="66"/>
      <c r="EI8" s="66"/>
      <c r="EJ8" s="66"/>
      <c r="EK8" s="66"/>
    </row>
    <row r="9" spans="1:141" ht="90" x14ac:dyDescent="0.15">
      <c r="A9" s="287" t="s">
        <v>231</v>
      </c>
      <c r="B9" s="288" t="s">
        <v>243</v>
      </c>
      <c r="C9" s="289" t="s">
        <v>244</v>
      </c>
      <c r="D9" s="289" t="s">
        <v>227</v>
      </c>
      <c r="E9" s="290" t="s">
        <v>357</v>
      </c>
      <c r="F9" s="290" t="s">
        <v>358</v>
      </c>
      <c r="G9" s="290" t="s">
        <v>321</v>
      </c>
      <c r="H9" s="290" t="s">
        <v>328</v>
      </c>
      <c r="I9" s="290" t="s">
        <v>329</v>
      </c>
      <c r="J9" s="290" t="s">
        <v>799</v>
      </c>
      <c r="K9" s="296" t="s">
        <v>246</v>
      </c>
      <c r="L9" s="296" t="s">
        <v>247</v>
      </c>
      <c r="M9" s="291" t="s">
        <v>248</v>
      </c>
      <c r="N9" s="292" t="s">
        <v>249</v>
      </c>
      <c r="O9" s="292" t="s">
        <v>250</v>
      </c>
      <c r="P9" s="292" t="s">
        <v>251</v>
      </c>
      <c r="Q9" s="292" t="s">
        <v>365</v>
      </c>
      <c r="R9" s="293" t="s">
        <v>373</v>
      </c>
      <c r="S9" s="297" t="s">
        <v>255</v>
      </c>
      <c r="T9" s="297" t="s">
        <v>224</v>
      </c>
      <c r="U9" s="297" t="s">
        <v>374</v>
      </c>
      <c r="V9" s="297" t="s">
        <v>375</v>
      </c>
      <c r="W9" s="293" t="s">
        <v>376</v>
      </c>
      <c r="X9" s="293" t="s">
        <v>436</v>
      </c>
      <c r="Y9" s="292" t="s">
        <v>155</v>
      </c>
      <c r="Z9" s="292" t="s">
        <v>225</v>
      </c>
      <c r="AA9" s="292" t="s">
        <v>226</v>
      </c>
      <c r="AB9" s="294" t="s">
        <v>221</v>
      </c>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09"/>
      <c r="DY9" s="109"/>
      <c r="DZ9" s="109"/>
      <c r="EA9" s="109"/>
      <c r="EB9" s="109"/>
      <c r="EC9" s="109"/>
      <c r="ED9" s="109"/>
      <c r="EE9" s="109"/>
      <c r="EF9" s="66"/>
      <c r="EG9" s="66"/>
      <c r="EH9" s="66"/>
      <c r="EI9" s="66"/>
      <c r="EJ9" s="66"/>
      <c r="EK9" s="66"/>
    </row>
    <row r="10" spans="1:141" ht="14" x14ac:dyDescent="0.15">
      <c r="A10" s="63" t="str">
        <f>'Tariff Jul 2018'!K2</f>
        <v>AGL</v>
      </c>
      <c r="B10" s="1" t="str">
        <f>'Tariff Jul 2018'!L2</f>
        <v xml:space="preserve">Solar Savers </v>
      </c>
      <c r="C10" s="84">
        <f>91*'Tariff Jul 2018'!M2/100</f>
        <v>75.53</v>
      </c>
      <c r="D10" s="84">
        <f>$F$5*'Tariff Jul 2018'!N2/100</f>
        <v>381.51766799999996</v>
      </c>
      <c r="E10" s="84">
        <v>0</v>
      </c>
      <c r="F10" s="85">
        <v>0</v>
      </c>
      <c r="G10" s="84">
        <v>0</v>
      </c>
      <c r="H10" s="84">
        <v>0</v>
      </c>
      <c r="I10" s="84">
        <v>0</v>
      </c>
      <c r="J10" s="84">
        <f>SUM(C10:I10)</f>
        <v>457.04766799999993</v>
      </c>
      <c r="K10" s="298">
        <f>(J10-C10)*4</f>
        <v>1526.0706719999998</v>
      </c>
      <c r="L10" s="86">
        <f>J10*4</f>
        <v>1828.1906719999997</v>
      </c>
      <c r="M10" s="86">
        <f>L10*1.1</f>
        <v>2011.0097391999998</v>
      </c>
      <c r="N10" s="1">
        <f>'Tariff Jul 2018'!AW2</f>
        <v>0</v>
      </c>
      <c r="O10" s="1">
        <f>'Tariff Jul 2018'!AX2</f>
        <v>0</v>
      </c>
      <c r="P10" s="1">
        <f>'Tariff Jul 2018'!AY2</f>
        <v>0</v>
      </c>
      <c r="Q10" s="1">
        <f>'Tariff Jul 2018'!AZ2</f>
        <v>0</v>
      </c>
      <c r="R10" s="87">
        <f>($F$6*'Tariff Jul 2018'!AT2/100)*4</f>
        <v>169.84479999999999</v>
      </c>
      <c r="S10" s="298">
        <f>L10</f>
        <v>1828.1906719999997</v>
      </c>
      <c r="T10" s="298">
        <f>S10-(K10*Q10/100)</f>
        <v>1828.1906719999997</v>
      </c>
      <c r="U10" s="298">
        <f>S10-R10</f>
        <v>1658.3458719999996</v>
      </c>
      <c r="V10" s="298">
        <f>T10-R10</f>
        <v>1658.3458719999996</v>
      </c>
      <c r="W10" s="300">
        <f>U10*1.1</f>
        <v>1824.1804591999999</v>
      </c>
      <c r="X10" s="300">
        <f>V10*1.1</f>
        <v>1824.1804591999999</v>
      </c>
      <c r="Y10" s="88">
        <f>'Tariff Jul 2018'!AT2</f>
        <v>20</v>
      </c>
      <c r="Z10" s="89">
        <f>'Tariff Jul 2018'!BI2</f>
        <v>0</v>
      </c>
      <c r="AA10" s="89" t="str">
        <f>'Tariff Jul 2018'!BJ2</f>
        <v>n</v>
      </c>
      <c r="AB10" s="90">
        <f>'Tariff Jul 2018'!G2</f>
        <v>41851</v>
      </c>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09"/>
      <c r="DY10" s="109"/>
      <c r="DZ10" s="109"/>
      <c r="EA10" s="109"/>
      <c r="EB10" s="109"/>
      <c r="EC10" s="109"/>
      <c r="ED10" s="109"/>
      <c r="EE10" s="109"/>
      <c r="EF10" s="66"/>
      <c r="EG10" s="66"/>
      <c r="EH10" s="66"/>
      <c r="EI10" s="66"/>
      <c r="EJ10" s="66"/>
      <c r="EK10" s="66"/>
    </row>
    <row r="11" spans="1:141" ht="14" x14ac:dyDescent="0.15">
      <c r="A11" s="63" t="str">
        <f>'Tariff Jul 2018'!K3</f>
        <v>Alinta Energy</v>
      </c>
      <c r="B11" s="1" t="str">
        <f>'Tariff Jul 2018'!L3</f>
        <v>Fair Deal</v>
      </c>
      <c r="C11" s="84">
        <f>91*'Tariff Jul 2018'!M3/100</f>
        <v>75.53</v>
      </c>
      <c r="D11" s="84">
        <f>IF($F$5&gt;='Tariff Jul 2018'!P3,('Tariff Jul 2018'!P3*'Tariff Jul 2018'!N3/100),($F$5*'Tariff Jul 2018'!N3/100))</f>
        <v>117</v>
      </c>
      <c r="E11" s="84">
        <f>IF($F$5&lt;'Tariff Jul 2018'!P3,0,IF(($F$5-'Tariff Jul 2018'!P3)&lt;='Tariff Jul 2018'!R3,(($F$5-'Tariff Jul 2018'!P3)*'Tariff Jul 2018'!Q3/100),(('Tariff Jul 2018'!R3-'Tariff Jul 2018'!P3)*'Tariff Jul 2018'!Q3/100)))</f>
        <v>308.19345700000008</v>
      </c>
      <c r="F11" s="85">
        <f>IF($F$5&lt;'Tariff Jul 2018'!R3,0,IF(($F$5-'Tariff Jul 2018'!R3)&lt;='Tariff Jul 2018'!T3,(($F$5-'Tariff Jul 2018'!R3)*'Tariff Jul 2018'!S3/100),(('Tariff Jul 2018'!T3-'Tariff Jul 2018'!R3)*'Tariff Jul 2018'!S3/100)))</f>
        <v>4.0434570000000178</v>
      </c>
      <c r="G11" s="84">
        <v>0</v>
      </c>
      <c r="H11" s="84">
        <v>0</v>
      </c>
      <c r="I11" s="84">
        <f>IF(($F$5&lt;'Tariff Jul 2018'!T3),(0),($F$5-'Tariff Jul 2018'!T3)*'Tariff Jul 2018'!U3/100)</f>
        <v>0</v>
      </c>
      <c r="J11" s="84">
        <f t="shared" ref="J11:J22" si="0">SUM(C11:I11)</f>
        <v>504.76691400000004</v>
      </c>
      <c r="K11" s="298">
        <f>(J11-C11)*4</f>
        <v>1716.9476560000003</v>
      </c>
      <c r="L11" s="86">
        <f t="shared" ref="L11:L22" si="1">J11*4</f>
        <v>2019.0676560000002</v>
      </c>
      <c r="M11" s="86">
        <f t="shared" ref="M11:M22" si="2">L11*1.1</f>
        <v>2220.9744216000004</v>
      </c>
      <c r="N11" s="1">
        <f>'Tariff Jul 2018'!AW3</f>
        <v>0</v>
      </c>
      <c r="O11" s="1">
        <f>'Tariff Jul 2018'!AX3</f>
        <v>0</v>
      </c>
      <c r="P11" s="1">
        <f>'Tariff Jul 2018'!AY3</f>
        <v>0</v>
      </c>
      <c r="Q11" s="1">
        <f>'Tariff Jul 2018'!AZ3</f>
        <v>25</v>
      </c>
      <c r="R11" s="87">
        <f>($F$6*'Tariff Jul 2018'!AT3/100)*4</f>
        <v>80.676279999999991</v>
      </c>
      <c r="S11" s="298">
        <f t="shared" ref="S11:S22" si="3">L11</f>
        <v>2019.0676560000002</v>
      </c>
      <c r="T11" s="298">
        <f>S11-(K11*Q11/100)</f>
        <v>1589.8307420000001</v>
      </c>
      <c r="U11" s="298">
        <f t="shared" ref="U11:U22" si="4">S11-R11</f>
        <v>1938.3913760000003</v>
      </c>
      <c r="V11" s="298">
        <f t="shared" ref="V11:V22" si="5">T11-R11</f>
        <v>1509.1544620000002</v>
      </c>
      <c r="W11" s="300">
        <f t="shared" ref="W11:X22" si="6">U11*1.1</f>
        <v>2132.2305136000004</v>
      </c>
      <c r="X11" s="300">
        <f t="shared" si="6"/>
        <v>1660.0699082000003</v>
      </c>
      <c r="Y11" s="88">
        <f>'Tariff Jul 2018'!AT3</f>
        <v>9.5</v>
      </c>
      <c r="Z11" s="89">
        <f>'Tariff Jul 2018'!BI3</f>
        <v>0</v>
      </c>
      <c r="AA11" s="89" t="str">
        <f>'Tariff Jul 2018'!BJ3</f>
        <v>n</v>
      </c>
      <c r="AB11" s="90">
        <f>'Tariff Jul 2018'!G3</f>
        <v>41865</v>
      </c>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09"/>
      <c r="DY11" s="109"/>
      <c r="DZ11" s="109"/>
      <c r="EA11" s="109"/>
      <c r="EB11" s="109"/>
      <c r="EC11" s="109"/>
      <c r="ED11" s="109"/>
      <c r="EE11" s="109"/>
      <c r="EF11" s="66"/>
      <c r="EG11" s="66"/>
      <c r="EH11" s="66"/>
      <c r="EI11" s="66"/>
      <c r="EJ11" s="66"/>
      <c r="EK11" s="66"/>
    </row>
    <row r="12" spans="1:141" ht="14" x14ac:dyDescent="0.15">
      <c r="A12" s="63" t="str">
        <f>'Tariff Jul 2018'!K4</f>
        <v>Click Energy</v>
      </c>
      <c r="B12" s="1" t="str">
        <f>'Tariff Jul 2018'!L4</f>
        <v>Solar Light</v>
      </c>
      <c r="C12" s="84">
        <f>91*'Tariff Jul 2018'!M4/100</f>
        <v>82.445999999999998</v>
      </c>
      <c r="D12" s="84">
        <f>IF($F$5&gt;='Tariff Jul 2018'!P4,('Tariff Jul 2018'!P4*'Tariff Jul 2018'!N4/100),($F$5*'Tariff Jul 2018'!N4/100))</f>
        <v>478</v>
      </c>
      <c r="E12" s="84">
        <v>0</v>
      </c>
      <c r="F12" s="85">
        <v>0</v>
      </c>
      <c r="G12" s="84">
        <v>0</v>
      </c>
      <c r="H12" s="84">
        <v>0</v>
      </c>
      <c r="I12" s="84">
        <f>IF(($F$5&lt;'Tariff Jul 2018'!T4),(0),($F$5-'Tariff Jul 2018'!T4)*'Tariff Jul 2018'!U4/100)</f>
        <v>4.65300000000002</v>
      </c>
      <c r="J12" s="84">
        <f t="shared" si="0"/>
        <v>565.09900000000005</v>
      </c>
      <c r="K12" s="298">
        <f t="shared" ref="K12:K22" si="7">(J12-C12)*4</f>
        <v>1930.6120000000001</v>
      </c>
      <c r="L12" s="86">
        <f t="shared" si="1"/>
        <v>2260.3960000000002</v>
      </c>
      <c r="M12" s="86">
        <f t="shared" si="2"/>
        <v>2486.4356000000002</v>
      </c>
      <c r="N12" s="1">
        <f>'Tariff Jul 2018'!AW4</f>
        <v>0</v>
      </c>
      <c r="O12" s="1">
        <f>'Tariff Jul 2018'!AX4</f>
        <v>0</v>
      </c>
      <c r="P12" s="1">
        <f>'Tariff Jul 2018'!AY4</f>
        <v>24</v>
      </c>
      <c r="Q12" s="1">
        <f>'Tariff Jul 2018'!AZ4</f>
        <v>0</v>
      </c>
      <c r="R12" s="87">
        <f>($F$6*'Tariff Jul 2018'!AT4/100)*4</f>
        <v>127.38359999999999</v>
      </c>
      <c r="S12" s="298">
        <f t="shared" si="3"/>
        <v>2260.3960000000002</v>
      </c>
      <c r="T12" s="298">
        <f>S12-(S12*P12/100)</f>
        <v>1717.9009600000002</v>
      </c>
      <c r="U12" s="298">
        <f t="shared" si="4"/>
        <v>2133.0124000000001</v>
      </c>
      <c r="V12" s="298">
        <f t="shared" si="5"/>
        <v>1590.5173600000003</v>
      </c>
      <c r="W12" s="300">
        <f t="shared" si="6"/>
        <v>2346.3136400000003</v>
      </c>
      <c r="X12" s="300">
        <f t="shared" si="6"/>
        <v>1749.5690960000004</v>
      </c>
      <c r="Y12" s="88">
        <f>'Tariff Jul 2018'!AT4</f>
        <v>15</v>
      </c>
      <c r="Z12" s="89">
        <f>'Tariff Jul 2018'!BI4</f>
        <v>0</v>
      </c>
      <c r="AA12" s="89" t="str">
        <f>'Tariff Jul 2018'!BJ4</f>
        <v>n</v>
      </c>
      <c r="AB12" s="90">
        <f>'Tariff Jul 2018'!G4</f>
        <v>41698</v>
      </c>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09"/>
      <c r="DY12" s="109"/>
      <c r="DZ12" s="109"/>
      <c r="EA12" s="109"/>
      <c r="EB12" s="109"/>
      <c r="EC12" s="109"/>
      <c r="ED12" s="109"/>
      <c r="EE12" s="109"/>
      <c r="EF12" s="66"/>
      <c r="EG12" s="66"/>
      <c r="EH12" s="66"/>
      <c r="EI12" s="66"/>
      <c r="EJ12" s="66"/>
      <c r="EK12" s="66"/>
    </row>
    <row r="13" spans="1:141" ht="14" x14ac:dyDescent="0.15">
      <c r="A13" s="63" t="str">
        <f>'Tariff Jul 2018'!K5</f>
        <v>Commander</v>
      </c>
      <c r="B13" s="1" t="str">
        <f>'Tariff Jul 2018'!L5</f>
        <v>Market offer</v>
      </c>
      <c r="C13" s="84">
        <f>91*'Tariff Jul 2018'!M5/100</f>
        <v>73.664500000000004</v>
      </c>
      <c r="D13" s="84">
        <f>IF($F$5&gt;='Tariff Jul 2018'!P5,('Tariff Jul 2018'!P5*'Tariff Jul 2018'!N5/100),($F$5*'Tariff Jul 2018'!N5/100))</f>
        <v>409</v>
      </c>
      <c r="E13" s="84">
        <v>0</v>
      </c>
      <c r="F13" s="85">
        <v>0</v>
      </c>
      <c r="G13" s="84">
        <v>0</v>
      </c>
      <c r="H13" s="84">
        <v>0</v>
      </c>
      <c r="I13" s="84">
        <f>IF(($F$5&lt;'Tariff Jul 2018'!T5),(0),($F$5-'Tariff Jul 2018'!T5)*'Tariff Jul 2018'!U5/100)</f>
        <v>4.131864000000018</v>
      </c>
      <c r="J13" s="84">
        <f t="shared" si="0"/>
        <v>486.79636399999998</v>
      </c>
      <c r="K13" s="298">
        <f t="shared" si="7"/>
        <v>1652.5274559999998</v>
      </c>
      <c r="L13" s="86">
        <f t="shared" si="1"/>
        <v>1947.1854559999999</v>
      </c>
      <c r="M13" s="86">
        <f t="shared" si="2"/>
        <v>2141.9040015999999</v>
      </c>
      <c r="N13" s="1">
        <f>'Tariff Jul 2018'!AW5</f>
        <v>0</v>
      </c>
      <c r="O13" s="1">
        <f>'Tariff Jul 2018'!AX5</f>
        <v>0</v>
      </c>
      <c r="P13" s="1">
        <f>'Tariff Jul 2018'!AY5</f>
        <v>0</v>
      </c>
      <c r="Q13" s="1">
        <f>'Tariff Jul 2018'!AZ5</f>
        <v>20</v>
      </c>
      <c r="R13" s="87">
        <f>($F$6*'Tariff Jul 2018'!AT5/100)*4</f>
        <v>98.509983999999989</v>
      </c>
      <c r="S13" s="298">
        <f t="shared" si="3"/>
        <v>1947.1854559999999</v>
      </c>
      <c r="T13" s="298">
        <f>S13-(K13*Q13/100)</f>
        <v>1616.6799648000001</v>
      </c>
      <c r="U13" s="298">
        <f t="shared" si="4"/>
        <v>1848.6754719999999</v>
      </c>
      <c r="V13" s="298">
        <f t="shared" si="5"/>
        <v>1518.1699808000001</v>
      </c>
      <c r="W13" s="300">
        <f t="shared" si="6"/>
        <v>2033.5430192000001</v>
      </c>
      <c r="X13" s="300">
        <f t="shared" si="6"/>
        <v>1669.9869788800002</v>
      </c>
      <c r="Y13" s="88">
        <f>'Tariff Jul 2018'!AT5</f>
        <v>11.6</v>
      </c>
      <c r="Z13" s="89">
        <f>'Tariff Jul 2018'!BI5</f>
        <v>0</v>
      </c>
      <c r="AA13" s="89" t="str">
        <f>'Tariff Jul 2018'!BJ5</f>
        <v>n</v>
      </c>
      <c r="AB13" s="90">
        <f>'Tariff Jul 2018'!G5</f>
        <v>41847</v>
      </c>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09"/>
      <c r="DY13" s="109"/>
      <c r="DZ13" s="109"/>
      <c r="EA13" s="109"/>
      <c r="EB13" s="109"/>
      <c r="EC13" s="109"/>
      <c r="ED13" s="109"/>
      <c r="EE13" s="109"/>
      <c r="EF13" s="66"/>
      <c r="EG13" s="66"/>
      <c r="EH13" s="66"/>
      <c r="EI13" s="66"/>
      <c r="EJ13" s="66"/>
      <c r="EK13" s="66"/>
    </row>
    <row r="14" spans="1:141" ht="14" x14ac:dyDescent="0.15">
      <c r="A14" s="63" t="str">
        <f>'Tariff Jul 2018'!K6</f>
        <v>Diamond Energy</v>
      </c>
      <c r="B14" s="1" t="str">
        <f>'Tariff Jul 2018'!L6</f>
        <v>Pay on time discount</v>
      </c>
      <c r="C14" s="84">
        <f>91*'Tariff Jul 2018'!M6/100</f>
        <v>79.124499999999998</v>
      </c>
      <c r="D14" s="84">
        <f>IF($F$5&gt;='Tariff Jul 2018'!P6,('Tariff Jul 2018'!P6*'Tariff Jul 2018'!N6/100),($F$5*'Tariff Jul 2018'!N6/100))</f>
        <v>99.78</v>
      </c>
      <c r="E14" s="84">
        <f>IF($F$5&lt;'Tariff Jul 2018'!P6,0,IF(($F$5-'Tariff Jul 2018'!P6)&lt;='Tariff Jul 2018'!R6,(($F$5-'Tariff Jul 2018'!P6)*'Tariff Jul 2018'!Q6/100),(('Tariff Jul 2018'!R6-'Tariff Jul 2018'!P6)*'Tariff Jul 2018'!Q6/100)))</f>
        <v>254.56992339999999</v>
      </c>
      <c r="F14" s="85">
        <f>IF($F$5&lt;'Tariff Jul 2018'!R6,0,IF(($F$5-'Tariff Jul 2018'!R6)&lt;='Tariff Jul 2018'!T6,(($F$5-'Tariff Jul 2018'!R6)*'Tariff Jul 2018'!S6/100),(('Tariff Jul 2018'!T6-'Tariff Jul 2018'!R6)*'Tariff Jul 2018'!S6/100)))</f>
        <v>3.6246870000000162</v>
      </c>
      <c r="G14" s="84">
        <v>0</v>
      </c>
      <c r="H14" s="84">
        <v>0</v>
      </c>
      <c r="I14" s="84">
        <f>IF(($F$5&lt;'Tariff Jul 2018'!T6),(0),($F$5-'Tariff Jul 2018'!T6)*'Tariff Jul 2018'!U6/100)</f>
        <v>0</v>
      </c>
      <c r="J14" s="84">
        <f t="shared" si="0"/>
        <v>437.09911039999997</v>
      </c>
      <c r="K14" s="298">
        <f t="shared" si="7"/>
        <v>1431.8984415999998</v>
      </c>
      <c r="L14" s="86">
        <f t="shared" si="1"/>
        <v>1748.3964415999999</v>
      </c>
      <c r="M14" s="86">
        <f t="shared" si="2"/>
        <v>1923.2360857599999</v>
      </c>
      <c r="N14" s="1">
        <f>'Tariff Jul 2018'!AW6</f>
        <v>0</v>
      </c>
      <c r="O14" s="1">
        <f>'Tariff Jul 2018'!AX6</f>
        <v>0</v>
      </c>
      <c r="P14" s="1">
        <f>'Tariff Jul 2018'!AY6</f>
        <v>7</v>
      </c>
      <c r="Q14" s="1">
        <f>'Tariff Jul 2018'!AZ6</f>
        <v>0</v>
      </c>
      <c r="R14" s="87">
        <f>($F$6*'Tariff Jul 2018'!AT6/100)*4</f>
        <v>101.90687999999999</v>
      </c>
      <c r="S14" s="298">
        <f t="shared" si="3"/>
        <v>1748.3964415999999</v>
      </c>
      <c r="T14" s="298">
        <f>S14-(S14*P14/100)</f>
        <v>1626.0086906879999</v>
      </c>
      <c r="U14" s="298">
        <f t="shared" si="4"/>
        <v>1646.4895615999999</v>
      </c>
      <c r="V14" s="298">
        <f t="shared" si="5"/>
        <v>1524.1018106879999</v>
      </c>
      <c r="W14" s="300">
        <f t="shared" si="6"/>
        <v>1811.13851776</v>
      </c>
      <c r="X14" s="300">
        <f t="shared" si="6"/>
        <v>1676.5119917567999</v>
      </c>
      <c r="Y14" s="88">
        <f>'Tariff Jul 2018'!AT6</f>
        <v>12</v>
      </c>
      <c r="Z14" s="89">
        <f>'Tariff Jul 2018'!BI6</f>
        <v>0</v>
      </c>
      <c r="AA14" s="89" t="str">
        <f>'Tariff Jul 2018'!BJ6</f>
        <v>n</v>
      </c>
      <c r="AB14" s="90">
        <f>'Tariff Jul 2018'!G6</f>
        <v>41820</v>
      </c>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09"/>
      <c r="DY14" s="109"/>
      <c r="DZ14" s="109"/>
      <c r="EA14" s="109"/>
      <c r="EB14" s="109"/>
      <c r="EC14" s="109"/>
      <c r="ED14" s="109"/>
      <c r="EE14" s="109"/>
      <c r="EF14" s="66"/>
      <c r="EG14" s="66"/>
      <c r="EH14" s="66"/>
      <c r="EI14" s="66"/>
      <c r="EJ14" s="66"/>
      <c r="EK14" s="66"/>
    </row>
    <row r="15" spans="1:141" ht="14" x14ac:dyDescent="0.15">
      <c r="A15" s="63" t="str">
        <f>'Tariff Jul 2018'!K7</f>
        <v>Dodo Power &amp; Gas</v>
      </c>
      <c r="B15" s="1" t="str">
        <f>'Tariff Jul 2018'!L7</f>
        <v>Market offer</v>
      </c>
      <c r="C15" s="84">
        <f>91*'Tariff Jul 2018'!M7/100</f>
        <v>73.664500000000004</v>
      </c>
      <c r="D15" s="84">
        <f>IF($F$5&gt;='Tariff Jul 2018'!P7,('Tariff Jul 2018'!P7*'Tariff Jul 2018'!N7/100),($F$5*'Tariff Jul 2018'!N7/100))</f>
        <v>426.5</v>
      </c>
      <c r="E15" s="84">
        <v>0</v>
      </c>
      <c r="F15" s="85">
        <v>0</v>
      </c>
      <c r="G15" s="84">
        <v>0</v>
      </c>
      <c r="H15" s="84">
        <v>0</v>
      </c>
      <c r="I15" s="84">
        <f>IF(($F$5&lt;'Tariff Jul 2018'!T7),(0),($F$5-'Tariff Jul 2018'!T7)*'Tariff Jul 2018'!U7/100)</f>
        <v>4.3040250000000189</v>
      </c>
      <c r="J15" s="84">
        <f t="shared" si="0"/>
        <v>504.468525</v>
      </c>
      <c r="K15" s="298">
        <f t="shared" si="7"/>
        <v>1723.2161000000001</v>
      </c>
      <c r="L15" s="86">
        <f t="shared" si="1"/>
        <v>2017.8741</v>
      </c>
      <c r="M15" s="86">
        <f t="shared" si="2"/>
        <v>2219.6615100000004</v>
      </c>
      <c r="N15" s="1">
        <f>'Tariff Jul 2018'!AW7</f>
        <v>0</v>
      </c>
      <c r="O15" s="1">
        <f>'Tariff Jul 2018'!AX7</f>
        <v>0</v>
      </c>
      <c r="P15" s="1">
        <f>'Tariff Jul 2018'!AY7</f>
        <v>0</v>
      </c>
      <c r="Q15" s="1">
        <f>'Tariff Jul 2018'!AZ7</f>
        <v>0</v>
      </c>
      <c r="R15" s="87">
        <f>($F$6*'Tariff Jul 2018'!AT7/100)*4</f>
        <v>98.509983999999989</v>
      </c>
      <c r="S15" s="298">
        <f t="shared" si="3"/>
        <v>2017.8741</v>
      </c>
      <c r="T15" s="298">
        <f>S15-(K15*Q15/100)</f>
        <v>2017.8741</v>
      </c>
      <c r="U15" s="298">
        <f t="shared" si="4"/>
        <v>1919.364116</v>
      </c>
      <c r="V15" s="298">
        <f t="shared" si="5"/>
        <v>1919.364116</v>
      </c>
      <c r="W15" s="300">
        <f t="shared" si="6"/>
        <v>2111.3005276000004</v>
      </c>
      <c r="X15" s="300">
        <f t="shared" si="6"/>
        <v>2111.3005276000004</v>
      </c>
      <c r="Y15" s="88">
        <f>'Tariff Jul 2018'!AT7</f>
        <v>11.6</v>
      </c>
      <c r="Z15" s="89">
        <f>'Tariff Jul 2018'!BI7</f>
        <v>0</v>
      </c>
      <c r="AA15" s="89" t="str">
        <f>'Tariff Jul 2018'!BJ7</f>
        <v>n</v>
      </c>
      <c r="AB15" s="90">
        <f>'Tariff Jul 2018'!G7</f>
        <v>41846</v>
      </c>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09"/>
      <c r="DY15" s="109"/>
      <c r="DZ15" s="109"/>
      <c r="EA15" s="109"/>
      <c r="EB15" s="109"/>
      <c r="EC15" s="109"/>
      <c r="ED15" s="109"/>
      <c r="EE15" s="109"/>
      <c r="EF15" s="66"/>
      <c r="EG15" s="66"/>
      <c r="EH15" s="66"/>
      <c r="EI15" s="66"/>
      <c r="EJ15" s="66"/>
      <c r="EK15" s="66"/>
    </row>
    <row r="16" spans="1:141" ht="14" x14ac:dyDescent="0.15">
      <c r="A16" s="63" t="str">
        <f>'Tariff Jul 2018'!K8</f>
        <v>EnergyAustralia</v>
      </c>
      <c r="B16" s="1" t="str">
        <f>'Tariff Jul 2018'!L8</f>
        <v>Anytime Saver</v>
      </c>
      <c r="C16" s="84">
        <f>91*'Tariff Jul 2018'!M8/100</f>
        <v>81.536000000000001</v>
      </c>
      <c r="D16" s="84">
        <f>IF($F$5&gt;='Tariff Jul 2018'!P8,('Tariff Jul 2018'!P8*'Tariff Jul 2018'!N8/100),($F$5*'Tariff Jul 2018'!N8/100))</f>
        <v>422.7</v>
      </c>
      <c r="E16" s="84">
        <v>0</v>
      </c>
      <c r="F16" s="85">
        <v>0</v>
      </c>
      <c r="G16" s="84">
        <v>0</v>
      </c>
      <c r="H16" s="84">
        <v>0</v>
      </c>
      <c r="I16" s="84">
        <f>IF(($F$5&lt;'Tariff Jul 2018'!T8),(0),($F$5-'Tariff Jul 2018'!T8)*'Tariff Jul 2018'!U8/100)</f>
        <v>4.2277158000000181</v>
      </c>
      <c r="J16" s="84">
        <f t="shared" si="0"/>
        <v>508.46371579999999</v>
      </c>
      <c r="K16" s="298">
        <f t="shared" si="7"/>
        <v>1707.7108631999999</v>
      </c>
      <c r="L16" s="86">
        <f t="shared" si="1"/>
        <v>2033.8548632</v>
      </c>
      <c r="M16" s="86">
        <f t="shared" si="2"/>
        <v>2237.2403495200001</v>
      </c>
      <c r="N16" s="1">
        <f>'Tariff Jul 2018'!AW8</f>
        <v>0</v>
      </c>
      <c r="O16" s="1">
        <f>'Tariff Jul 2018'!AX8</f>
        <v>20</v>
      </c>
      <c r="P16" s="1">
        <f>'Tariff Jul 2018'!AY8</f>
        <v>0</v>
      </c>
      <c r="Q16" s="1">
        <f>'Tariff Jul 2018'!AZ8</f>
        <v>0</v>
      </c>
      <c r="R16" s="87">
        <f>($F$6*'Tariff Jul 2018'!AT8/100)*4</f>
        <v>127.38359999999999</v>
      </c>
      <c r="S16" s="298">
        <f>L16-(K16*O16/100)</f>
        <v>1692.31269056</v>
      </c>
      <c r="T16" s="298">
        <f>S16-(K16*Q16/100)</f>
        <v>1692.31269056</v>
      </c>
      <c r="U16" s="298">
        <f t="shared" si="4"/>
        <v>1564.9290905600001</v>
      </c>
      <c r="V16" s="298">
        <f t="shared" si="5"/>
        <v>1564.9290905600001</v>
      </c>
      <c r="W16" s="300">
        <f t="shared" si="6"/>
        <v>1721.4219996160002</v>
      </c>
      <c r="X16" s="300">
        <f t="shared" si="6"/>
        <v>1721.4219996160002</v>
      </c>
      <c r="Y16" s="88">
        <f>'Tariff Jul 2018'!AT8</f>
        <v>15</v>
      </c>
      <c r="Z16" s="89">
        <f>'Tariff Jul 2018'!BI8</f>
        <v>0</v>
      </c>
      <c r="AA16" s="89" t="str">
        <f>'Tariff Jul 2018'!BJ8</f>
        <v>n</v>
      </c>
      <c r="AB16" s="90">
        <f>'Tariff Jul 2018'!G8</f>
        <v>41859</v>
      </c>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09"/>
      <c r="DY16" s="109"/>
      <c r="DZ16" s="109"/>
      <c r="EA16" s="109"/>
      <c r="EB16" s="109"/>
      <c r="EC16" s="109"/>
      <c r="ED16" s="109"/>
      <c r="EE16" s="109"/>
      <c r="EF16" s="66"/>
      <c r="EG16" s="66"/>
      <c r="EH16" s="66"/>
      <c r="EI16" s="66"/>
      <c r="EJ16" s="66"/>
      <c r="EK16" s="66"/>
    </row>
    <row r="17" spans="1:141" ht="14" x14ac:dyDescent="0.15">
      <c r="A17" s="63" t="str">
        <f>'Tariff Jul 2018'!K9</f>
        <v>Lumo Energy</v>
      </c>
      <c r="B17" s="1" t="str">
        <f>'Tariff Jul 2018'!L9</f>
        <v>Advantage</v>
      </c>
      <c r="C17" s="84">
        <f>91*'Tariff Jul 2018'!M9/100</f>
        <v>80.08</v>
      </c>
      <c r="D17" s="84">
        <f>IF($F$5&gt;='Tariff Jul 2018'!P9,('Tariff Jul 2018'!P9*'Tariff Jul 2018'!N9/100),($F$5*'Tariff Jul 2018'!N9/100))</f>
        <v>390</v>
      </c>
      <c r="E17" s="84">
        <v>0</v>
      </c>
      <c r="F17" s="85">
        <v>0</v>
      </c>
      <c r="G17" s="84">
        <v>0</v>
      </c>
      <c r="H17" s="84">
        <v>0</v>
      </c>
      <c r="I17" s="84">
        <f>IF(($F$5&lt;'Tariff Jul 2018'!T9),(0),($F$5-'Tariff Jul 2018'!T9)*'Tariff Jul 2018'!U9/100)</f>
        <v>3.6758700000000157</v>
      </c>
      <c r="J17" s="84">
        <f t="shared" si="0"/>
        <v>473.75587000000002</v>
      </c>
      <c r="K17" s="298">
        <f t="shared" si="7"/>
        <v>1574.7034800000001</v>
      </c>
      <c r="L17" s="86">
        <f t="shared" si="1"/>
        <v>1895.0234800000001</v>
      </c>
      <c r="M17" s="86">
        <f t="shared" si="2"/>
        <v>2084.5258280000003</v>
      </c>
      <c r="N17" s="1">
        <f>'Tariff Jul 2018'!AW9</f>
        <v>0</v>
      </c>
      <c r="O17" s="1">
        <f>'Tariff Jul 2018'!AX9</f>
        <v>0</v>
      </c>
      <c r="P17" s="1">
        <f>'Tariff Jul 2018'!AY9</f>
        <v>15</v>
      </c>
      <c r="Q17" s="1">
        <f>'Tariff Jul 2018'!AZ9</f>
        <v>0</v>
      </c>
      <c r="R17" s="87">
        <f>($F$6*'Tariff Jul 2018'!AT9/100)*4</f>
        <v>135.87583999999998</v>
      </c>
      <c r="S17" s="298">
        <f t="shared" si="3"/>
        <v>1895.0234800000001</v>
      </c>
      <c r="T17" s="298">
        <f>S17-(S17*P17/100)</f>
        <v>1610.7699580000001</v>
      </c>
      <c r="U17" s="298">
        <f t="shared" si="4"/>
        <v>1759.1476400000001</v>
      </c>
      <c r="V17" s="298">
        <f t="shared" si="5"/>
        <v>1474.8941180000002</v>
      </c>
      <c r="W17" s="300">
        <f t="shared" si="6"/>
        <v>1935.0624040000002</v>
      </c>
      <c r="X17" s="300">
        <f t="shared" si="6"/>
        <v>1622.3835298000004</v>
      </c>
      <c r="Y17" s="88">
        <f>'Tariff Jul 2018'!AT9</f>
        <v>16</v>
      </c>
      <c r="Z17" s="89">
        <f>'Tariff Jul 2018'!BI9</f>
        <v>0</v>
      </c>
      <c r="AA17" s="89" t="str">
        <f>'Tariff Jul 2018'!BJ9</f>
        <v>n</v>
      </c>
      <c r="AB17" s="90">
        <f>'Tariff Jul 2018'!G9</f>
        <v>41851</v>
      </c>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09"/>
      <c r="DY17" s="109"/>
      <c r="DZ17" s="109"/>
      <c r="EA17" s="109"/>
      <c r="EB17" s="109"/>
      <c r="EC17" s="109"/>
      <c r="ED17" s="109"/>
      <c r="EE17" s="109"/>
      <c r="EF17" s="66"/>
      <c r="EG17" s="66"/>
      <c r="EH17" s="66"/>
      <c r="EI17" s="66"/>
      <c r="EJ17" s="66"/>
      <c r="EK17" s="66"/>
    </row>
    <row r="18" spans="1:141" ht="14" x14ac:dyDescent="0.15">
      <c r="A18" s="63" t="str">
        <f>'Tariff Jul 2018'!K10</f>
        <v>Momentum Energy</v>
      </c>
      <c r="B18" s="1" t="str">
        <f>'Tariff Jul 2018'!L10</f>
        <v>SmilePower</v>
      </c>
      <c r="C18" s="84">
        <f>91*'Tariff Jul 2018'!M10/100</f>
        <v>88.242699999999999</v>
      </c>
      <c r="D18" s="84">
        <f>IF($F$5&gt;='Tariff Jul 2018'!P10,('Tariff Jul 2018'!P10*'Tariff Jul 2018'!N10/100),($F$5*'Tariff Jul 2018'!N10/100))</f>
        <v>219.42</v>
      </c>
      <c r="E18" s="84">
        <v>0</v>
      </c>
      <c r="F18" s="85">
        <v>0</v>
      </c>
      <c r="G18" s="84">
        <v>0</v>
      </c>
      <c r="H18" s="84">
        <v>0</v>
      </c>
      <c r="I18" s="84">
        <f>IF(($F$5&lt;'Tariff Jul 2018'!T10),(0),($F$5-'Tariff Jul 2018'!T10)*'Tariff Jul 2018'!U10/100)</f>
        <v>149.68320420000001</v>
      </c>
      <c r="J18" s="84">
        <f t="shared" si="0"/>
        <v>457.34590419999995</v>
      </c>
      <c r="K18" s="298">
        <f t="shared" si="7"/>
        <v>1476.4128167999997</v>
      </c>
      <c r="L18" s="86">
        <f t="shared" si="1"/>
        <v>1829.3836167999998</v>
      </c>
      <c r="M18" s="86">
        <f t="shared" si="2"/>
        <v>2012.3219784799999</v>
      </c>
      <c r="N18" s="1">
        <f>'Tariff Jul 2018'!AW10</f>
        <v>0</v>
      </c>
      <c r="O18" s="1">
        <f>'Tariff Jul 2018'!AX10</f>
        <v>0</v>
      </c>
      <c r="P18" s="1">
        <f>'Tariff Jul 2018'!AY10</f>
        <v>0</v>
      </c>
      <c r="Q18" s="1">
        <f>'Tariff Jul 2018'!AZ10</f>
        <v>0</v>
      </c>
      <c r="R18" s="87">
        <f>($F$6*'Tariff Jul 2018'!AT10/100)*4</f>
        <v>57.747231999999997</v>
      </c>
      <c r="S18" s="298">
        <f t="shared" si="3"/>
        <v>1829.3836167999998</v>
      </c>
      <c r="T18" s="298">
        <f>S18</f>
        <v>1829.3836167999998</v>
      </c>
      <c r="U18" s="298">
        <f t="shared" si="4"/>
        <v>1771.6363847999999</v>
      </c>
      <c r="V18" s="298">
        <f t="shared" si="5"/>
        <v>1771.6363847999999</v>
      </c>
      <c r="W18" s="300">
        <f t="shared" si="6"/>
        <v>1948.80002328</v>
      </c>
      <c r="X18" s="300">
        <f t="shared" si="6"/>
        <v>1948.80002328</v>
      </c>
      <c r="Y18" s="88">
        <f>'Tariff Jul 2018'!AT10</f>
        <v>6.8</v>
      </c>
      <c r="Z18" s="89">
        <f>'Tariff Jul 2018'!BI10</f>
        <v>0</v>
      </c>
      <c r="AA18" s="89" t="str">
        <f>'Tariff Jul 2018'!BJ10</f>
        <v>n</v>
      </c>
      <c r="AB18" s="90">
        <f>'Tariff Jul 2018'!G10</f>
        <v>41820</v>
      </c>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09"/>
      <c r="DY18" s="109"/>
      <c r="DZ18" s="109"/>
      <c r="EA18" s="109"/>
      <c r="EB18" s="109"/>
      <c r="EC18" s="109"/>
      <c r="ED18" s="109"/>
      <c r="EE18" s="109"/>
      <c r="EF18" s="66"/>
      <c r="EG18" s="66"/>
      <c r="EH18" s="66"/>
      <c r="EI18" s="66"/>
      <c r="EJ18" s="66"/>
      <c r="EK18" s="66"/>
    </row>
    <row r="19" spans="1:141" ht="14" x14ac:dyDescent="0.15">
      <c r="A19" s="63" t="str">
        <f>'Tariff Jul 2018'!K11</f>
        <v>Origin Energy</v>
      </c>
      <c r="B19" s="1" t="str">
        <f>'Tariff Jul 2018'!L11</f>
        <v>Solar Boost Plus</v>
      </c>
      <c r="C19" s="84">
        <f>91*'Tariff Jul 2018'!M11/100</f>
        <v>74.729200000000006</v>
      </c>
      <c r="D19" s="84">
        <f>IF($F$5&gt;='Tariff Jul 2018'!P11,('Tariff Jul 2018'!P11*'Tariff Jul 2018'!N11/100),($F$5*'Tariff Jul 2018'!N11/100))</f>
        <v>363.8</v>
      </c>
      <c r="E19" s="84">
        <v>0</v>
      </c>
      <c r="F19" s="85">
        <v>0</v>
      </c>
      <c r="G19" s="84">
        <v>0</v>
      </c>
      <c r="H19" s="84">
        <v>0</v>
      </c>
      <c r="I19" s="84">
        <f>IF(($F$5&lt;'Tariff Jul 2018'!T11),(0),($F$5-'Tariff Jul 2018'!T11)*'Tariff Jul 2018'!U11/100)</f>
        <v>3.6144504000000159</v>
      </c>
      <c r="J19" s="84">
        <f t="shared" si="0"/>
        <v>442.14365040000001</v>
      </c>
      <c r="K19" s="298">
        <f t="shared" si="7"/>
        <v>1469.6578016000001</v>
      </c>
      <c r="L19" s="86">
        <f t="shared" si="1"/>
        <v>1768.5746016000001</v>
      </c>
      <c r="M19" s="86">
        <f t="shared" si="2"/>
        <v>1945.4320617600001</v>
      </c>
      <c r="N19" s="1">
        <f>'Tariff Jul 2018'!AW11</f>
        <v>0</v>
      </c>
      <c r="O19" s="1">
        <f>'Tariff Jul 2018'!AX11</f>
        <v>12</v>
      </c>
      <c r="P19" s="1">
        <f>'Tariff Jul 2018'!AY11</f>
        <v>0</v>
      </c>
      <c r="Q19" s="1">
        <f>'Tariff Jul 2018'!AZ11</f>
        <v>0</v>
      </c>
      <c r="R19" s="87">
        <f>($F$6*'Tariff Jul 2018'!AT11/100)*4</f>
        <v>169.84479999999999</v>
      </c>
      <c r="S19" s="298">
        <f>L19-(K19*O19/100)</f>
        <v>1592.2156654079999</v>
      </c>
      <c r="T19" s="298">
        <f>S19</f>
        <v>1592.2156654079999</v>
      </c>
      <c r="U19" s="298">
        <f t="shared" si="4"/>
        <v>1422.3708654079999</v>
      </c>
      <c r="V19" s="298">
        <f t="shared" si="5"/>
        <v>1422.3708654079999</v>
      </c>
      <c r="W19" s="300">
        <f t="shared" si="6"/>
        <v>1564.6079519488001</v>
      </c>
      <c r="X19" s="300">
        <f t="shared" si="6"/>
        <v>1564.6079519488001</v>
      </c>
      <c r="Y19" s="88">
        <f>'Tariff Jul 2018'!AT11</f>
        <v>20</v>
      </c>
      <c r="Z19" s="89">
        <f>'Tariff Jul 2018'!BI11</f>
        <v>0</v>
      </c>
      <c r="AA19" s="89" t="str">
        <f>'Tariff Jul 2018'!BJ11</f>
        <v>n</v>
      </c>
      <c r="AB19" s="90">
        <f>'Tariff Jul 2018'!G11</f>
        <v>41820</v>
      </c>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09"/>
      <c r="DY19" s="109"/>
      <c r="DZ19" s="109"/>
      <c r="EA19" s="109"/>
      <c r="EB19" s="109"/>
      <c r="EC19" s="109"/>
      <c r="ED19" s="109"/>
      <c r="EE19" s="109"/>
      <c r="EF19" s="66"/>
      <c r="EG19" s="66"/>
      <c r="EH19" s="66"/>
      <c r="EI19" s="66"/>
      <c r="EJ19" s="66"/>
      <c r="EK19" s="66"/>
    </row>
    <row r="20" spans="1:141" ht="14" x14ac:dyDescent="0.15">
      <c r="A20" s="63" t="str">
        <f>'Tariff Jul 2018'!K12</f>
        <v>Powerdirect</v>
      </c>
      <c r="B20" s="1" t="str">
        <f>'Tariff Jul 2018'!L12</f>
        <v>Market offer</v>
      </c>
      <c r="C20" s="84">
        <f>91*'Tariff Jul 2018'!M12/100</f>
        <v>75.53</v>
      </c>
      <c r="D20" s="84">
        <f>$F$5*'Tariff Jul 2018'!N12/100</f>
        <v>381.51766799999996</v>
      </c>
      <c r="E20" s="84">
        <v>0</v>
      </c>
      <c r="F20" s="85">
        <v>0</v>
      </c>
      <c r="G20" s="84">
        <v>0</v>
      </c>
      <c r="H20" s="84">
        <v>0</v>
      </c>
      <c r="I20" s="84">
        <v>0</v>
      </c>
      <c r="J20" s="84">
        <f t="shared" si="0"/>
        <v>457.04766799999993</v>
      </c>
      <c r="K20" s="298">
        <f t="shared" si="7"/>
        <v>1526.0706719999998</v>
      </c>
      <c r="L20" s="86">
        <f t="shared" si="1"/>
        <v>1828.1906719999997</v>
      </c>
      <c r="M20" s="86">
        <f t="shared" si="2"/>
        <v>2011.0097391999998</v>
      </c>
      <c r="N20" s="1">
        <f>'Tariff Jul 2018'!AW12</f>
        <v>0</v>
      </c>
      <c r="O20" s="1">
        <f>'Tariff Jul 2018'!AX12</f>
        <v>0</v>
      </c>
      <c r="P20" s="1">
        <f>'Tariff Jul 2018'!AY12</f>
        <v>0</v>
      </c>
      <c r="Q20" s="1">
        <f>'Tariff Jul 2018'!AZ12</f>
        <v>17</v>
      </c>
      <c r="R20" s="87">
        <f>($F$6*'Tariff Jul 2018'!AT12/100)*4</f>
        <v>138.42351199999999</v>
      </c>
      <c r="S20" s="298">
        <f t="shared" si="3"/>
        <v>1828.1906719999997</v>
      </c>
      <c r="T20" s="298">
        <f>S20-(K20*Q20/100)</f>
        <v>1568.7586577599998</v>
      </c>
      <c r="U20" s="298">
        <f t="shared" si="4"/>
        <v>1689.7671599999996</v>
      </c>
      <c r="V20" s="298">
        <f t="shared" si="5"/>
        <v>1430.3351457599997</v>
      </c>
      <c r="W20" s="300">
        <f t="shared" si="6"/>
        <v>1858.7438759999998</v>
      </c>
      <c r="X20" s="300">
        <f t="shared" si="6"/>
        <v>1573.3686603359997</v>
      </c>
      <c r="Y20" s="88">
        <f>'Tariff Jul 2018'!AT12</f>
        <v>16.3</v>
      </c>
      <c r="Z20" s="89">
        <f>'Tariff Jul 2018'!BI12</f>
        <v>0</v>
      </c>
      <c r="AA20" s="89" t="str">
        <f>'Tariff Jul 2018'!BJ12</f>
        <v>n</v>
      </c>
      <c r="AB20" s="90">
        <f>'Tariff Jul 2018'!G12</f>
        <v>41823</v>
      </c>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09"/>
      <c r="DY20" s="109"/>
      <c r="DZ20" s="109"/>
      <c r="EA20" s="109"/>
      <c r="EB20" s="109"/>
      <c r="EC20" s="109"/>
      <c r="ED20" s="109"/>
      <c r="EE20" s="109"/>
      <c r="EF20" s="66"/>
      <c r="EG20" s="66"/>
      <c r="EH20" s="66"/>
      <c r="EI20" s="66"/>
      <c r="EJ20" s="66"/>
      <c r="EK20" s="66"/>
    </row>
    <row r="21" spans="1:141" ht="14" x14ac:dyDescent="0.15">
      <c r="A21" s="63" t="str">
        <f>'Tariff Jul 2018'!K13</f>
        <v>Simply Energy</v>
      </c>
      <c r="B21" s="1" t="str">
        <f>'Tariff Jul 2018'!L13</f>
        <v>Plus</v>
      </c>
      <c r="C21" s="84">
        <f>91*'Tariff Jul 2018'!M13/100</f>
        <v>74.328800000000015</v>
      </c>
      <c r="D21" s="84">
        <f>IF($F$5&gt;='Tariff Jul 2018'!P13,('Tariff Jul 2018'!P13*'Tariff Jul 2018'!N13/100),($F$5*'Tariff Jul 2018'!N13/100))</f>
        <v>379.9</v>
      </c>
      <c r="E21" s="84">
        <v>0</v>
      </c>
      <c r="F21" s="85">
        <v>0</v>
      </c>
      <c r="G21" s="84">
        <v>0</v>
      </c>
      <c r="H21" s="84">
        <v>0</v>
      </c>
      <c r="I21" s="84">
        <f>IF(($F$5&lt;'Tariff Jul 2018'!T13),(0),($F$5-'Tariff Jul 2018'!T13)*'Tariff Jul 2018'!U13/100)</f>
        <v>3.9652866000000171</v>
      </c>
      <c r="J21" s="84">
        <f t="shared" si="0"/>
        <v>458.19408659999999</v>
      </c>
      <c r="K21" s="298">
        <f>(J21-C21)*4</f>
        <v>1535.4611464</v>
      </c>
      <c r="L21" s="86">
        <f t="shared" si="1"/>
        <v>1832.7763464</v>
      </c>
      <c r="M21" s="86">
        <f t="shared" si="2"/>
        <v>2016.0539810400001</v>
      </c>
      <c r="N21" s="1">
        <f>'Tariff Jul 2018'!AW13</f>
        <v>0</v>
      </c>
      <c r="O21" s="1">
        <f>'Tariff Jul 2018'!AX13</f>
        <v>0</v>
      </c>
      <c r="P21" s="1">
        <f>'Tariff Jul 2018'!AY13</f>
        <v>0</v>
      </c>
      <c r="Q21" s="1">
        <f>'Tariff Jul 2018'!AZ13</f>
        <v>18</v>
      </c>
      <c r="R21" s="87">
        <f>($F$6*'Tariff Jul 2018'!AT13/100)*4</f>
        <v>84.922399999999996</v>
      </c>
      <c r="S21" s="298">
        <f t="shared" si="3"/>
        <v>1832.7763464</v>
      </c>
      <c r="T21" s="298">
        <f>S21-(K21*Q21/100)</f>
        <v>1556.393340048</v>
      </c>
      <c r="U21" s="298">
        <f t="shared" si="4"/>
        <v>1747.8539464</v>
      </c>
      <c r="V21" s="298">
        <f t="shared" si="5"/>
        <v>1471.4709400480001</v>
      </c>
      <c r="W21" s="300">
        <f t="shared" si="6"/>
        <v>1922.6393410400001</v>
      </c>
      <c r="X21" s="300">
        <f t="shared" si="6"/>
        <v>1618.6180340528003</v>
      </c>
      <c r="Y21" s="88">
        <f>'Tariff Jul 2018'!AT13</f>
        <v>10</v>
      </c>
      <c r="Z21" s="89">
        <f>'Tariff Jul 2018'!BI13</f>
        <v>0</v>
      </c>
      <c r="AA21" s="89" t="str">
        <f>'Tariff Jul 2018'!BJ13</f>
        <v>n</v>
      </c>
      <c r="AB21" s="90">
        <f>'Tariff Jul 2018'!G13</f>
        <v>41858</v>
      </c>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09"/>
      <c r="DY21" s="109"/>
      <c r="DZ21" s="109"/>
      <c r="EA21" s="109"/>
      <c r="EB21" s="109"/>
      <c r="EC21" s="109"/>
      <c r="ED21" s="109"/>
      <c r="EE21" s="109"/>
      <c r="EF21" s="66"/>
      <c r="EG21" s="66"/>
      <c r="EH21" s="66"/>
      <c r="EI21" s="66"/>
      <c r="EJ21" s="66"/>
      <c r="EK21" s="66"/>
    </row>
    <row r="22" spans="1:141" ht="14" x14ac:dyDescent="0.15">
      <c r="A22" s="63" t="str">
        <f>'Tariff Jul 2018'!K14</f>
        <v>Red Energy</v>
      </c>
      <c r="B22" s="1" t="str">
        <f>'Tariff Jul 2018'!L14</f>
        <v>No exit fee saver</v>
      </c>
      <c r="C22" s="84">
        <f>91*'Tariff Jul 2018'!M14/100</f>
        <v>77.304500000000004</v>
      </c>
      <c r="D22" s="84">
        <f>IF($F$5&gt;='Tariff Jul 2018'!P14,('Tariff Jul 2018'!P14*'Tariff Jul 2018'!N14/100),($F$5*'Tariff Jul 2018'!N14/100))</f>
        <v>376.5</v>
      </c>
      <c r="E22" s="84">
        <v>0</v>
      </c>
      <c r="F22" s="85">
        <v>0</v>
      </c>
      <c r="G22" s="84">
        <v>0</v>
      </c>
      <c r="H22" s="84">
        <v>0</v>
      </c>
      <c r="I22" s="84">
        <f>IF(($F$5&lt;'Tariff Jul 2018'!T14),(0),($F$5-'Tariff Jul 2018'!T14)*'Tariff Jul 2018'!U14/100)</f>
        <v>3.7177470000000166</v>
      </c>
      <c r="J22" s="84">
        <f t="shared" si="0"/>
        <v>457.52224700000005</v>
      </c>
      <c r="K22" s="298">
        <f t="shared" si="7"/>
        <v>1520.8709880000001</v>
      </c>
      <c r="L22" s="86">
        <f t="shared" si="1"/>
        <v>1830.0889880000002</v>
      </c>
      <c r="M22" s="86">
        <f t="shared" si="2"/>
        <v>2013.0978868000004</v>
      </c>
      <c r="N22" s="1">
        <f>'Tariff Jul 2018'!AW14</f>
        <v>0</v>
      </c>
      <c r="O22" s="1">
        <f>'Tariff Jul 2018'!AX14</f>
        <v>0</v>
      </c>
      <c r="P22" s="1">
        <f>'Tariff Jul 2018'!AY14</f>
        <v>10</v>
      </c>
      <c r="Q22" s="1">
        <f>'Tariff Jul 2018'!AZ14</f>
        <v>0</v>
      </c>
      <c r="R22" s="87">
        <f>($F$6*'Tariff Jul 2018'!AT14/100)*4</f>
        <v>135.87583999999998</v>
      </c>
      <c r="S22" s="298">
        <f t="shared" si="3"/>
        <v>1830.0889880000002</v>
      </c>
      <c r="T22" s="298">
        <f>S22-(L22*P22/100)</f>
        <v>1647.0800892000002</v>
      </c>
      <c r="U22" s="298">
        <f t="shared" si="4"/>
        <v>1694.2131480000003</v>
      </c>
      <c r="V22" s="298">
        <f t="shared" si="5"/>
        <v>1511.2042492000003</v>
      </c>
      <c r="W22" s="300">
        <f t="shared" si="6"/>
        <v>1863.6344628000004</v>
      </c>
      <c r="X22" s="300">
        <f t="shared" si="6"/>
        <v>1662.3246741200005</v>
      </c>
      <c r="Y22" s="88">
        <f>'Tariff Jul 2018'!AT14</f>
        <v>16</v>
      </c>
      <c r="Z22" s="89">
        <f>'Tariff Jul 2018'!BI14</f>
        <v>0</v>
      </c>
      <c r="AA22" s="89" t="str">
        <f>'Tariff Jul 2018'!BJ14</f>
        <v>n</v>
      </c>
      <c r="AB22" s="90">
        <f>'Tariff Jul 2018'!G14</f>
        <v>41844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09"/>
      <c r="DY22" s="109"/>
      <c r="DZ22" s="109"/>
      <c r="EA22" s="109"/>
      <c r="EB22" s="109"/>
      <c r="EC22" s="109"/>
      <c r="ED22" s="109"/>
      <c r="EE22" s="109"/>
      <c r="EF22" s="66"/>
      <c r="EG22" s="66"/>
      <c r="EH22" s="66"/>
      <c r="EI22" s="66"/>
      <c r="EJ22" s="66"/>
      <c r="EK22" s="66"/>
    </row>
    <row r="23" spans="1:141" ht="15" thickBot="1" x14ac:dyDescent="0.2">
      <c r="A23" s="91" t="str">
        <f>'Tariff Jul 2018'!K15</f>
        <v>Amaysim</v>
      </c>
      <c r="B23" s="92" t="str">
        <f>'Tariff Jul 2018'!L15</f>
        <v>Solar 4</v>
      </c>
      <c r="C23" s="93">
        <f>91*'Tariff Jul 2018'!M15/100</f>
        <v>82.445999999999998</v>
      </c>
      <c r="D23" s="93">
        <f>IF($F$5&gt;='Tariff Jul 2018'!P15,('Tariff Jul 2018'!P15*'Tariff Jul 2018'!N15/100),($F$5*'Tariff Jul 2018'!N15/100))</f>
        <v>478</v>
      </c>
      <c r="E23" s="93">
        <v>0</v>
      </c>
      <c r="F23" s="94">
        <v>0</v>
      </c>
      <c r="G23" s="93">
        <v>0</v>
      </c>
      <c r="H23" s="93">
        <v>0</v>
      </c>
      <c r="I23" s="93">
        <f>IF(($F$5&lt;'Tariff Jul 2018'!T15),(0),($F$5-'Tariff Jul 2018'!T15)*'Tariff Jul 2018'!U15/100)</f>
        <v>4.65300000000002</v>
      </c>
      <c r="J23" s="93">
        <f t="shared" ref="J23" si="8">SUM(C23:I23)</f>
        <v>565.09900000000005</v>
      </c>
      <c r="K23" s="299">
        <f t="shared" ref="K23" si="9">(J23-C23)*4</f>
        <v>1930.6120000000001</v>
      </c>
      <c r="L23" s="95">
        <f t="shared" ref="L23" si="10">J23*4</f>
        <v>2260.3960000000002</v>
      </c>
      <c r="M23" s="95">
        <f t="shared" ref="M23" si="11">L23*1.1</f>
        <v>2486.4356000000002</v>
      </c>
      <c r="N23" s="92">
        <f>'Tariff Jul 2018'!AW15</f>
        <v>0</v>
      </c>
      <c r="O23" s="92">
        <f>'Tariff Jul 2018'!AX15</f>
        <v>0</v>
      </c>
      <c r="P23" s="92">
        <f>'Tariff Jul 2018'!AY15</f>
        <v>5</v>
      </c>
      <c r="Q23" s="92">
        <f>'Tariff Jul 2018'!AZ15</f>
        <v>0</v>
      </c>
      <c r="R23" s="96">
        <f>($F$6*'Tariff Jul 2018'!AT15/100)*4</f>
        <v>169.84479999999999</v>
      </c>
      <c r="S23" s="299">
        <f t="shared" ref="S23" si="12">L23</f>
        <v>2260.3960000000002</v>
      </c>
      <c r="T23" s="299">
        <f>S23-(L23*P23/100)</f>
        <v>2147.3762000000002</v>
      </c>
      <c r="U23" s="299">
        <f t="shared" ref="U23" si="13">S23-R23</f>
        <v>2090.5512000000003</v>
      </c>
      <c r="V23" s="299">
        <f t="shared" ref="V23" si="14">T23-R23</f>
        <v>1977.5314000000001</v>
      </c>
      <c r="W23" s="301">
        <f t="shared" ref="W23" si="15">U23*1.1</f>
        <v>2299.6063200000008</v>
      </c>
      <c r="X23" s="301">
        <f t="shared" ref="X23" si="16">V23*1.1</f>
        <v>2175.2845400000001</v>
      </c>
      <c r="Y23" s="97">
        <f>'Tariff Jul 2018'!AT15</f>
        <v>20</v>
      </c>
      <c r="Z23" s="98">
        <f>'Tariff Jul 2018'!BI15</f>
        <v>0</v>
      </c>
      <c r="AA23" s="98" t="str">
        <f>'Tariff Jul 2018'!BJ15</f>
        <v>n</v>
      </c>
      <c r="AB23" s="99">
        <f>'Tariff Jul 2018'!G15</f>
        <v>41787</v>
      </c>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09"/>
      <c r="DY23" s="109"/>
      <c r="DZ23" s="109"/>
      <c r="EA23" s="109"/>
      <c r="EB23" s="109"/>
      <c r="EC23" s="109"/>
      <c r="ED23" s="109"/>
      <c r="EE23" s="109"/>
      <c r="EF23" s="66"/>
      <c r="EG23" s="66"/>
      <c r="EH23" s="66"/>
      <c r="EI23" s="66"/>
      <c r="EJ23" s="66"/>
      <c r="EK23" s="66"/>
    </row>
    <row r="24" spans="1:141" s="115" customFormat="1" ht="14" x14ac:dyDescent="0.15">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row>
    <row r="25" spans="1:141" s="115" customFormat="1" ht="15" thickBot="1" x14ac:dyDescent="0.2">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row>
    <row r="26" spans="1:141" ht="14" x14ac:dyDescent="0.15">
      <c r="A26" s="82" t="s">
        <v>154</v>
      </c>
      <c r="B26" s="83"/>
      <c r="C26" s="100"/>
      <c r="D26" s="100"/>
      <c r="E26" s="100"/>
      <c r="F26" s="100"/>
      <c r="G26" s="101"/>
      <c r="H26" s="101"/>
      <c r="I26" s="83"/>
      <c r="J26" s="83"/>
      <c r="K26" s="101"/>
      <c r="L26" s="83"/>
      <c r="M26" s="83"/>
      <c r="N26" s="83"/>
      <c r="O26" s="83"/>
      <c r="P26" s="83"/>
      <c r="Q26" s="83"/>
      <c r="R26" s="83"/>
      <c r="S26" s="83"/>
      <c r="T26" s="83"/>
      <c r="U26" s="83"/>
      <c r="V26" s="83"/>
      <c r="W26" s="83"/>
      <c r="X26" s="83"/>
      <c r="Y26" s="83"/>
      <c r="Z26" s="83"/>
      <c r="AA26" s="83"/>
      <c r="AB26" s="18"/>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09"/>
      <c r="DY26" s="109"/>
      <c r="DZ26" s="109"/>
      <c r="EA26" s="109"/>
      <c r="EB26" s="109"/>
      <c r="EC26" s="109"/>
      <c r="ED26" s="109"/>
      <c r="EE26" s="109"/>
      <c r="EF26" s="66"/>
      <c r="EG26" s="66"/>
      <c r="EH26" s="66"/>
      <c r="EI26" s="66"/>
      <c r="EJ26" s="66"/>
      <c r="EK26" s="66"/>
    </row>
    <row r="27" spans="1:141" ht="90" x14ac:dyDescent="0.15">
      <c r="A27" s="287" t="s">
        <v>231</v>
      </c>
      <c r="B27" s="288" t="s">
        <v>243</v>
      </c>
      <c r="C27" s="289" t="s">
        <v>244</v>
      </c>
      <c r="D27" s="289" t="s">
        <v>227</v>
      </c>
      <c r="E27" s="290" t="s">
        <v>357</v>
      </c>
      <c r="F27" s="290" t="s">
        <v>358</v>
      </c>
      <c r="G27" s="290" t="s">
        <v>329</v>
      </c>
      <c r="H27" s="290" t="s">
        <v>222</v>
      </c>
      <c r="I27" s="290" t="s">
        <v>223</v>
      </c>
      <c r="J27" s="290" t="s">
        <v>799</v>
      </c>
      <c r="K27" s="296" t="s">
        <v>246</v>
      </c>
      <c r="L27" s="296" t="s">
        <v>247</v>
      </c>
      <c r="M27" s="291" t="s">
        <v>248</v>
      </c>
      <c r="N27" s="292" t="s">
        <v>249</v>
      </c>
      <c r="O27" s="292" t="s">
        <v>250</v>
      </c>
      <c r="P27" s="292" t="s">
        <v>251</v>
      </c>
      <c r="Q27" s="292" t="s">
        <v>365</v>
      </c>
      <c r="R27" s="293" t="s">
        <v>373</v>
      </c>
      <c r="S27" s="297" t="s">
        <v>255</v>
      </c>
      <c r="T27" s="297" t="s">
        <v>224</v>
      </c>
      <c r="U27" s="297" t="s">
        <v>374</v>
      </c>
      <c r="V27" s="297" t="s">
        <v>375</v>
      </c>
      <c r="W27" s="293" t="s">
        <v>376</v>
      </c>
      <c r="X27" s="293" t="s">
        <v>436</v>
      </c>
      <c r="Y27" s="292" t="s">
        <v>155</v>
      </c>
      <c r="Z27" s="295" t="s">
        <v>225</v>
      </c>
      <c r="AA27" s="292" t="s">
        <v>226</v>
      </c>
      <c r="AB27" s="294" t="s">
        <v>221</v>
      </c>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09"/>
      <c r="DY27" s="109"/>
      <c r="DZ27" s="109"/>
      <c r="EA27" s="109"/>
      <c r="EB27" s="109"/>
      <c r="EC27" s="109"/>
      <c r="ED27" s="109"/>
      <c r="EE27" s="109"/>
      <c r="EF27" s="66"/>
      <c r="EG27" s="66"/>
      <c r="EH27" s="66"/>
      <c r="EI27" s="66"/>
      <c r="EJ27" s="66"/>
      <c r="EK27" s="66"/>
    </row>
    <row r="28" spans="1:141" ht="14" x14ac:dyDescent="0.15">
      <c r="A28" s="63" t="str">
        <f>'Tariff Jul 2018'!K16</f>
        <v>AGL</v>
      </c>
      <c r="B28" s="1" t="str">
        <f>'Tariff Jul 2018'!L16</f>
        <v xml:space="preserve">Solar Savers </v>
      </c>
      <c r="C28" s="102">
        <f>91*'Tariff Jul 2018'!M16/100</f>
        <v>75.53</v>
      </c>
      <c r="D28" s="102">
        <f>$H$5*'Tariff Jul 2018'!N16/100</f>
        <v>305.21413439999998</v>
      </c>
      <c r="E28" s="102">
        <v>0</v>
      </c>
      <c r="F28" s="102">
        <v>0</v>
      </c>
      <c r="G28" s="102">
        <v>0</v>
      </c>
      <c r="H28" s="102">
        <f>($I$5)*'Tariff Jul 2018'!AE16/100</f>
        <v>44.207602800000004</v>
      </c>
      <c r="I28" s="102">
        <v>0</v>
      </c>
      <c r="J28" s="102">
        <f>SUM(C28:I28)</f>
        <v>424.95173720000003</v>
      </c>
      <c r="K28" s="298">
        <f>(J28-C28)*4</f>
        <v>1397.6869488000002</v>
      </c>
      <c r="L28" s="86">
        <f>J28*4</f>
        <v>1699.8069488000001</v>
      </c>
      <c r="M28" s="86">
        <f>L28*1.1</f>
        <v>1869.7876436800002</v>
      </c>
      <c r="N28" s="1">
        <f>'Tariff Jul 2018'!AW16</f>
        <v>0</v>
      </c>
      <c r="O28" s="1">
        <f>'Tariff Jul 2018'!AX16</f>
        <v>0</v>
      </c>
      <c r="P28" s="1">
        <f>'Tariff Jul 2018'!AY16</f>
        <v>0</v>
      </c>
      <c r="Q28" s="1">
        <f>'Tariff Jul 2018'!AZ16</f>
        <v>0</v>
      </c>
      <c r="R28" s="87">
        <f>($F$6*'Tariff Jul 2018'!AT16/100)*4</f>
        <v>169.84479999999999</v>
      </c>
      <c r="S28" s="298">
        <f>L28</f>
        <v>1699.8069488000001</v>
      </c>
      <c r="T28" s="298">
        <f>S28-(K28*Q28/100)</f>
        <v>1699.8069488000001</v>
      </c>
      <c r="U28" s="298">
        <f>S28-R28</f>
        <v>1529.9621488</v>
      </c>
      <c r="V28" s="298">
        <f>T28-R28</f>
        <v>1529.9621488</v>
      </c>
      <c r="W28" s="300">
        <f>U28*1.1</f>
        <v>1682.95836368</v>
      </c>
      <c r="X28" s="300">
        <f>V28*1.1</f>
        <v>1682.95836368</v>
      </c>
      <c r="Y28" s="88">
        <f>'Tariff Jul 2018'!AT16</f>
        <v>20</v>
      </c>
      <c r="Z28" s="89">
        <f>'Tariff Jul 2018'!BI16</f>
        <v>0</v>
      </c>
      <c r="AA28" s="89" t="str">
        <f>'Tariff Jul 2018'!BJ16</f>
        <v>n</v>
      </c>
      <c r="AB28" s="90">
        <f>'Tariff Jul 2018'!G16</f>
        <v>41851</v>
      </c>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09"/>
      <c r="DY28" s="109"/>
      <c r="DZ28" s="109"/>
      <c r="EA28" s="109"/>
      <c r="EB28" s="109"/>
      <c r="EC28" s="109"/>
      <c r="ED28" s="109"/>
      <c r="EE28" s="109"/>
      <c r="EF28" s="66"/>
      <c r="EG28" s="66"/>
      <c r="EH28" s="66"/>
      <c r="EI28" s="66"/>
      <c r="EJ28" s="66"/>
      <c r="EK28" s="66"/>
    </row>
    <row r="29" spans="1:141" ht="14" x14ac:dyDescent="0.15">
      <c r="A29" s="63" t="str">
        <f>'Tariff Jul 2018'!K17</f>
        <v>Alinta Energy</v>
      </c>
      <c r="B29" s="1" t="str">
        <f>'Tariff Jul 2018'!L17</f>
        <v>Fair Deal</v>
      </c>
      <c r="C29" s="102">
        <f>91*'Tariff Jul 2018'!M17/100</f>
        <v>75.53</v>
      </c>
      <c r="D29" s="102">
        <f>IF($H$5&gt;='Tariff Jul 2018'!P17,('Tariff Jul 2018'!P17*'Tariff Jul 2018'!N17/100),(($H$5)*'Tariff Jul 2018'!N17/100))</f>
        <v>117</v>
      </c>
      <c r="E29" s="102">
        <f>IF($H$5&lt;'Tariff Jul 2018'!P17,0,IF(($H$5-'Tariff Jul 2018'!P17)&lt;='Tariff Jul 2018'!R17,(($H$5-'Tariff Jul 2018'!P17)*'Tariff Jul 2018'!Q17/100),(('Tariff Jul 2018'!R17-'Tariff Jul 2018'!P17)*'Tariff Jul 2018'!Q17/100)))</f>
        <v>220.48476560000006</v>
      </c>
      <c r="F29" s="102">
        <f>IF($H$5&lt;'Tariff Jul 2018'!R17,0,IF(($H$5-'Tariff Jul 2018'!R17)&lt;='Tariff Jul 2018'!T17,(($H$5-'Tariff Jul 2018'!R17)*'Tariff Jul 2018'!S17/100),(('Tariff Jul 2018'!T17-'Tariff Jul 2018'!R17)*'Tariff Jul 2018'!S17/100)))</f>
        <v>0</v>
      </c>
      <c r="G29" s="102">
        <f>IF(($H$5&lt;'Tariff Jul 2018'!T17),(0),($H$5-'Tariff Jul 2018'!T17)*'Tariff Jul 2018'!U17/100)</f>
        <v>0</v>
      </c>
      <c r="H29" s="102">
        <f>IF($I$5&gt;='Tariff Jul 2018'!AF17,('Tariff Jul 2018'!AF17*'Tariff Jul 2018'!AE17/100),(($I$5)*'Tariff Jul 2018'!AE17/100))</f>
        <v>0</v>
      </c>
      <c r="I29" s="102">
        <f>IF((I5&lt;'Tariff Jul 2018'!AF17),(0),(I5-'Tariff Jul 2018'!AF17)*'Tariff Jul 2018'!AG17/100)</f>
        <v>0</v>
      </c>
      <c r="J29" s="102">
        <f t="shared" ref="J29:J40" si="17">SUM(C29:I29)</f>
        <v>413.01476560000003</v>
      </c>
      <c r="K29" s="298">
        <f>(J29-C29)*4</f>
        <v>1349.9390624000002</v>
      </c>
      <c r="L29" s="86">
        <f t="shared" ref="L29:L40" si="18">J29*4</f>
        <v>1652.0590624000001</v>
      </c>
      <c r="M29" s="86">
        <f t="shared" ref="M29:M40" si="19">L29*1.1</f>
        <v>1817.2649686400002</v>
      </c>
      <c r="N29" s="1">
        <f>'Tariff Jul 2018'!AW17</f>
        <v>0</v>
      </c>
      <c r="O29" s="1">
        <f>'Tariff Jul 2018'!AX17</f>
        <v>0</v>
      </c>
      <c r="P29" s="1">
        <f>'Tariff Jul 2018'!AY17</f>
        <v>0</v>
      </c>
      <c r="Q29" s="1">
        <f>'Tariff Jul 2018'!AZ17</f>
        <v>25</v>
      </c>
      <c r="R29" s="87">
        <f>($F$6*'Tariff Jul 2018'!AT17/100)*4</f>
        <v>80.676279999999991</v>
      </c>
      <c r="S29" s="298">
        <f t="shared" ref="S29:S33" si="20">L29</f>
        <v>1652.0590624000001</v>
      </c>
      <c r="T29" s="298">
        <f>S29-(K29*Q29/100)</f>
        <v>1314.5742968000002</v>
      </c>
      <c r="U29" s="298">
        <f t="shared" ref="U29:U40" si="21">S29-R29</f>
        <v>1571.3827824000002</v>
      </c>
      <c r="V29" s="298">
        <f t="shared" ref="V29:V40" si="22">T29-R29</f>
        <v>1233.8980168000003</v>
      </c>
      <c r="W29" s="300">
        <f t="shared" ref="W29:X40" si="23">U29*1.1</f>
        <v>1728.5210606400003</v>
      </c>
      <c r="X29" s="300">
        <f t="shared" si="23"/>
        <v>1357.2878184800004</v>
      </c>
      <c r="Y29" s="88">
        <f>'Tariff Jul 2018'!AT17</f>
        <v>9.5</v>
      </c>
      <c r="Z29" s="89">
        <f>'Tariff Jul 2018'!BI17</f>
        <v>0</v>
      </c>
      <c r="AA29" s="89" t="str">
        <f>'Tariff Jul 2018'!BJ17</f>
        <v>n</v>
      </c>
      <c r="AB29" s="90">
        <f>'Tariff Jul 2018'!G17</f>
        <v>41865</v>
      </c>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09"/>
      <c r="DY29" s="109"/>
      <c r="DZ29" s="109"/>
      <c r="EA29" s="109"/>
      <c r="EB29" s="109"/>
      <c r="EC29" s="109"/>
      <c r="ED29" s="109"/>
      <c r="EE29" s="109"/>
      <c r="EF29" s="66"/>
      <c r="EG29" s="66"/>
      <c r="EH29" s="66"/>
      <c r="EI29" s="66"/>
      <c r="EJ29" s="66"/>
      <c r="EK29" s="66"/>
    </row>
    <row r="30" spans="1:141" ht="14" x14ac:dyDescent="0.15">
      <c r="A30" s="63" t="str">
        <f>'Tariff Jul 2018'!K18</f>
        <v>Click Energy</v>
      </c>
      <c r="B30" s="1" t="str">
        <f>'Tariff Jul 2018'!L18</f>
        <v>Solar Light</v>
      </c>
      <c r="C30" s="102">
        <f>91*'Tariff Jul 2018'!M18/100</f>
        <v>82.445999999999998</v>
      </c>
      <c r="D30" s="102">
        <f>IF($H$5&gt;='Tariff Jul 2018'!P18,('Tariff Jul 2018'!P18*'Tariff Jul 2018'!N18/100),(($H$5)*'Tariff Jul 2018'!N18/100))</f>
        <v>385.95861439999999</v>
      </c>
      <c r="E30" s="102">
        <v>0</v>
      </c>
      <c r="F30" s="102">
        <v>0</v>
      </c>
      <c r="G30" s="102">
        <f>IF(($H$5&lt;'Tariff Jul 2018'!T18),(0),($H$5-'Tariff Jul 2018'!T18)*'Tariff Jul 2018'!U18/100)</f>
        <v>0</v>
      </c>
      <c r="H30" s="102">
        <f>($I$5)*'Tariff Jul 2018'!AE18/100</f>
        <v>79.129590400000012</v>
      </c>
      <c r="I30" s="102">
        <v>0</v>
      </c>
      <c r="J30" s="102">
        <f t="shared" si="17"/>
        <v>547.5342048</v>
      </c>
      <c r="K30" s="298">
        <f t="shared" ref="K30:K40" si="24">(J30-C30)*4</f>
        <v>1860.3528191999999</v>
      </c>
      <c r="L30" s="86">
        <f t="shared" si="18"/>
        <v>2190.1368192</v>
      </c>
      <c r="M30" s="86">
        <f t="shared" si="19"/>
        <v>2409.1505011200002</v>
      </c>
      <c r="N30" s="1">
        <f>'Tariff Jul 2018'!AW18</f>
        <v>0</v>
      </c>
      <c r="O30" s="1">
        <f>'Tariff Jul 2018'!AX18</f>
        <v>0</v>
      </c>
      <c r="P30" s="1">
        <f>'Tariff Jul 2018'!AY18</f>
        <v>24</v>
      </c>
      <c r="Q30" s="1">
        <f>'Tariff Jul 2018'!AZ18</f>
        <v>0</v>
      </c>
      <c r="R30" s="87">
        <f>($F$6*'Tariff Jul 2018'!AT18/100)*4</f>
        <v>127.38359999999999</v>
      </c>
      <c r="S30" s="298">
        <f t="shared" si="20"/>
        <v>2190.1368192</v>
      </c>
      <c r="T30" s="298">
        <f>S30-(S30*P30/100)</f>
        <v>1664.5039825919998</v>
      </c>
      <c r="U30" s="298">
        <f t="shared" si="21"/>
        <v>2062.7532191999999</v>
      </c>
      <c r="V30" s="298">
        <f t="shared" si="22"/>
        <v>1537.1203825919999</v>
      </c>
      <c r="W30" s="300">
        <f t="shared" si="23"/>
        <v>2269.0285411200002</v>
      </c>
      <c r="X30" s="300">
        <f t="shared" si="23"/>
        <v>1690.8324208512001</v>
      </c>
      <c r="Y30" s="88">
        <f>'Tariff Jul 2018'!AT18</f>
        <v>15</v>
      </c>
      <c r="Z30" s="89">
        <f>'Tariff Jul 2018'!BI18</f>
        <v>0</v>
      </c>
      <c r="AA30" s="89" t="str">
        <f>'Tariff Jul 2018'!BJ18</f>
        <v>n</v>
      </c>
      <c r="AB30" s="90">
        <f>'Tariff Jul 2018'!G18</f>
        <v>41698</v>
      </c>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09"/>
      <c r="DY30" s="109"/>
      <c r="DZ30" s="109"/>
      <c r="EA30" s="109"/>
      <c r="EB30" s="109"/>
      <c r="EC30" s="109"/>
      <c r="ED30" s="109"/>
      <c r="EE30" s="109"/>
      <c r="EF30" s="66"/>
      <c r="EG30" s="66"/>
      <c r="EH30" s="66"/>
      <c r="EI30" s="66"/>
      <c r="EJ30" s="66"/>
      <c r="EK30" s="66"/>
    </row>
    <row r="31" spans="1:141" ht="14" x14ac:dyDescent="0.15">
      <c r="A31" s="63" t="str">
        <f>'Tariff Jul 2018'!K19</f>
        <v>Commander</v>
      </c>
      <c r="B31" s="1" t="str">
        <f>'Tariff Jul 2018'!L19</f>
        <v>Market offer</v>
      </c>
      <c r="C31" s="102">
        <f>91*'Tariff Jul 2018'!M19/100</f>
        <v>73.664500000000004</v>
      </c>
      <c r="D31" s="102">
        <f>IF($H$5&gt;='Tariff Jul 2018'!P19,('Tariff Jul 2018'!P19*'Tariff Jul 2018'!N19/100),(($H$5)*'Tariff Jul 2018'!N19/100))</f>
        <v>330.24492320000007</v>
      </c>
      <c r="E31" s="102">
        <v>0</v>
      </c>
      <c r="F31" s="102">
        <v>0</v>
      </c>
      <c r="G31" s="102">
        <f>IF(($H$5&lt;'Tariff Jul 2018'!T19),(0),($H$5-'Tariff Jul 2018'!T19)*'Tariff Jul 2018'!U19/100)</f>
        <v>0</v>
      </c>
      <c r="H31" s="102">
        <f>($I$5)*'Tariff Jul 2018'!AE19/100</f>
        <v>45.398583880000004</v>
      </c>
      <c r="I31" s="102">
        <v>0</v>
      </c>
      <c r="J31" s="102">
        <f t="shared" si="17"/>
        <v>449.3080070800001</v>
      </c>
      <c r="K31" s="298">
        <f t="shared" si="24"/>
        <v>1502.5740283200003</v>
      </c>
      <c r="L31" s="86">
        <f t="shared" si="18"/>
        <v>1797.2320283200004</v>
      </c>
      <c r="M31" s="86">
        <f t="shared" si="19"/>
        <v>1976.9552311520006</v>
      </c>
      <c r="N31" s="1">
        <f>'Tariff Jul 2018'!AW19</f>
        <v>0</v>
      </c>
      <c r="O31" s="1">
        <f>'Tariff Jul 2018'!AX19</f>
        <v>0</v>
      </c>
      <c r="P31" s="1">
        <f>'Tariff Jul 2018'!AY19</f>
        <v>0</v>
      </c>
      <c r="Q31" s="1">
        <f>'Tariff Jul 2018'!AZ19</f>
        <v>20</v>
      </c>
      <c r="R31" s="87">
        <f>($F$6*'Tariff Jul 2018'!AT19/100)*4</f>
        <v>98.509983999999989</v>
      </c>
      <c r="S31" s="298">
        <f t="shared" si="20"/>
        <v>1797.2320283200004</v>
      </c>
      <c r="T31" s="298">
        <f>S31-(K31*Q31/100)</f>
        <v>1496.7172226560003</v>
      </c>
      <c r="U31" s="298">
        <f t="shared" si="21"/>
        <v>1698.7220443200004</v>
      </c>
      <c r="V31" s="298">
        <f t="shared" si="22"/>
        <v>1398.2072386560003</v>
      </c>
      <c r="W31" s="300">
        <f t="shared" si="23"/>
        <v>1868.5942487520006</v>
      </c>
      <c r="X31" s="300">
        <f t="shared" si="23"/>
        <v>1538.0279625216006</v>
      </c>
      <c r="Y31" s="88">
        <f>'Tariff Jul 2018'!AT19</f>
        <v>11.6</v>
      </c>
      <c r="Z31" s="89">
        <f>'Tariff Jul 2018'!BI19</f>
        <v>0</v>
      </c>
      <c r="AA31" s="89" t="str">
        <f>'Tariff Jul 2018'!BJ19</f>
        <v>n</v>
      </c>
      <c r="AB31" s="90">
        <f>'Tariff Jul 2018'!G19</f>
        <v>41847</v>
      </c>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09"/>
      <c r="DY31" s="109"/>
      <c r="DZ31" s="109"/>
      <c r="EA31" s="109"/>
      <c r="EB31" s="109"/>
      <c r="EC31" s="109"/>
      <c r="ED31" s="109"/>
      <c r="EE31" s="109"/>
      <c r="EF31" s="66"/>
      <c r="EG31" s="66"/>
      <c r="EH31" s="66"/>
      <c r="EI31" s="66"/>
      <c r="EJ31" s="66"/>
      <c r="EK31" s="66"/>
    </row>
    <row r="32" spans="1:141" ht="14" x14ac:dyDescent="0.15">
      <c r="A32" s="63" t="str">
        <f>'Tariff Jul 2018'!K20</f>
        <v>Diamond Energy</v>
      </c>
      <c r="B32" s="1" t="str">
        <f>'Tariff Jul 2018'!L20</f>
        <v>Pay on time discount</v>
      </c>
      <c r="C32" s="102">
        <f>91*'Tariff Jul 2018'!M20/100</f>
        <v>79.124499999999998</v>
      </c>
      <c r="D32" s="102">
        <f>IF($H$5&gt;='Tariff Jul 2018'!P20,('Tariff Jul 2018'!P20*'Tariff Jul 2018'!N20/100),(($H$5)*'Tariff Jul 2018'!N20/100))</f>
        <v>99.78</v>
      </c>
      <c r="E32" s="102">
        <f>IF($H$5&lt;'Tariff Jul 2018'!P20,0,IF(($H$5-'Tariff Jul 2018'!P20)&lt;='Tariff Jul 2018'!R20,(($H$5-'Tariff Jul 2018'!P20)*'Tariff Jul 2018'!Q20/100),(('Tariff Jul 2018'!R20-'Tariff Jul 2018'!P20)*'Tariff Jul 2018'!Q20/100)))</f>
        <v>182.12193872000003</v>
      </c>
      <c r="F32" s="102">
        <f>IF($H$5&lt;'Tariff Jul 2018'!R20,0,IF(($H$5-'Tariff Jul 2018'!R20)&lt;='Tariff Jul 2018'!T20,(($H$5-'Tariff Jul 2018'!R20)*'Tariff Jul 2018'!S20/100),(('Tariff Jul 2018'!T20-'Tariff Jul 2018'!R20)*'Tariff Jul 2018'!S20/100)))</f>
        <v>0</v>
      </c>
      <c r="G32" s="102">
        <f>IF(($H$5&lt;'Tariff Jul 2018'!T20),(0),($H$5-'Tariff Jul 2018'!T20)*'Tariff Jul 2018'!U20/100)</f>
        <v>0</v>
      </c>
      <c r="H32" s="102">
        <f>($I$5)*'Tariff Jul 2018'!AE20/100</f>
        <v>40.271309400000007</v>
      </c>
      <c r="I32" s="102">
        <v>0</v>
      </c>
      <c r="J32" s="102">
        <f t="shared" si="17"/>
        <v>401.29774811999999</v>
      </c>
      <c r="K32" s="298">
        <f t="shared" si="24"/>
        <v>1288.6929924799999</v>
      </c>
      <c r="L32" s="86">
        <f t="shared" si="18"/>
        <v>1605.19099248</v>
      </c>
      <c r="M32" s="86">
        <f t="shared" si="19"/>
        <v>1765.7100917280002</v>
      </c>
      <c r="N32" s="1">
        <f>'Tariff Jul 2018'!AW20</f>
        <v>0</v>
      </c>
      <c r="O32" s="1">
        <f>'Tariff Jul 2018'!AX20</f>
        <v>0</v>
      </c>
      <c r="P32" s="1">
        <f>'Tariff Jul 2018'!AY20</f>
        <v>7</v>
      </c>
      <c r="Q32" s="1">
        <f>'Tariff Jul 2018'!AZ20</f>
        <v>0</v>
      </c>
      <c r="R32" s="87">
        <f>($F$6*'Tariff Jul 2018'!AT20/100)*4</f>
        <v>101.90687999999999</v>
      </c>
      <c r="S32" s="298">
        <f t="shared" si="20"/>
        <v>1605.19099248</v>
      </c>
      <c r="T32" s="298">
        <f>S32-(S32*P32/100)</f>
        <v>1492.8276230064</v>
      </c>
      <c r="U32" s="298">
        <f t="shared" si="21"/>
        <v>1503.28411248</v>
      </c>
      <c r="V32" s="298">
        <f t="shared" si="22"/>
        <v>1390.9207430064</v>
      </c>
      <c r="W32" s="300">
        <f t="shared" si="23"/>
        <v>1653.612523728</v>
      </c>
      <c r="X32" s="300">
        <f t="shared" si="23"/>
        <v>1530.0128173070402</v>
      </c>
      <c r="Y32" s="88">
        <f>'Tariff Jul 2018'!AT20</f>
        <v>12</v>
      </c>
      <c r="Z32" s="89">
        <f>'Tariff Jul 2018'!BI20</f>
        <v>0</v>
      </c>
      <c r="AA32" s="89" t="str">
        <f>'Tariff Jul 2018'!BJ20</f>
        <v>n</v>
      </c>
      <c r="AB32" s="90">
        <f>'Tariff Jul 2018'!G20</f>
        <v>41820</v>
      </c>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09"/>
      <c r="DY32" s="109"/>
      <c r="DZ32" s="109"/>
      <c r="EA32" s="109"/>
      <c r="EB32" s="109"/>
      <c r="EC32" s="109"/>
      <c r="ED32" s="109"/>
      <c r="EE32" s="109"/>
      <c r="EF32" s="66"/>
      <c r="EG32" s="66"/>
      <c r="EH32" s="66"/>
      <c r="EI32" s="66"/>
      <c r="EJ32" s="66"/>
      <c r="EK32" s="66"/>
    </row>
    <row r="33" spans="1:141" ht="14" x14ac:dyDescent="0.15">
      <c r="A33" s="63" t="str">
        <f>'Tariff Jul 2018'!K21</f>
        <v>Dodo Power &amp; Gas</v>
      </c>
      <c r="B33" s="1" t="str">
        <f>'Tariff Jul 2018'!L21</f>
        <v>Market offer</v>
      </c>
      <c r="C33" s="102">
        <f>91*'Tariff Jul 2018'!M21/100</f>
        <v>73.664500000000004</v>
      </c>
      <c r="D33" s="102">
        <f>IF($H$5&gt;='Tariff Jul 2018'!P21,('Tariff Jul 2018'!P21*'Tariff Jul 2018'!N21/100),(($H$5)*'Tariff Jul 2018'!N21/100))</f>
        <v>344.37520719999998</v>
      </c>
      <c r="E33" s="102">
        <v>0</v>
      </c>
      <c r="F33" s="102">
        <v>0</v>
      </c>
      <c r="G33" s="102">
        <f>IF(($H$5&lt;'Tariff Jul 2018'!T21),(0),($H$5-'Tariff Jul 2018'!T21)*'Tariff Jul 2018'!U21/100)</f>
        <v>0</v>
      </c>
      <c r="H33" s="102">
        <f>($I$5)*'Tariff Jul 2018'!AE21/100</f>
        <v>47.336451400000009</v>
      </c>
      <c r="I33" s="102">
        <v>0</v>
      </c>
      <c r="J33" s="102">
        <f t="shared" si="17"/>
        <v>465.37615859999994</v>
      </c>
      <c r="K33" s="298">
        <f t="shared" si="24"/>
        <v>1566.8466343999999</v>
      </c>
      <c r="L33" s="86">
        <f t="shared" si="18"/>
        <v>1861.5046343999998</v>
      </c>
      <c r="M33" s="86">
        <f t="shared" si="19"/>
        <v>2047.6550978399998</v>
      </c>
      <c r="N33" s="1">
        <f>'Tariff Jul 2018'!AW21</f>
        <v>0</v>
      </c>
      <c r="O33" s="1">
        <f>'Tariff Jul 2018'!AX21</f>
        <v>0</v>
      </c>
      <c r="P33" s="1">
        <f>'Tariff Jul 2018'!AY21</f>
        <v>0</v>
      </c>
      <c r="Q33" s="1">
        <f>'Tariff Jul 2018'!AZ21</f>
        <v>0</v>
      </c>
      <c r="R33" s="87">
        <f>($F$6*'Tariff Jul 2018'!AT21/100)*4</f>
        <v>98.509983999999989</v>
      </c>
      <c r="S33" s="298">
        <f t="shared" si="20"/>
        <v>1861.5046343999998</v>
      </c>
      <c r="T33" s="298">
        <f>S33-(K33*Q33/100)</f>
        <v>1861.5046343999998</v>
      </c>
      <c r="U33" s="298">
        <f t="shared" si="21"/>
        <v>1762.9946503999997</v>
      </c>
      <c r="V33" s="298">
        <f t="shared" si="22"/>
        <v>1762.9946503999997</v>
      </c>
      <c r="W33" s="300">
        <f t="shared" si="23"/>
        <v>1939.2941154399998</v>
      </c>
      <c r="X33" s="300">
        <f t="shared" si="23"/>
        <v>1939.2941154399998</v>
      </c>
      <c r="Y33" s="88">
        <f>'Tariff Jul 2018'!AT21</f>
        <v>11.6</v>
      </c>
      <c r="Z33" s="89">
        <f>'Tariff Jul 2018'!BI21</f>
        <v>0</v>
      </c>
      <c r="AA33" s="89" t="str">
        <f>'Tariff Jul 2018'!BJ21</f>
        <v>n</v>
      </c>
      <c r="AB33" s="90">
        <f>'Tariff Jul 2018'!G21</f>
        <v>41846</v>
      </c>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09"/>
      <c r="DY33" s="109"/>
      <c r="DZ33" s="109"/>
      <c r="EA33" s="109"/>
      <c r="EB33" s="109"/>
      <c r="EC33" s="109"/>
      <c r="ED33" s="109"/>
      <c r="EE33" s="109"/>
      <c r="EF33" s="66"/>
      <c r="EG33" s="66"/>
      <c r="EH33" s="66"/>
      <c r="EI33" s="66"/>
      <c r="EJ33" s="66"/>
      <c r="EK33" s="66"/>
    </row>
    <row r="34" spans="1:141" ht="14" x14ac:dyDescent="0.15">
      <c r="A34" s="63" t="str">
        <f>'Tariff Jul 2018'!K22</f>
        <v>EnergyAustralia</v>
      </c>
      <c r="B34" s="1" t="str">
        <f>'Tariff Jul 2018'!L22</f>
        <v>Anytime Saver</v>
      </c>
      <c r="C34" s="102">
        <f>91*'Tariff Jul 2018'!M22/100</f>
        <v>81.536000000000001</v>
      </c>
      <c r="D34" s="102">
        <f>IF($H$5&gt;='Tariff Jul 2018'!P22,('Tariff Jul 2018'!P22*'Tariff Jul 2018'!N22/100),(($H$5)*'Tariff Jul 2018'!N22/100))</f>
        <v>341.30691696000008</v>
      </c>
      <c r="E34" s="102">
        <v>0</v>
      </c>
      <c r="F34" s="102">
        <v>0</v>
      </c>
      <c r="G34" s="102">
        <f>IF(($H$5&lt;'Tariff Jul 2018'!T22),(0),($H$5-'Tariff Jul 2018'!T22)*'Tariff Jul 2018'!U22/100)</f>
        <v>0</v>
      </c>
      <c r="H34" s="102">
        <f>($I$5)*'Tariff Jul 2018'!AE22/100</f>
        <v>34.134728920000001</v>
      </c>
      <c r="I34" s="102">
        <v>0</v>
      </c>
      <c r="J34" s="102">
        <f t="shared" si="17"/>
        <v>456.97764588000007</v>
      </c>
      <c r="K34" s="298">
        <f t="shared" si="24"/>
        <v>1501.7665835200003</v>
      </c>
      <c r="L34" s="86">
        <f t="shared" si="18"/>
        <v>1827.9105835200003</v>
      </c>
      <c r="M34" s="86">
        <f t="shared" si="19"/>
        <v>2010.7016418720004</v>
      </c>
      <c r="N34" s="1">
        <f>'Tariff Jul 2018'!AW22</f>
        <v>0</v>
      </c>
      <c r="O34" s="1">
        <f>'Tariff Jul 2018'!AX22</f>
        <v>20</v>
      </c>
      <c r="P34" s="1">
        <f>'Tariff Jul 2018'!AY22</f>
        <v>0</v>
      </c>
      <c r="Q34" s="1">
        <f>'Tariff Jul 2018'!AZ22</f>
        <v>0</v>
      </c>
      <c r="R34" s="87">
        <f>($F$6*'Tariff Jul 2018'!AT22/100)*4</f>
        <v>127.38359999999999</v>
      </c>
      <c r="S34" s="298">
        <f>L34-(K34*O34/100)</f>
        <v>1527.5572668160003</v>
      </c>
      <c r="T34" s="298">
        <f>S34-(K34*Q34/100)</f>
        <v>1527.5572668160003</v>
      </c>
      <c r="U34" s="298">
        <f t="shared" si="21"/>
        <v>1400.1736668160004</v>
      </c>
      <c r="V34" s="298">
        <f t="shared" si="22"/>
        <v>1400.1736668160004</v>
      </c>
      <c r="W34" s="300">
        <f t="shared" si="23"/>
        <v>1540.1910334976005</v>
      </c>
      <c r="X34" s="300">
        <f t="shared" si="23"/>
        <v>1540.1910334976005</v>
      </c>
      <c r="Y34" s="88">
        <f>'Tariff Jul 2018'!AT22</f>
        <v>15</v>
      </c>
      <c r="Z34" s="89">
        <f>'Tariff Jul 2018'!BI22</f>
        <v>0</v>
      </c>
      <c r="AA34" s="89" t="str">
        <f>'Tariff Jul 2018'!BJ22</f>
        <v>n</v>
      </c>
      <c r="AB34" s="90">
        <f>'Tariff Jul 2018'!G22</f>
        <v>41859</v>
      </c>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09"/>
      <c r="DY34" s="109"/>
      <c r="DZ34" s="109"/>
      <c r="EA34" s="109"/>
      <c r="EB34" s="109"/>
      <c r="EC34" s="109"/>
      <c r="ED34" s="109"/>
      <c r="EE34" s="109"/>
      <c r="EF34" s="66"/>
      <c r="EG34" s="66"/>
      <c r="EH34" s="66"/>
      <c r="EI34" s="66"/>
      <c r="EJ34" s="66"/>
      <c r="EK34" s="66"/>
    </row>
    <row r="35" spans="1:141" ht="14" x14ac:dyDescent="0.15">
      <c r="A35" s="63" t="str">
        <f>'Tariff Jul 2018'!K23</f>
        <v>Lumo Energy</v>
      </c>
      <c r="B35" s="1" t="str">
        <f>'Tariff Jul 2018'!L23</f>
        <v>Advantage</v>
      </c>
      <c r="C35" s="102">
        <f>91*'Tariff Jul 2018'!M23/100</f>
        <v>80.08</v>
      </c>
      <c r="D35" s="102">
        <f>IF($H$5&gt;='Tariff Jul 2018'!P23,('Tariff Jul 2018'!P23*'Tariff Jul 2018'!N23/100),(($H$5)*'Tariff Jul 2018'!N23/100))</f>
        <v>314.90347200000002</v>
      </c>
      <c r="E35" s="102">
        <v>0</v>
      </c>
      <c r="F35" s="102">
        <v>0</v>
      </c>
      <c r="G35" s="102">
        <f>IF(($H$5&lt;'Tariff Jul 2018'!T23),(0),($H$5-'Tariff Jul 2018'!T23)*'Tariff Jul 2018'!U23/100)</f>
        <v>0</v>
      </c>
      <c r="H35" s="102">
        <f>($I$5)*'Tariff Jul 2018'!AE23/100</f>
        <v>40.372240000000005</v>
      </c>
      <c r="I35" s="102">
        <v>0</v>
      </c>
      <c r="J35" s="102">
        <f t="shared" si="17"/>
        <v>435.35571200000004</v>
      </c>
      <c r="K35" s="298">
        <f t="shared" si="24"/>
        <v>1421.1028480000002</v>
      </c>
      <c r="L35" s="86">
        <f t="shared" si="18"/>
        <v>1741.4228480000002</v>
      </c>
      <c r="M35" s="86">
        <f t="shared" si="19"/>
        <v>1915.5651328000004</v>
      </c>
      <c r="N35" s="1">
        <f>'Tariff Jul 2018'!AW23</f>
        <v>0</v>
      </c>
      <c r="O35" s="1">
        <f>'Tariff Jul 2018'!AX23</f>
        <v>0</v>
      </c>
      <c r="P35" s="1">
        <f>'Tariff Jul 2018'!AY23</f>
        <v>15</v>
      </c>
      <c r="Q35" s="1">
        <f>'Tariff Jul 2018'!AZ23</f>
        <v>0</v>
      </c>
      <c r="R35" s="87">
        <f>($F$6*'Tariff Jul 2018'!AT23/100)*4</f>
        <v>135.87583999999998</v>
      </c>
      <c r="S35" s="298">
        <f t="shared" ref="S35:S36" si="25">L35</f>
        <v>1741.4228480000002</v>
      </c>
      <c r="T35" s="298">
        <f>S35-(S35*P35/100)</f>
        <v>1480.2094208000001</v>
      </c>
      <c r="U35" s="298">
        <f t="shared" si="21"/>
        <v>1605.5470080000002</v>
      </c>
      <c r="V35" s="298">
        <f t="shared" si="22"/>
        <v>1344.3335808000002</v>
      </c>
      <c r="W35" s="300">
        <f t="shared" si="23"/>
        <v>1766.1017088000003</v>
      </c>
      <c r="X35" s="300">
        <f t="shared" si="23"/>
        <v>1478.7669388800002</v>
      </c>
      <c r="Y35" s="88">
        <f>'Tariff Jul 2018'!AT23</f>
        <v>16</v>
      </c>
      <c r="Z35" s="89">
        <f>'Tariff Jul 2018'!BI23</f>
        <v>0</v>
      </c>
      <c r="AA35" s="89" t="str">
        <f>'Tariff Jul 2018'!BJ23</f>
        <v>n</v>
      </c>
      <c r="AB35" s="90">
        <f>'Tariff Jul 2018'!G23</f>
        <v>41851</v>
      </c>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09"/>
      <c r="DY35" s="109"/>
      <c r="DZ35" s="109"/>
      <c r="EA35" s="109"/>
      <c r="EB35" s="109"/>
      <c r="EC35" s="109"/>
      <c r="ED35" s="109"/>
      <c r="EE35" s="109"/>
      <c r="EF35" s="66"/>
      <c r="EG35" s="66"/>
      <c r="EH35" s="66"/>
      <c r="EI35" s="66"/>
      <c r="EJ35" s="66"/>
      <c r="EK35" s="66"/>
    </row>
    <row r="36" spans="1:141" ht="14" x14ac:dyDescent="0.15">
      <c r="A36" s="63" t="str">
        <f>'Tariff Jul 2018'!K24</f>
        <v>Momentum Energy</v>
      </c>
      <c r="B36" s="1" t="str">
        <f>'Tariff Jul 2018'!L24</f>
        <v>SmilePower</v>
      </c>
      <c r="C36" s="102">
        <f>91*'Tariff Jul 2018'!M24/100</f>
        <v>95.431700000000006</v>
      </c>
      <c r="D36" s="102">
        <f>IF($H$5&gt;='Tariff Jul 2018'!P24,('Tariff Jul 2018'!P24*'Tariff Jul 2018'!N24/100),(($H$5)*'Tariff Jul 2018'!N24/100))</f>
        <v>217.62000000000003</v>
      </c>
      <c r="E36" s="102">
        <v>0</v>
      </c>
      <c r="F36" s="102">
        <v>0</v>
      </c>
      <c r="G36" s="102">
        <f>IF(($H$5&lt;'Tariff Jul 2018'!T24),(0),($H$5-'Tariff Jul 2018'!T24)*'Tariff Jul 2018'!U24/100)</f>
        <v>75.240228960000039</v>
      </c>
      <c r="H36" s="102">
        <f>($I$5)*'Tariff Jul 2018'!AE24/100</f>
        <v>45.560072840000004</v>
      </c>
      <c r="I36" s="102">
        <v>0</v>
      </c>
      <c r="J36" s="102">
        <f t="shared" si="17"/>
        <v>433.85200180000004</v>
      </c>
      <c r="K36" s="298">
        <f t="shared" si="24"/>
        <v>1353.6812072000002</v>
      </c>
      <c r="L36" s="86">
        <f t="shared" si="18"/>
        <v>1735.4080072000002</v>
      </c>
      <c r="M36" s="86">
        <f t="shared" si="19"/>
        <v>1908.9488079200003</v>
      </c>
      <c r="N36" s="1">
        <f>'Tariff Jul 2018'!AW24</f>
        <v>0</v>
      </c>
      <c r="O36" s="1">
        <f>'Tariff Jul 2018'!AX24</f>
        <v>0</v>
      </c>
      <c r="P36" s="1">
        <f>'Tariff Jul 2018'!AY24</f>
        <v>0</v>
      </c>
      <c r="Q36" s="1">
        <f>'Tariff Jul 2018'!AZ24</f>
        <v>0</v>
      </c>
      <c r="R36" s="87">
        <f>($F$6*'Tariff Jul 2018'!AT24/100)*4</f>
        <v>57.747231999999997</v>
      </c>
      <c r="S36" s="298">
        <f t="shared" si="25"/>
        <v>1735.4080072000002</v>
      </c>
      <c r="T36" s="298">
        <f>S36</f>
        <v>1735.4080072000002</v>
      </c>
      <c r="U36" s="298">
        <f t="shared" si="21"/>
        <v>1677.6607752000002</v>
      </c>
      <c r="V36" s="298">
        <f t="shared" si="22"/>
        <v>1677.6607752000002</v>
      </c>
      <c r="W36" s="300">
        <f t="shared" si="23"/>
        <v>1845.4268527200004</v>
      </c>
      <c r="X36" s="300">
        <f t="shared" si="23"/>
        <v>1845.4268527200004</v>
      </c>
      <c r="Y36" s="88">
        <f>'Tariff Jul 2018'!AT24</f>
        <v>6.8</v>
      </c>
      <c r="Z36" s="89">
        <f>'Tariff Jul 2018'!BI24</f>
        <v>0</v>
      </c>
      <c r="AA36" s="89" t="str">
        <f>'Tariff Jul 2018'!BJ24</f>
        <v>n</v>
      </c>
      <c r="AB36" s="90">
        <f>'Tariff Jul 2018'!G24</f>
        <v>41820</v>
      </c>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09"/>
      <c r="DY36" s="109"/>
      <c r="DZ36" s="109"/>
      <c r="EA36" s="109"/>
      <c r="EB36" s="109"/>
      <c r="EC36" s="109"/>
      <c r="ED36" s="109"/>
      <c r="EE36" s="109"/>
      <c r="EF36" s="66"/>
      <c r="EG36" s="66"/>
      <c r="EH36" s="66"/>
      <c r="EI36" s="66"/>
      <c r="EJ36" s="66"/>
      <c r="EK36" s="66"/>
    </row>
    <row r="37" spans="1:141" ht="14" x14ac:dyDescent="0.15">
      <c r="A37" s="63" t="str">
        <f>'Tariff Jul 2018'!K25</f>
        <v>Origin Energy</v>
      </c>
      <c r="B37" s="1" t="str">
        <f>'Tariff Jul 2018'!L25</f>
        <v>Solar Boost Plus</v>
      </c>
      <c r="C37" s="102">
        <f>91*'Tariff Jul 2018'!M25/100</f>
        <v>74.729200000000006</v>
      </c>
      <c r="D37" s="102">
        <f>IF($H$5&gt;='Tariff Jul 2018'!P25,('Tariff Jul 2018'!P25*'Tariff Jul 2018'!N25/100),(($H$5)*'Tariff Jul 2018'!N25/100))</f>
        <v>293.74841824000009</v>
      </c>
      <c r="E37" s="102">
        <v>0</v>
      </c>
      <c r="F37" s="102">
        <v>0</v>
      </c>
      <c r="G37" s="102">
        <f>IF(($H$5&lt;'Tariff Jul 2018'!T25),(0),($H$5-'Tariff Jul 2018'!T25)*'Tariff Jul 2018'!U25/100)</f>
        <v>0</v>
      </c>
      <c r="H37" s="102">
        <f>($I$5)*'Tariff Jul 2018'!AE25/100</f>
        <v>38.474744720000004</v>
      </c>
      <c r="I37" s="102">
        <v>0</v>
      </c>
      <c r="J37" s="102">
        <f t="shared" si="17"/>
        <v>406.95236296000007</v>
      </c>
      <c r="K37" s="298">
        <f t="shared" si="24"/>
        <v>1328.8926518400003</v>
      </c>
      <c r="L37" s="86">
        <f t="shared" si="18"/>
        <v>1627.8094518400003</v>
      </c>
      <c r="M37" s="86">
        <f t="shared" si="19"/>
        <v>1790.5903970240004</v>
      </c>
      <c r="N37" s="1">
        <f>'Tariff Jul 2018'!AW25</f>
        <v>0</v>
      </c>
      <c r="O37" s="1">
        <f>'Tariff Jul 2018'!AX25</f>
        <v>12</v>
      </c>
      <c r="P37" s="1">
        <f>'Tariff Jul 2018'!AY25</f>
        <v>0</v>
      </c>
      <c r="Q37" s="1">
        <f>'Tariff Jul 2018'!AZ25</f>
        <v>0</v>
      </c>
      <c r="R37" s="87">
        <f>($F$6*'Tariff Jul 2018'!AT25/100)*4</f>
        <v>169.84479999999999</v>
      </c>
      <c r="S37" s="298">
        <f>L37-(K37*O37/100)</f>
        <v>1468.3423336192002</v>
      </c>
      <c r="T37" s="298">
        <f>S37</f>
        <v>1468.3423336192002</v>
      </c>
      <c r="U37" s="298">
        <f t="shared" si="21"/>
        <v>1298.4975336192001</v>
      </c>
      <c r="V37" s="298">
        <f t="shared" si="22"/>
        <v>1298.4975336192001</v>
      </c>
      <c r="W37" s="300">
        <f t="shared" si="23"/>
        <v>1428.3472869811203</v>
      </c>
      <c r="X37" s="300">
        <f t="shared" si="23"/>
        <v>1428.3472869811203</v>
      </c>
      <c r="Y37" s="88">
        <f>'Tariff Jul 2018'!AT25</f>
        <v>20</v>
      </c>
      <c r="Z37" s="89">
        <f>'Tariff Jul 2018'!BI25</f>
        <v>0</v>
      </c>
      <c r="AA37" s="89" t="str">
        <f>'Tariff Jul 2018'!BJ25</f>
        <v>n</v>
      </c>
      <c r="AB37" s="90">
        <f>'Tariff Jul 2018'!G25</f>
        <v>41820</v>
      </c>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09"/>
      <c r="DY37" s="109"/>
      <c r="DZ37" s="109"/>
      <c r="EA37" s="109"/>
      <c r="EB37" s="109"/>
      <c r="EC37" s="109"/>
      <c r="ED37" s="109"/>
      <c r="EE37" s="109"/>
      <c r="EF37" s="66"/>
      <c r="EG37" s="66"/>
      <c r="EH37" s="66"/>
      <c r="EI37" s="66"/>
      <c r="EJ37" s="66"/>
      <c r="EK37" s="66"/>
    </row>
    <row r="38" spans="1:141" ht="14" x14ac:dyDescent="0.15">
      <c r="A38" s="63" t="str">
        <f>'Tariff Jul 2018'!K26</f>
        <v>Powerdirect</v>
      </c>
      <c r="B38" s="1" t="str">
        <f>'Tariff Jul 2018'!L26</f>
        <v>Market offer</v>
      </c>
      <c r="C38" s="102">
        <f>91*'Tariff Jul 2018'!M26/100</f>
        <v>75.53</v>
      </c>
      <c r="D38" s="102">
        <f>$H$5*'Tariff Jul 2018'!N26/100</f>
        <v>305.21413439999998</v>
      </c>
      <c r="E38" s="102">
        <v>0</v>
      </c>
      <c r="F38" s="102">
        <v>0</v>
      </c>
      <c r="G38" s="102">
        <v>0</v>
      </c>
      <c r="H38" s="102">
        <f>($I$5)*'Tariff Jul 2018'!AE26/100</f>
        <v>44.207602800000004</v>
      </c>
      <c r="I38" s="102">
        <v>0</v>
      </c>
      <c r="J38" s="102">
        <f t="shared" si="17"/>
        <v>424.95173720000003</v>
      </c>
      <c r="K38" s="298">
        <f t="shared" si="24"/>
        <v>1397.6869488000002</v>
      </c>
      <c r="L38" s="86">
        <f t="shared" si="18"/>
        <v>1699.8069488000001</v>
      </c>
      <c r="M38" s="86">
        <f t="shared" si="19"/>
        <v>1869.7876436800002</v>
      </c>
      <c r="N38" s="1">
        <f>'Tariff Jul 2018'!AW26</f>
        <v>0</v>
      </c>
      <c r="O38" s="1">
        <f>'Tariff Jul 2018'!AX26</f>
        <v>0</v>
      </c>
      <c r="P38" s="1">
        <f>'Tariff Jul 2018'!AY26</f>
        <v>0</v>
      </c>
      <c r="Q38" s="1">
        <f>'Tariff Jul 2018'!AZ26</f>
        <v>17</v>
      </c>
      <c r="R38" s="87">
        <f>($F$6*'Tariff Jul 2018'!AT26/100)*4</f>
        <v>138.42351199999999</v>
      </c>
      <c r="S38" s="298">
        <f t="shared" ref="S38:S40" si="26">L38</f>
        <v>1699.8069488000001</v>
      </c>
      <c r="T38" s="298">
        <f>S38-(K38*Q38/100)</f>
        <v>1462.2001675040001</v>
      </c>
      <c r="U38" s="298">
        <f t="shared" si="21"/>
        <v>1561.3834368</v>
      </c>
      <c r="V38" s="298">
        <f t="shared" si="22"/>
        <v>1323.776655504</v>
      </c>
      <c r="W38" s="300">
        <f t="shared" si="23"/>
        <v>1717.5217804800002</v>
      </c>
      <c r="X38" s="300">
        <f t="shared" si="23"/>
        <v>1456.1543210544</v>
      </c>
      <c r="Y38" s="88">
        <f>'Tariff Jul 2018'!AT26</f>
        <v>16.3</v>
      </c>
      <c r="Z38" s="89">
        <f>'Tariff Jul 2018'!BI26</f>
        <v>0</v>
      </c>
      <c r="AA38" s="89" t="str">
        <f>'Tariff Jul 2018'!BJ26</f>
        <v>n</v>
      </c>
      <c r="AB38" s="90">
        <f>'Tariff Jul 2018'!G26</f>
        <v>41823</v>
      </c>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09"/>
      <c r="DY38" s="109"/>
      <c r="DZ38" s="109"/>
      <c r="EA38" s="109"/>
      <c r="EB38" s="109"/>
      <c r="EC38" s="109"/>
      <c r="ED38" s="109"/>
      <c r="EE38" s="109"/>
      <c r="EF38" s="66"/>
      <c r="EG38" s="66"/>
      <c r="EH38" s="66"/>
      <c r="EI38" s="66"/>
      <c r="EJ38" s="66"/>
      <c r="EK38" s="66"/>
    </row>
    <row r="39" spans="1:141" ht="14" x14ac:dyDescent="0.15">
      <c r="A39" s="63" t="str">
        <f>'Tariff Jul 2018'!K27</f>
        <v>Simply Energy</v>
      </c>
      <c r="B39" s="1" t="str">
        <f>'Tariff Jul 2018'!L27</f>
        <v>Plus</v>
      </c>
      <c r="C39" s="102">
        <f>91*'Tariff Jul 2018'!M27/100</f>
        <v>74.328800000000015</v>
      </c>
      <c r="D39" s="102">
        <f>IF($H$5&gt;='Tariff Jul 2018'!P27,('Tariff Jul 2018'!P27*'Tariff Jul 2018'!N27/100),(($H$5)*'Tariff Jul 2018'!N27/100))</f>
        <v>306.7482795200001</v>
      </c>
      <c r="E39" s="102">
        <v>0</v>
      </c>
      <c r="F39" s="102">
        <v>0</v>
      </c>
      <c r="G39" s="102">
        <f>IF(($H$5&lt;'Tariff Jul 2018'!T27),(0),($H$5-'Tariff Jul 2018'!T27)*'Tariff Jul 2018'!U27/100)</f>
        <v>0</v>
      </c>
      <c r="H39" s="102">
        <f>($I$5)*'Tariff Jul 2018'!AE27/100</f>
        <v>55.491643879999998</v>
      </c>
      <c r="I39" s="102">
        <v>0</v>
      </c>
      <c r="J39" s="102">
        <f t="shared" si="17"/>
        <v>436.56872340000007</v>
      </c>
      <c r="K39" s="298">
        <f t="shared" si="24"/>
        <v>1448.9596936000003</v>
      </c>
      <c r="L39" s="86">
        <f t="shared" si="18"/>
        <v>1746.2748936000003</v>
      </c>
      <c r="M39" s="86">
        <f t="shared" si="19"/>
        <v>1920.9023829600005</v>
      </c>
      <c r="N39" s="1">
        <f>'Tariff Jul 2018'!AW27</f>
        <v>0</v>
      </c>
      <c r="O39" s="1">
        <f>'Tariff Jul 2018'!AX27</f>
        <v>0</v>
      </c>
      <c r="P39" s="1">
        <f>'Tariff Jul 2018'!AY27</f>
        <v>0</v>
      </c>
      <c r="Q39" s="1">
        <f>'Tariff Jul 2018'!AZ27</f>
        <v>18</v>
      </c>
      <c r="R39" s="87">
        <f>($F$6*'Tariff Jul 2018'!AT27/100)*4</f>
        <v>84.922399999999996</v>
      </c>
      <c r="S39" s="298">
        <f t="shared" si="26"/>
        <v>1746.2748936000003</v>
      </c>
      <c r="T39" s="298">
        <f>S39-(K39*Q39/100)</f>
        <v>1485.4621487520003</v>
      </c>
      <c r="U39" s="298">
        <f t="shared" si="21"/>
        <v>1661.3524936000003</v>
      </c>
      <c r="V39" s="298">
        <f t="shared" si="22"/>
        <v>1400.5397487520004</v>
      </c>
      <c r="W39" s="300">
        <f t="shared" si="23"/>
        <v>1827.4877429600006</v>
      </c>
      <c r="X39" s="300">
        <f t="shared" si="23"/>
        <v>1540.5937236272005</v>
      </c>
      <c r="Y39" s="88">
        <f>'Tariff Jul 2018'!AT27</f>
        <v>10</v>
      </c>
      <c r="Z39" s="89">
        <f>'Tariff Jul 2018'!BI27</f>
        <v>0</v>
      </c>
      <c r="AA39" s="89" t="str">
        <f>'Tariff Jul 2018'!BJ27</f>
        <v>n</v>
      </c>
      <c r="AB39" s="90">
        <f>'Tariff Jul 2018'!G27</f>
        <v>41858</v>
      </c>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09"/>
      <c r="DY39" s="109"/>
      <c r="DZ39" s="109"/>
      <c r="EA39" s="109"/>
      <c r="EB39" s="109"/>
      <c r="EC39" s="109"/>
      <c r="ED39" s="109"/>
      <c r="EE39" s="109"/>
      <c r="EF39" s="66"/>
      <c r="EG39" s="66"/>
      <c r="EH39" s="66"/>
      <c r="EI39" s="66"/>
      <c r="EJ39" s="66"/>
      <c r="EK39" s="66"/>
    </row>
    <row r="40" spans="1:141" ht="14" x14ac:dyDescent="0.15">
      <c r="A40" s="63" t="str">
        <f>'Tariff Jul 2018'!K28</f>
        <v>Red Energy</v>
      </c>
      <c r="B40" s="1" t="str">
        <f>'Tariff Jul 2018'!L28</f>
        <v>No exit fee saver</v>
      </c>
      <c r="C40" s="102">
        <f>91*'Tariff Jul 2018'!M28/100</f>
        <v>77.304500000000004</v>
      </c>
      <c r="D40" s="102">
        <f>IF($H$5&gt;='Tariff Jul 2018'!P28,('Tariff Jul 2018'!P28*'Tariff Jul 2018'!N28/100),(($H$5)*'Tariff Jul 2018'!N28/100))</f>
        <v>304.0029672</v>
      </c>
      <c r="E40" s="102">
        <v>0</v>
      </c>
      <c r="F40" s="102">
        <v>0</v>
      </c>
      <c r="G40" s="102">
        <f>IF(($H$5&lt;'Tariff Jul 2018'!T28),(0),($H$5-'Tariff Jul 2018'!T28)*'Tariff Jul 2018'!U28/100)</f>
        <v>0</v>
      </c>
      <c r="H40" s="102">
        <f>($I$5)*'Tariff Jul 2018'!AE28/100</f>
        <v>39.060142200000008</v>
      </c>
      <c r="I40" s="102">
        <v>0</v>
      </c>
      <c r="J40" s="102">
        <f t="shared" si="17"/>
        <v>420.36760940000005</v>
      </c>
      <c r="K40" s="298">
        <f t="shared" si="24"/>
        <v>1372.2524376000001</v>
      </c>
      <c r="L40" s="86">
        <f t="shared" si="18"/>
        <v>1681.4704376000002</v>
      </c>
      <c r="M40" s="86">
        <f t="shared" si="19"/>
        <v>1849.6174813600003</v>
      </c>
      <c r="N40" s="1">
        <f>'Tariff Jul 2018'!AW28</f>
        <v>0</v>
      </c>
      <c r="O40" s="1">
        <f>'Tariff Jul 2018'!AX28</f>
        <v>0</v>
      </c>
      <c r="P40" s="1">
        <f>'Tariff Jul 2018'!AY28</f>
        <v>10</v>
      </c>
      <c r="Q40" s="1">
        <f>'Tariff Jul 2018'!AZ28</f>
        <v>0</v>
      </c>
      <c r="R40" s="87">
        <f>($F$6*'Tariff Jul 2018'!AT28/100)*4</f>
        <v>135.87583999999998</v>
      </c>
      <c r="S40" s="298">
        <f t="shared" si="26"/>
        <v>1681.4704376000002</v>
      </c>
      <c r="T40" s="298">
        <f>S40-(L40*P40/100)</f>
        <v>1513.3233938400001</v>
      </c>
      <c r="U40" s="298">
        <f t="shared" si="21"/>
        <v>1545.5945976000003</v>
      </c>
      <c r="V40" s="298">
        <f t="shared" si="22"/>
        <v>1377.4475538400002</v>
      </c>
      <c r="W40" s="300">
        <f t="shared" si="23"/>
        <v>1700.1540573600005</v>
      </c>
      <c r="X40" s="300">
        <f t="shared" si="23"/>
        <v>1515.1923092240004</v>
      </c>
      <c r="Y40" s="88">
        <f>'Tariff Jul 2018'!AT28</f>
        <v>16</v>
      </c>
      <c r="Z40" s="89">
        <f>'Tariff Jul 2018'!BI28</f>
        <v>0</v>
      </c>
      <c r="AA40" s="89" t="str">
        <f>'Tariff Jul 2018'!BJ28</f>
        <v>n</v>
      </c>
      <c r="AB40" s="90">
        <f>'Tariff Jul 2018'!G28</f>
        <v>41844</v>
      </c>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09"/>
      <c r="DY40" s="109"/>
      <c r="DZ40" s="109"/>
      <c r="EA40" s="109"/>
      <c r="EB40" s="109"/>
      <c r="EC40" s="109"/>
      <c r="ED40" s="109"/>
      <c r="EE40" s="109"/>
      <c r="EF40" s="66"/>
      <c r="EG40" s="66"/>
      <c r="EH40" s="66"/>
      <c r="EI40" s="66"/>
      <c r="EJ40" s="66"/>
      <c r="EK40" s="66"/>
    </row>
    <row r="41" spans="1:141" s="115" customFormat="1" ht="15" thickBot="1" x14ac:dyDescent="0.2">
      <c r="A41" s="91" t="str">
        <f>'Tariff Jul 2018'!K29</f>
        <v>Amaysim</v>
      </c>
      <c r="B41" s="92" t="str">
        <f>'Tariff Jul 2018'!L29</f>
        <v>Solar 4</v>
      </c>
      <c r="C41" s="103">
        <f>91*'Tariff Jul 2018'!M29/100</f>
        <v>82.445999999999998</v>
      </c>
      <c r="D41" s="103">
        <f>IF($H$5&gt;='Tariff Jul 2018'!P29,('Tariff Jul 2018'!P29*'Tariff Jul 2018'!N29/100),(($H$5)*'Tariff Jul 2018'!N29/100))</f>
        <v>385.95861439999999</v>
      </c>
      <c r="E41" s="103">
        <v>0</v>
      </c>
      <c r="F41" s="103">
        <v>0</v>
      </c>
      <c r="G41" s="103">
        <f>IF(($H$5&lt;'Tariff Jul 2018'!T29),(0),($H$5-'Tariff Jul 2018'!T29)*'Tariff Jul 2018'!U29/100)</f>
        <v>0</v>
      </c>
      <c r="H41" s="103">
        <f>($I$5)*'Tariff Jul 2018'!AE29/100</f>
        <v>66.412334800000011</v>
      </c>
      <c r="I41" s="103">
        <v>0</v>
      </c>
      <c r="J41" s="103">
        <f t="shared" ref="J41" si="27">SUM(C41:I41)</f>
        <v>534.81694920000007</v>
      </c>
      <c r="K41" s="299">
        <f t="shared" ref="K41" si="28">(J41-C41)*4</f>
        <v>1809.4837968000002</v>
      </c>
      <c r="L41" s="95">
        <f t="shared" ref="L41" si="29">J41*4</f>
        <v>2139.2677968000003</v>
      </c>
      <c r="M41" s="95">
        <f t="shared" ref="M41" si="30">L41*1.1</f>
        <v>2353.1945764800007</v>
      </c>
      <c r="N41" s="92">
        <f>'Tariff Jul 2018'!AW29</f>
        <v>0</v>
      </c>
      <c r="O41" s="92">
        <f>'Tariff Jul 2018'!AX29</f>
        <v>0</v>
      </c>
      <c r="P41" s="92">
        <f>'Tariff Jul 2018'!AY29</f>
        <v>5</v>
      </c>
      <c r="Q41" s="92">
        <f>'Tariff Jul 2018'!AZ29</f>
        <v>0</v>
      </c>
      <c r="R41" s="96">
        <f>($F$6*'Tariff Jul 2018'!AT29/100)*4</f>
        <v>169.84479999999999</v>
      </c>
      <c r="S41" s="299">
        <f t="shared" ref="S41" si="31">L41</f>
        <v>2139.2677968000003</v>
      </c>
      <c r="T41" s="299">
        <f>S41-(L41*P41/100)</f>
        <v>2032.3044069600003</v>
      </c>
      <c r="U41" s="299">
        <f t="shared" ref="U41" si="32">S41-R41</f>
        <v>1969.4229968000002</v>
      </c>
      <c r="V41" s="299">
        <f t="shared" ref="V41" si="33">T41-R41</f>
        <v>1862.4596069600002</v>
      </c>
      <c r="W41" s="301">
        <f t="shared" ref="W41" si="34">U41*1.1</f>
        <v>2166.3652964800003</v>
      </c>
      <c r="X41" s="301">
        <f t="shared" ref="X41" si="35">V41*1.1</f>
        <v>2048.7055676560003</v>
      </c>
      <c r="Y41" s="97">
        <f>'Tariff Jul 2018'!AT29</f>
        <v>20</v>
      </c>
      <c r="Z41" s="98">
        <f>'Tariff Jul 2018'!BI29</f>
        <v>0</v>
      </c>
      <c r="AA41" s="98" t="str">
        <f>'Tariff Jul 2018'!BJ29</f>
        <v>n</v>
      </c>
      <c r="AB41" s="99">
        <f>'Tariff Jul 2018'!G29</f>
        <v>41787</v>
      </c>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row>
    <row r="42" spans="1:141" s="115" customFormat="1" ht="14" x14ac:dyDescent="0.15">
      <c r="AC42" s="114"/>
      <c r="AD42" s="114"/>
    </row>
    <row r="43" spans="1:141" s="115" customFormat="1" ht="14" x14ac:dyDescent="0.15">
      <c r="AC43" s="114"/>
      <c r="AD43" s="114"/>
    </row>
    <row r="44" spans="1:141" s="115" customFormat="1" ht="14" x14ac:dyDescent="0.15">
      <c r="AC44" s="114"/>
      <c r="AD44" s="114"/>
    </row>
    <row r="45" spans="1:141" s="115" customFormat="1" ht="14" x14ac:dyDescent="0.15">
      <c r="AC45" s="114"/>
      <c r="AD45" s="114"/>
    </row>
    <row r="46" spans="1:141" s="115" customFormat="1" ht="14" x14ac:dyDescent="0.15">
      <c r="AC46" s="114"/>
      <c r="AD46" s="114"/>
    </row>
    <row r="47" spans="1:141" s="115" customFormat="1" ht="14" x14ac:dyDescent="0.15">
      <c r="AC47" s="114"/>
      <c r="AD47" s="114"/>
    </row>
    <row r="48" spans="1:141" s="115" customFormat="1" ht="14" x14ac:dyDescent="0.15">
      <c r="AC48" s="114"/>
      <c r="AD48" s="114"/>
    </row>
    <row r="49" s="115" customFormat="1" x14ac:dyDescent="0.15"/>
    <row r="50" s="115" customFormat="1" x14ac:dyDescent="0.15"/>
    <row r="51" s="115" customFormat="1" x14ac:dyDescent="0.15"/>
    <row r="52" s="115" customFormat="1" x14ac:dyDescent="0.15"/>
    <row r="53" s="115" customFormat="1" x14ac:dyDescent="0.15"/>
    <row r="54" s="115" customFormat="1" x14ac:dyDescent="0.15"/>
    <row r="55" s="115" customFormat="1" x14ac:dyDescent="0.15"/>
    <row r="56" s="115" customFormat="1" x14ac:dyDescent="0.15"/>
    <row r="57" s="115" customFormat="1" x14ac:dyDescent="0.15"/>
    <row r="58" s="115" customFormat="1" x14ac:dyDescent="0.15"/>
    <row r="59" s="115" customFormat="1" x14ac:dyDescent="0.15"/>
    <row r="60" s="115" customFormat="1" x14ac:dyDescent="0.15"/>
    <row r="61" s="115" customFormat="1" x14ac:dyDescent="0.15"/>
    <row r="62" s="115" customFormat="1" x14ac:dyDescent="0.15"/>
    <row r="63" s="115" customFormat="1" x14ac:dyDescent="0.15"/>
    <row r="64" s="115" customFormat="1" x14ac:dyDescent="0.15"/>
    <row r="65" s="115" customFormat="1" x14ac:dyDescent="0.15"/>
    <row r="66" s="115" customFormat="1" x14ac:dyDescent="0.15"/>
    <row r="67" s="115" customFormat="1" x14ac:dyDescent="0.15"/>
    <row r="68" s="115" customFormat="1" x14ac:dyDescent="0.15"/>
    <row r="69" s="115" customFormat="1" x14ac:dyDescent="0.15"/>
    <row r="70" s="115" customFormat="1" x14ac:dyDescent="0.15"/>
    <row r="71" s="115" customFormat="1" x14ac:dyDescent="0.15"/>
    <row r="72" s="115" customFormat="1" x14ac:dyDescent="0.15"/>
    <row r="73" s="115" customFormat="1" x14ac:dyDescent="0.15"/>
    <row r="74" s="115" customFormat="1" x14ac:dyDescent="0.15"/>
    <row r="75" s="115" customFormat="1" x14ac:dyDescent="0.15"/>
    <row r="76" s="115" customFormat="1" x14ac:dyDescent="0.15"/>
    <row r="77" s="115" customFormat="1" x14ac:dyDescent="0.15"/>
    <row r="78" s="115" customFormat="1" x14ac:dyDescent="0.15"/>
    <row r="79" s="115" customFormat="1" x14ac:dyDescent="0.15"/>
    <row r="80" s="115" customFormat="1" x14ac:dyDescent="0.15"/>
    <row r="81" s="115" customFormat="1" x14ac:dyDescent="0.15"/>
    <row r="82" s="115" customFormat="1" x14ac:dyDescent="0.15"/>
    <row r="83" s="115" customFormat="1" x14ac:dyDescent="0.15"/>
    <row r="84" s="115" customFormat="1" x14ac:dyDescent="0.15"/>
    <row r="85" s="115" customFormat="1" x14ac:dyDescent="0.15"/>
    <row r="86" s="115" customFormat="1" x14ac:dyDescent="0.15"/>
    <row r="87" s="115" customFormat="1" x14ac:dyDescent="0.15"/>
    <row r="88" s="115" customFormat="1" x14ac:dyDescent="0.15"/>
    <row r="89" s="115" customFormat="1" x14ac:dyDescent="0.15"/>
    <row r="90" s="115" customFormat="1" x14ac:dyDescent="0.15"/>
    <row r="91" s="115" customFormat="1" x14ac:dyDescent="0.15"/>
    <row r="92" s="115" customFormat="1" x14ac:dyDescent="0.15"/>
    <row r="93" s="115" customFormat="1" x14ac:dyDescent="0.15"/>
    <row r="94" s="115" customFormat="1" x14ac:dyDescent="0.15"/>
    <row r="95" s="115" customFormat="1" x14ac:dyDescent="0.15"/>
    <row r="96" s="115" customFormat="1" x14ac:dyDescent="0.15"/>
    <row r="97" s="115" customFormat="1" x14ac:dyDescent="0.15"/>
    <row r="98" s="115" customFormat="1" x14ac:dyDescent="0.15"/>
    <row r="99" s="115" customFormat="1" x14ac:dyDescent="0.15"/>
    <row r="100" s="115" customFormat="1" x14ac:dyDescent="0.15"/>
    <row r="101" s="115" customFormat="1" x14ac:dyDescent="0.15"/>
    <row r="102" s="115" customFormat="1" x14ac:dyDescent="0.15"/>
    <row r="103" s="115" customFormat="1" x14ac:dyDescent="0.15"/>
    <row r="104" s="115" customFormat="1" x14ac:dyDescent="0.15"/>
    <row r="105" s="115" customFormat="1" x14ac:dyDescent="0.15"/>
    <row r="106" s="115" customFormat="1" x14ac:dyDescent="0.15"/>
    <row r="107" s="115" customFormat="1" x14ac:dyDescent="0.15"/>
    <row r="108" s="115" customFormat="1" x14ac:dyDescent="0.15"/>
    <row r="109" s="115" customFormat="1" x14ac:dyDescent="0.15"/>
    <row r="110" s="115" customFormat="1" x14ac:dyDescent="0.15"/>
    <row r="111" s="115" customFormat="1" x14ac:dyDescent="0.15"/>
    <row r="112" s="115" customFormat="1" x14ac:dyDescent="0.15"/>
    <row r="113" s="115" customFormat="1" x14ac:dyDescent="0.15"/>
    <row r="114" s="115" customFormat="1" x14ac:dyDescent="0.15"/>
    <row r="115" s="115" customFormat="1" x14ac:dyDescent="0.15"/>
    <row r="116" s="115" customFormat="1" x14ac:dyDescent="0.15"/>
    <row r="117" s="115" customFormat="1" x14ac:dyDescent="0.15"/>
    <row r="118" s="115" customFormat="1" x14ac:dyDescent="0.15"/>
    <row r="119" s="115" customFormat="1" x14ac:dyDescent="0.15"/>
    <row r="120" s="115" customFormat="1" x14ac:dyDescent="0.15"/>
    <row r="121" s="115" customFormat="1" x14ac:dyDescent="0.15"/>
    <row r="122" s="115" customFormat="1" x14ac:dyDescent="0.15"/>
    <row r="123" s="115" customFormat="1" x14ac:dyDescent="0.15"/>
    <row r="124" s="115" customFormat="1" x14ac:dyDescent="0.15"/>
    <row r="125" s="115" customFormat="1" x14ac:dyDescent="0.15"/>
    <row r="126" s="115" customFormat="1" x14ac:dyDescent="0.15"/>
    <row r="127" s="115" customFormat="1" x14ac:dyDescent="0.15"/>
    <row r="128" s="115" customFormat="1" x14ac:dyDescent="0.15"/>
    <row r="129" s="115" customFormat="1" x14ac:dyDescent="0.15"/>
    <row r="130" s="115" customFormat="1" x14ac:dyDescent="0.15"/>
    <row r="131" s="115" customFormat="1" x14ac:dyDescent="0.15"/>
    <row r="132" s="115" customFormat="1" x14ac:dyDescent="0.15"/>
    <row r="133" s="115" customFormat="1" x14ac:dyDescent="0.15"/>
    <row r="134" s="115" customFormat="1" x14ac:dyDescent="0.15"/>
    <row r="135" s="115" customFormat="1" x14ac:dyDescent="0.15"/>
    <row r="136" s="115" customFormat="1" x14ac:dyDescent="0.15"/>
    <row r="137" s="115" customFormat="1" x14ac:dyDescent="0.15"/>
    <row r="138" s="115" customFormat="1" x14ac:dyDescent="0.15"/>
    <row r="139" s="115" customFormat="1" x14ac:dyDescent="0.15"/>
    <row r="140" s="115" customFormat="1" x14ac:dyDescent="0.15"/>
    <row r="141" s="115" customFormat="1" x14ac:dyDescent="0.15"/>
    <row r="142" s="115" customFormat="1" x14ac:dyDescent="0.15"/>
    <row r="143" s="115" customFormat="1" x14ac:dyDescent="0.15"/>
    <row r="144" s="115" customFormat="1" x14ac:dyDescent="0.15"/>
    <row r="145" s="115" customFormat="1" x14ac:dyDescent="0.15"/>
    <row r="146" s="115" customFormat="1" x14ac:dyDescent="0.15"/>
    <row r="147" s="115" customFormat="1" x14ac:dyDescent="0.15"/>
    <row r="148" s="115" customFormat="1" x14ac:dyDescent="0.15"/>
    <row r="149" s="115" customFormat="1" x14ac:dyDescent="0.15"/>
  </sheetData>
  <sheetProtection algorithmName="SHA-512" hashValue="53gCu9We0nH1MqvO+LgJ5stPDatOTajAXJuoJkiMlyO8gGI0F+KaJFF2cZC+CSvsNz5ehFvwz/id0kzudV6nIQ==" saltValue="cY8K74kymw7XV5PkiNSWIg==" spinCount="100000" sheet="1" objects="1" scenarios="1"/>
  <dataValidations count="2">
    <dataValidation type="decimal" showInputMessage="1" showErrorMessage="1" errorTitle="Incorrect entry" error="Enter 1.5 or 3.0 only" sqref="C4" xr:uid="{469D1F2B-5056-3544-B9C6-55BD1675E648}">
      <formula1>1.5</formula1>
      <formula2>3</formula2>
    </dataValidation>
    <dataValidation type="whole" showInputMessage="1" showErrorMessage="1" errorTitle="Incorrect number" error="Please enter quarterly consumption between 700-4000kWh" sqref="C5" xr:uid="{818AB2B0-6C2B-F74D-A993-51C6330A941E}">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CJ160"/>
  <sheetViews>
    <sheetView zoomScale="90" zoomScaleNormal="90" workbookViewId="0">
      <selection activeCell="C4" sqref="C4:C5"/>
    </sheetView>
  </sheetViews>
  <sheetFormatPr baseColWidth="10" defaultRowHeight="13" x14ac:dyDescent="0.15"/>
  <cols>
    <col min="1" max="1" width="19.33203125" style="1" customWidth="1"/>
    <col min="2" max="2" width="30.1640625" style="1" customWidth="1"/>
    <col min="3" max="10" width="13.83203125" style="1" customWidth="1"/>
    <col min="11" max="12" width="13.83203125" style="1" hidden="1" customWidth="1"/>
    <col min="13" max="18" width="13.83203125" style="1" customWidth="1"/>
    <col min="19" max="22" width="13.83203125" style="1" hidden="1" customWidth="1"/>
    <col min="23" max="28" width="13.83203125" style="1" customWidth="1"/>
    <col min="29" max="88" width="10.83203125" style="110"/>
    <col min="89" max="16384" width="10.83203125" style="1"/>
  </cols>
  <sheetData>
    <row r="1" spans="1:88" s="110" customFormat="1" ht="14" x14ac:dyDescent="0.15">
      <c r="A1" s="109" t="s">
        <v>340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row>
    <row r="2" spans="1:88" s="110" customFormat="1" ht="14" x14ac:dyDescent="0.15">
      <c r="A2" s="111" t="s">
        <v>152</v>
      </c>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row>
    <row r="3" spans="1:88" s="110" customFormat="1" ht="14" x14ac:dyDescent="0.15">
      <c r="A3" s="111"/>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row>
    <row r="4" spans="1:88" ht="14" x14ac:dyDescent="0.15">
      <c r="A4" s="68" t="s">
        <v>341</v>
      </c>
      <c r="B4" s="69"/>
      <c r="C4" s="104">
        <v>3</v>
      </c>
      <c r="D4" s="109"/>
      <c r="E4" s="70" t="s">
        <v>366</v>
      </c>
      <c r="F4" s="71">
        <f>IF(C4&lt;K1,(630),(1260))</f>
        <v>1260</v>
      </c>
      <c r="G4" s="72"/>
      <c r="H4" s="73" t="s">
        <v>367</v>
      </c>
      <c r="I4" s="74" t="s">
        <v>368</v>
      </c>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row>
    <row r="5" spans="1:88" ht="14" x14ac:dyDescent="0.15">
      <c r="A5" s="75" t="s">
        <v>369</v>
      </c>
      <c r="B5" s="76"/>
      <c r="C5" s="105">
        <v>1500</v>
      </c>
      <c r="D5" s="109"/>
      <c r="E5" s="77" t="s">
        <v>370</v>
      </c>
      <c r="F5" s="78">
        <f>C5-(F4-F6)</f>
        <v>892.68</v>
      </c>
      <c r="G5" s="20" t="s">
        <v>371</v>
      </c>
      <c r="H5" s="79">
        <f>F5*80/100</f>
        <v>714.14399999999989</v>
      </c>
      <c r="I5" s="80">
        <f>F5*20/100</f>
        <v>178.53599999999997</v>
      </c>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row>
    <row r="6" spans="1:88" ht="14" x14ac:dyDescent="0.15">
      <c r="A6" s="110"/>
      <c r="B6" s="110"/>
      <c r="C6" s="110"/>
      <c r="D6" s="109"/>
      <c r="E6" s="77" t="s">
        <v>372</v>
      </c>
      <c r="F6" s="78">
        <f>IF(C4&lt;K1,(F4*22.1/100),(F4*51.8/100))</f>
        <v>652.67999999999995</v>
      </c>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row>
    <row r="7" spans="1:88" s="110" customFormat="1" ht="15" thickBot="1" x14ac:dyDescent="0.2">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row>
    <row r="8" spans="1:88" ht="14" x14ac:dyDescent="0.15">
      <c r="A8" s="82" t="s">
        <v>356</v>
      </c>
      <c r="B8" s="83"/>
      <c r="C8" s="83"/>
      <c r="D8" s="83"/>
      <c r="E8" s="83"/>
      <c r="F8" s="83"/>
      <c r="G8" s="83"/>
      <c r="H8" s="83"/>
      <c r="I8" s="83"/>
      <c r="J8" s="83"/>
      <c r="K8" s="83"/>
      <c r="L8" s="83"/>
      <c r="M8" s="83"/>
      <c r="N8" s="83"/>
      <c r="O8" s="83"/>
      <c r="P8" s="83"/>
      <c r="Q8" s="83"/>
      <c r="R8" s="83"/>
      <c r="S8" s="83"/>
      <c r="T8" s="83"/>
      <c r="U8" s="83"/>
      <c r="V8" s="83"/>
      <c r="W8" s="83"/>
      <c r="X8" s="83"/>
      <c r="Y8" s="83"/>
      <c r="Z8" s="83"/>
      <c r="AA8" s="83"/>
      <c r="AB8" s="18"/>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row>
    <row r="9" spans="1:88" ht="90" x14ac:dyDescent="0.15">
      <c r="A9" s="287" t="s">
        <v>231</v>
      </c>
      <c r="B9" s="288" t="s">
        <v>243</v>
      </c>
      <c r="C9" s="289" t="s">
        <v>244</v>
      </c>
      <c r="D9" s="289" t="s">
        <v>227</v>
      </c>
      <c r="E9" s="290" t="s">
        <v>800</v>
      </c>
      <c r="F9" s="290" t="s">
        <v>358</v>
      </c>
      <c r="G9" s="290" t="s">
        <v>321</v>
      </c>
      <c r="H9" s="290" t="s">
        <v>328</v>
      </c>
      <c r="I9" s="290" t="s">
        <v>329</v>
      </c>
      <c r="J9" s="290" t="s">
        <v>799</v>
      </c>
      <c r="K9" s="296" t="s">
        <v>433</v>
      </c>
      <c r="L9" s="296" t="s">
        <v>247</v>
      </c>
      <c r="M9" s="291" t="s">
        <v>434</v>
      </c>
      <c r="N9" s="292" t="s">
        <v>249</v>
      </c>
      <c r="O9" s="292" t="s">
        <v>250</v>
      </c>
      <c r="P9" s="292" t="s">
        <v>251</v>
      </c>
      <c r="Q9" s="292" t="s">
        <v>365</v>
      </c>
      <c r="R9" s="293" t="s">
        <v>373</v>
      </c>
      <c r="S9" s="297" t="s">
        <v>255</v>
      </c>
      <c r="T9" s="297" t="s">
        <v>264</v>
      </c>
      <c r="U9" s="297" t="s">
        <v>374</v>
      </c>
      <c r="V9" s="297" t="s">
        <v>375</v>
      </c>
      <c r="W9" s="293" t="s">
        <v>376</v>
      </c>
      <c r="X9" s="293" t="s">
        <v>436</v>
      </c>
      <c r="Y9" s="292" t="s">
        <v>155</v>
      </c>
      <c r="Z9" s="292" t="s">
        <v>225</v>
      </c>
      <c r="AA9" s="292" t="s">
        <v>226</v>
      </c>
      <c r="AB9" s="294" t="s">
        <v>437</v>
      </c>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row>
    <row r="10" spans="1:88" ht="14" x14ac:dyDescent="0.15">
      <c r="A10" s="63" t="str">
        <f>'Tariff Jul 2017'!K2</f>
        <v>AGL</v>
      </c>
      <c r="B10" s="1" t="str">
        <f>'Tariff Jul 2017'!L2</f>
        <v xml:space="preserve">Savers </v>
      </c>
      <c r="C10" s="84">
        <f>91*'Tariff Jul 2017'!M2/100</f>
        <v>75.53</v>
      </c>
      <c r="D10" s="84">
        <f>$F$5*'Tariff Jul 2017'!N2/100</f>
        <v>339.21839999999997</v>
      </c>
      <c r="E10" s="84">
        <v>0</v>
      </c>
      <c r="F10" s="85">
        <v>0</v>
      </c>
      <c r="G10" s="84">
        <v>0</v>
      </c>
      <c r="H10" s="84">
        <v>0</v>
      </c>
      <c r="I10" s="84">
        <v>0</v>
      </c>
      <c r="J10" s="84">
        <f>SUM(C10:I10)</f>
        <v>414.74839999999995</v>
      </c>
      <c r="K10" s="298">
        <f>(J10-C10)*4</f>
        <v>1356.8735999999999</v>
      </c>
      <c r="L10" s="86">
        <f>J10*4</f>
        <v>1658.9935999999998</v>
      </c>
      <c r="M10" s="86">
        <f>L10*1.1</f>
        <v>1824.8929599999999</v>
      </c>
      <c r="N10" s="1">
        <f>'Tariff Jul 2017'!AW2</f>
        <v>0</v>
      </c>
      <c r="O10" s="1">
        <f>'Tariff Jul 2017'!AX2</f>
        <v>0</v>
      </c>
      <c r="P10" s="1">
        <f>'Tariff Jul 2017'!AY2</f>
        <v>0</v>
      </c>
      <c r="Q10" s="1">
        <f>'Tariff Jul 2017'!AZ2</f>
        <v>10</v>
      </c>
      <c r="R10" s="87">
        <f>($F$6*'Tariff Jul 2017'!AT2/100)*4</f>
        <v>425.54735999999997</v>
      </c>
      <c r="S10" s="298">
        <f>L10</f>
        <v>1658.9935999999998</v>
      </c>
      <c r="T10" s="298">
        <f>S10-(K10*Q10/100)</f>
        <v>1523.3062399999999</v>
      </c>
      <c r="U10" s="298">
        <f>S10-R10</f>
        <v>1233.4462399999998</v>
      </c>
      <c r="V10" s="298">
        <f>T10-R10</f>
        <v>1097.7588799999999</v>
      </c>
      <c r="W10" s="300">
        <f>U10*1.1</f>
        <v>1356.7908639999998</v>
      </c>
      <c r="X10" s="300">
        <f>V10*1.1</f>
        <v>1207.534768</v>
      </c>
      <c r="Y10" s="88">
        <f>'Tariff Jul 2017'!AT2</f>
        <v>16.3</v>
      </c>
      <c r="Z10" s="89">
        <f>'Tariff Jul 2017'!BG2</f>
        <v>0</v>
      </c>
      <c r="AA10" s="89" t="str">
        <f>'Tariff Jul 2017'!BH2</f>
        <v>n</v>
      </c>
      <c r="AB10" s="90">
        <f>'Tariff Jul 2017'!G2</f>
        <v>41457</v>
      </c>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row>
    <row r="11" spans="1:88" ht="14" x14ac:dyDescent="0.15">
      <c r="A11" s="63" t="str">
        <f>'Tariff Jul 2017'!K3</f>
        <v>Alinta Energy</v>
      </c>
      <c r="B11" s="1" t="str">
        <f>'Tariff Jul 2017'!L3</f>
        <v>Fair Deal</v>
      </c>
      <c r="C11" s="84">
        <f>91*'Tariff Jul 2017'!M3/100</f>
        <v>88.433800000000005</v>
      </c>
      <c r="D11" s="84">
        <f>IF($F$5&gt;='Tariff Jul 2017'!P3,('Tariff Jul 2017'!P3*'Tariff Jul 2017'!N3/100),($F$5*'Tariff Jul 2017'!N3/100))</f>
        <v>117.09</v>
      </c>
      <c r="E11" s="84">
        <f>IF($F$5&lt;'Tariff Jul 2017'!P3,0,IF(($F$5-'Tariff Jul 2017'!P3)&lt;='Tariff Jul 2017'!R3,(($F$5-'Tariff Jul 2017'!P3)*'Tariff Jul 2017'!Q3/100),(('Tariff Jul 2017'!R3-'Tariff Jul 2017'!P3)*'Tariff Jul 2017'!Q3/100)))</f>
        <v>240.74661599999996</v>
      </c>
      <c r="F11" s="85">
        <f>IF($F$5&lt;'Tariff Jul 2017'!R3,0,IF(($F$5-'Tariff Jul 2017'!R3)&lt;='Tariff Jul 2017'!T3,(($F$5-'Tariff Jul 2017'!R3)*'Tariff Jul 2017'!S3/100),(('Tariff Jul 2017'!T3-'Tariff Jul 2017'!R3)*'Tariff Jul 2017'!S3/100)))</f>
        <v>0</v>
      </c>
      <c r="G11" s="84">
        <v>0</v>
      </c>
      <c r="H11" s="84">
        <v>0</v>
      </c>
      <c r="I11" s="84">
        <f>IF(($F$5&lt;'Tariff Jul 2017'!T3),(0),($F$5-'Tariff Jul 2017'!T3)*'Tariff Jul 2017'!U3/100)</f>
        <v>0</v>
      </c>
      <c r="J11" s="84">
        <f t="shared" ref="J11:J23" si="0">SUM(C11:I11)</f>
        <v>446.27041599999995</v>
      </c>
      <c r="K11" s="298">
        <f>(J11-C11)*4</f>
        <v>1431.3464639999997</v>
      </c>
      <c r="L11" s="86">
        <f t="shared" ref="L11:L23" si="1">J11*4</f>
        <v>1785.0816639999998</v>
      </c>
      <c r="M11" s="86">
        <f t="shared" ref="M11:M23" si="2">L11*1.1</f>
        <v>1963.5898304</v>
      </c>
      <c r="N11" s="1">
        <f>'Tariff Jul 2017'!AW3</f>
        <v>0</v>
      </c>
      <c r="O11" s="1">
        <f>'Tariff Jul 2017'!AX3</f>
        <v>0</v>
      </c>
      <c r="P11" s="1">
        <f>'Tariff Jul 2017'!AY3</f>
        <v>0</v>
      </c>
      <c r="Q11" s="1">
        <f>'Tariff Jul 2017'!AZ3</f>
        <v>25</v>
      </c>
      <c r="R11" s="87">
        <f>($F$6*'Tariff Jul 2017'!AT3/100)*4</f>
        <v>177.52895999999998</v>
      </c>
      <c r="S11" s="298">
        <f t="shared" ref="S11:S18" si="3">L11</f>
        <v>1785.0816639999998</v>
      </c>
      <c r="T11" s="298">
        <f>S11-(K11*Q11/100)</f>
        <v>1427.2450479999998</v>
      </c>
      <c r="U11" s="298">
        <f t="shared" ref="U11:U23" si="4">S11-R11</f>
        <v>1607.5527039999997</v>
      </c>
      <c r="V11" s="298">
        <f t="shared" ref="V11:V23" si="5">T11-R11</f>
        <v>1249.7160879999997</v>
      </c>
      <c r="W11" s="300">
        <f t="shared" ref="W11:X23" si="6">U11*1.1</f>
        <v>1768.3079743999999</v>
      </c>
      <c r="X11" s="300">
        <f t="shared" si="6"/>
        <v>1374.6876967999997</v>
      </c>
      <c r="Y11" s="88">
        <f>'Tariff Jul 2017'!AT3</f>
        <v>6.8</v>
      </c>
      <c r="Z11" s="89">
        <f>'Tariff Jul 2017'!BG3</f>
        <v>0</v>
      </c>
      <c r="AA11" s="89" t="str">
        <f>'Tariff Jul 2017'!BH3</f>
        <v>n</v>
      </c>
      <c r="AB11" s="90">
        <f>'Tariff Jul 2017'!G3</f>
        <v>41449</v>
      </c>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row>
    <row r="12" spans="1:88" ht="14" x14ac:dyDescent="0.15">
      <c r="A12" s="63" t="str">
        <f>'Tariff Jul 2017'!K4</f>
        <v>Click Energy</v>
      </c>
      <c r="B12" s="1" t="str">
        <f>'Tariff Jul 2017'!L4</f>
        <v>Shine Plus</v>
      </c>
      <c r="C12" s="84">
        <f>91*'Tariff Jul 2017'!M4/100</f>
        <v>76.674779999999998</v>
      </c>
      <c r="D12" s="84">
        <f>IF($F$5&gt;='Tariff Jul 2017'!P4,('Tariff Jul 2017'!P4*'Tariff Jul 2017'!N4/100),($F$5*'Tariff Jul 2017'!N4/100))</f>
        <v>396.83196720000001</v>
      </c>
      <c r="E12" s="84">
        <v>0</v>
      </c>
      <c r="F12" s="85">
        <v>0</v>
      </c>
      <c r="G12" s="84">
        <v>0</v>
      </c>
      <c r="H12" s="84">
        <v>0</v>
      </c>
      <c r="I12" s="84">
        <f>IF(($F$5&lt;'Tariff Jul 2017'!T4),(0),($F$5-'Tariff Jul 2017'!T4)*'Tariff Jul 2017'!U4/100)</f>
        <v>0</v>
      </c>
      <c r="J12" s="84">
        <f t="shared" si="0"/>
        <v>473.50674720000001</v>
      </c>
      <c r="K12" s="298">
        <f t="shared" ref="K12:K23" si="7">(J12-C12)*4</f>
        <v>1587.3278688</v>
      </c>
      <c r="L12" s="86">
        <f t="shared" si="1"/>
        <v>1894.0269888</v>
      </c>
      <c r="M12" s="86">
        <f t="shared" si="2"/>
        <v>2083.4296876800004</v>
      </c>
      <c r="N12" s="1">
        <f>'Tariff Jul 2017'!AW4</f>
        <v>0</v>
      </c>
      <c r="O12" s="1">
        <f>'Tariff Jul 2017'!AX4</f>
        <v>0</v>
      </c>
      <c r="P12" s="1">
        <f>'Tariff Jul 2017'!AY4</f>
        <v>5</v>
      </c>
      <c r="Q12" s="1">
        <f>'Tariff Jul 2017'!AZ4</f>
        <v>0</v>
      </c>
      <c r="R12" s="87">
        <f>($F$6*'Tariff Jul 2017'!AT4/100)*4</f>
        <v>574.35839999999996</v>
      </c>
      <c r="S12" s="298">
        <f t="shared" si="3"/>
        <v>1894.0269888</v>
      </c>
      <c r="T12" s="298">
        <f>S12-(S12*P12/100)</f>
        <v>1799.32563936</v>
      </c>
      <c r="U12" s="298">
        <f t="shared" si="4"/>
        <v>1319.6685888000002</v>
      </c>
      <c r="V12" s="298">
        <f t="shared" si="5"/>
        <v>1224.9672393599999</v>
      </c>
      <c r="W12" s="300">
        <f t="shared" si="6"/>
        <v>1451.6354476800004</v>
      </c>
      <c r="X12" s="300">
        <f t="shared" si="6"/>
        <v>1347.463963296</v>
      </c>
      <c r="Y12" s="88">
        <f>'Tariff Jul 2017'!AT4</f>
        <v>22</v>
      </c>
      <c r="Z12" s="89">
        <f>'Tariff Jul 2017'!BG4</f>
        <v>0</v>
      </c>
      <c r="AA12" s="89" t="str">
        <f>'Tariff Jul 2017'!BH4</f>
        <v>n</v>
      </c>
      <c r="AB12" s="90">
        <f>'Tariff Jul 2017'!G4</f>
        <v>41455</v>
      </c>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row>
    <row r="13" spans="1:88" ht="14" x14ac:dyDescent="0.15">
      <c r="A13" s="63" t="str">
        <f>'Tariff Jul 2017'!K5</f>
        <v>Commander</v>
      </c>
      <c r="B13" s="1" t="str">
        <f>'Tariff Jul 2017'!L5</f>
        <v>Market offer</v>
      </c>
      <c r="C13" s="84">
        <f>91*'Tariff Jul 2017'!M5/100</f>
        <v>73.664500000000004</v>
      </c>
      <c r="D13" s="84">
        <f>IF($F$5&gt;='Tariff Jul 2017'!P5,('Tariff Jul 2017'!P5*'Tariff Jul 2017'!N5/100),($F$5*'Tariff Jul 2017'!N5/100))</f>
        <v>365.10611999999992</v>
      </c>
      <c r="E13" s="84">
        <v>0</v>
      </c>
      <c r="F13" s="85">
        <v>0</v>
      </c>
      <c r="G13" s="84">
        <v>0</v>
      </c>
      <c r="H13" s="84">
        <v>0</v>
      </c>
      <c r="I13" s="84">
        <f>IF(($F$5&lt;'Tariff Jul 2017'!T5),(0),($F$5-'Tariff Jul 2017'!T5)*'Tariff Jul 2017'!U5/100)</f>
        <v>0</v>
      </c>
      <c r="J13" s="84">
        <f t="shared" si="0"/>
        <v>438.77061999999989</v>
      </c>
      <c r="K13" s="298">
        <f t="shared" si="7"/>
        <v>1460.4244799999997</v>
      </c>
      <c r="L13" s="86">
        <f t="shared" si="1"/>
        <v>1755.0824799999996</v>
      </c>
      <c r="M13" s="86">
        <f t="shared" si="2"/>
        <v>1930.5907279999997</v>
      </c>
      <c r="N13" s="1">
        <f>'Tariff Jul 2017'!AW5</f>
        <v>0</v>
      </c>
      <c r="O13" s="1">
        <f>'Tariff Jul 2017'!AX5</f>
        <v>0</v>
      </c>
      <c r="P13" s="1">
        <f>'Tariff Jul 2017'!AY5</f>
        <v>0</v>
      </c>
      <c r="Q13" s="1">
        <f>'Tariff Jul 2017'!AZ5</f>
        <v>20</v>
      </c>
      <c r="R13" s="87">
        <f>($F$6*'Tariff Jul 2017'!AT5/100)*4</f>
        <v>302.84351999999996</v>
      </c>
      <c r="S13" s="298">
        <f t="shared" si="3"/>
        <v>1755.0824799999996</v>
      </c>
      <c r="T13" s="298">
        <f>S13-(K13*Q13/100)</f>
        <v>1462.9975839999997</v>
      </c>
      <c r="U13" s="298">
        <f t="shared" si="4"/>
        <v>1452.2389599999997</v>
      </c>
      <c r="V13" s="298">
        <f t="shared" si="5"/>
        <v>1160.1540639999998</v>
      </c>
      <c r="W13" s="300">
        <f t="shared" si="6"/>
        <v>1597.4628559999999</v>
      </c>
      <c r="X13" s="300">
        <f t="shared" si="6"/>
        <v>1276.1694703999999</v>
      </c>
      <c r="Y13" s="88">
        <f>'Tariff Jul 2017'!AT5</f>
        <v>11.6</v>
      </c>
      <c r="Z13" s="89">
        <f>'Tariff Jul 2017'!BG5</f>
        <v>0</v>
      </c>
      <c r="AA13" s="89" t="str">
        <f>'Tariff Jul 2017'!BH5</f>
        <v>n</v>
      </c>
      <c r="AB13" s="90">
        <f>'Tariff Jul 2017'!G5</f>
        <v>41495</v>
      </c>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row>
    <row r="14" spans="1:88" ht="14" x14ac:dyDescent="0.15">
      <c r="A14" s="63" t="str">
        <f>'Tariff Jul 2017'!K6</f>
        <v>Diamond Energy</v>
      </c>
      <c r="B14" s="1" t="str">
        <f>'Tariff Jul 2017'!L6</f>
        <v>Pay on time discount</v>
      </c>
      <c r="C14" s="84">
        <f>91*'Tariff Jul 2017'!M6/100</f>
        <v>79.124499999999998</v>
      </c>
      <c r="D14" s="84">
        <f>IF($F$5&gt;='Tariff Jul 2017'!P6,('Tariff Jul 2017'!P6*'Tariff Jul 2017'!N6/100),($F$5*'Tariff Jul 2017'!N6/100))</f>
        <v>99.78</v>
      </c>
      <c r="E14" s="84">
        <f>IF($F$5&lt;'Tariff Jul 2017'!P6,0,IF(($F$5-'Tariff Jul 2017'!P6)&lt;='Tariff Jul 2017'!R6,(($F$5-'Tariff Jul 2017'!P6)*'Tariff Jul 2017'!Q6/100),(('Tariff Jul 2017'!R6-'Tariff Jul 2017'!P6)*'Tariff Jul 2017'!Q6/100)))</f>
        <v>212.712852</v>
      </c>
      <c r="F14" s="85">
        <f>IF($F$5&lt;'Tariff Jul 2017'!R6,0,IF(($F$5-'Tariff Jul 2017'!R6)&lt;='Tariff Jul 2017'!T6,(($F$5-'Tariff Jul 2017'!R6)*'Tariff Jul 2017'!S6/100),(('Tariff Jul 2017'!T6-'Tariff Jul 2017'!R6)*'Tariff Jul 2017'!S6/100)))</f>
        <v>0</v>
      </c>
      <c r="G14" s="84">
        <v>0</v>
      </c>
      <c r="H14" s="84">
        <v>0</v>
      </c>
      <c r="I14" s="84">
        <f>IF(($F$5&lt;'Tariff Jul 2017'!T6),(0),($F$5-'Tariff Jul 2017'!T6)*'Tariff Jul 2017'!U6/100)</f>
        <v>0</v>
      </c>
      <c r="J14" s="84">
        <f t="shared" si="0"/>
        <v>391.61735199999998</v>
      </c>
      <c r="K14" s="298">
        <f t="shared" si="7"/>
        <v>1249.9714079999999</v>
      </c>
      <c r="L14" s="86">
        <f t="shared" si="1"/>
        <v>1566.4694079999999</v>
      </c>
      <c r="M14" s="86">
        <f t="shared" si="2"/>
        <v>1723.1163488</v>
      </c>
      <c r="N14" s="1">
        <f>'Tariff Jul 2017'!AW6</f>
        <v>0</v>
      </c>
      <c r="O14" s="1">
        <f>'Tariff Jul 2017'!AX6</f>
        <v>0</v>
      </c>
      <c r="P14" s="1">
        <f>'Tariff Jul 2017'!AY6</f>
        <v>7</v>
      </c>
      <c r="Q14" s="1">
        <f>'Tariff Jul 2017'!AZ6</f>
        <v>0</v>
      </c>
      <c r="R14" s="87">
        <f>($F$6*'Tariff Jul 2017'!AT6/100)*4</f>
        <v>313.28640000000001</v>
      </c>
      <c r="S14" s="298">
        <f t="shared" si="3"/>
        <v>1566.4694079999999</v>
      </c>
      <c r="T14" s="298">
        <f>S14-(S14*P14/100)</f>
        <v>1456.81654944</v>
      </c>
      <c r="U14" s="298">
        <f t="shared" si="4"/>
        <v>1253.183008</v>
      </c>
      <c r="V14" s="298">
        <f t="shared" si="5"/>
        <v>1143.5301494400001</v>
      </c>
      <c r="W14" s="300">
        <f t="shared" si="6"/>
        <v>1378.5013088000001</v>
      </c>
      <c r="X14" s="300">
        <f t="shared" si="6"/>
        <v>1257.8831643840001</v>
      </c>
      <c r="Y14" s="88">
        <f>'Tariff Jul 2017'!AT6</f>
        <v>12</v>
      </c>
      <c r="Z14" s="89">
        <f>'Tariff Jul 2017'!BG6</f>
        <v>24</v>
      </c>
      <c r="AA14" s="89" t="str">
        <f>'Tariff Jul 2017'!BH6</f>
        <v>y</v>
      </c>
      <c r="AB14" s="90">
        <f>'Tariff Jul 2017'!G6</f>
        <v>41455</v>
      </c>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row>
    <row r="15" spans="1:88" ht="14" x14ac:dyDescent="0.15">
      <c r="A15" s="63" t="str">
        <f>'Tariff Jul 2017'!K7</f>
        <v>Dodo Power &amp; Gas</v>
      </c>
      <c r="B15" s="1" t="str">
        <f>'Tariff Jul 2017'!L7</f>
        <v>Market offer</v>
      </c>
      <c r="C15" s="84">
        <f>91*'Tariff Jul 2017'!M7/100</f>
        <v>73.664500000000004</v>
      </c>
      <c r="D15" s="84">
        <f>IF($F$5&gt;='Tariff Jul 2017'!P7,('Tariff Jul 2017'!P7*'Tariff Jul 2017'!N7/100),($F$5*'Tariff Jul 2017'!N7/100))</f>
        <v>380.72801999999996</v>
      </c>
      <c r="E15" s="84">
        <v>0</v>
      </c>
      <c r="F15" s="85">
        <v>0</v>
      </c>
      <c r="G15" s="84">
        <v>0</v>
      </c>
      <c r="H15" s="84">
        <v>0</v>
      </c>
      <c r="I15" s="84">
        <f>IF(($F$5&lt;'Tariff Jul 2017'!T7),(0),($F$5-'Tariff Jul 2017'!T7)*'Tariff Jul 2017'!U7/100)</f>
        <v>0</v>
      </c>
      <c r="J15" s="84">
        <f t="shared" si="0"/>
        <v>454.39251999999999</v>
      </c>
      <c r="K15" s="298">
        <f t="shared" si="7"/>
        <v>1522.9120800000001</v>
      </c>
      <c r="L15" s="86">
        <f t="shared" si="1"/>
        <v>1817.57008</v>
      </c>
      <c r="M15" s="86">
        <f t="shared" si="2"/>
        <v>1999.3270880000002</v>
      </c>
      <c r="N15" s="1">
        <f>'Tariff Jul 2017'!AW7</f>
        <v>0</v>
      </c>
      <c r="O15" s="1">
        <f>'Tariff Jul 2017'!AX7</f>
        <v>0</v>
      </c>
      <c r="P15" s="1">
        <f>'Tariff Jul 2017'!AY7</f>
        <v>0</v>
      </c>
      <c r="Q15" s="1">
        <f>'Tariff Jul 2017'!AZ7</f>
        <v>0</v>
      </c>
      <c r="R15" s="87">
        <f>($F$6*'Tariff Jul 2017'!AT7/100)*4</f>
        <v>302.84351999999996</v>
      </c>
      <c r="S15" s="298">
        <f t="shared" si="3"/>
        <v>1817.57008</v>
      </c>
      <c r="T15" s="298">
        <f>S15-(K15*Q15/100)</f>
        <v>1817.57008</v>
      </c>
      <c r="U15" s="298">
        <f t="shared" si="4"/>
        <v>1514.7265600000001</v>
      </c>
      <c r="V15" s="298">
        <f t="shared" si="5"/>
        <v>1514.7265600000001</v>
      </c>
      <c r="W15" s="300">
        <f t="shared" si="6"/>
        <v>1666.1992160000002</v>
      </c>
      <c r="X15" s="300">
        <f t="shared" si="6"/>
        <v>1666.1992160000002</v>
      </c>
      <c r="Y15" s="88">
        <f>'Tariff Jul 2017'!AT7</f>
        <v>11.6</v>
      </c>
      <c r="Z15" s="89">
        <f>'Tariff Jul 2017'!BG7</f>
        <v>0</v>
      </c>
      <c r="AA15" s="89" t="str">
        <f>'Tariff Jul 2017'!BH7</f>
        <v>n</v>
      </c>
      <c r="AB15" s="90">
        <f>'Tariff Jul 2017'!G7</f>
        <v>41495</v>
      </c>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row>
    <row r="16" spans="1:88" ht="14" x14ac:dyDescent="0.15">
      <c r="A16" s="63" t="str">
        <f>'Tariff Jul 2017'!K8</f>
        <v>EnergyAustralia</v>
      </c>
      <c r="B16" s="1" t="str">
        <f>'Tariff Jul 2017'!L8</f>
        <v xml:space="preserve">Flexi Saver </v>
      </c>
      <c r="C16" s="84">
        <f>91*'Tariff Jul 2017'!M8/100</f>
        <v>81.536000000000001</v>
      </c>
      <c r="D16" s="84">
        <f>IF($F$5&gt;='Tariff Jul 2017'!P8,('Tariff Jul 2017'!P8*'Tariff Jul 2017'!N8/100),($F$5*'Tariff Jul 2017'!N8/100))</f>
        <v>377.33583599999997</v>
      </c>
      <c r="E16" s="84">
        <v>0</v>
      </c>
      <c r="F16" s="85">
        <v>0</v>
      </c>
      <c r="G16" s="84">
        <v>0</v>
      </c>
      <c r="H16" s="84">
        <v>0</v>
      </c>
      <c r="I16" s="84">
        <f>IF(($F$5&lt;'Tariff Jul 2017'!T8),(0),($F$5-'Tariff Jul 2017'!T8)*'Tariff Jul 2017'!U8/100)</f>
        <v>0</v>
      </c>
      <c r="J16" s="84">
        <f t="shared" si="0"/>
        <v>458.87183599999997</v>
      </c>
      <c r="K16" s="298">
        <f t="shared" si="7"/>
        <v>1509.3433439999999</v>
      </c>
      <c r="L16" s="86">
        <f t="shared" si="1"/>
        <v>1835.4873439999999</v>
      </c>
      <c r="M16" s="86">
        <f t="shared" si="2"/>
        <v>2019.0360784</v>
      </c>
      <c r="N16" s="1">
        <f>'Tariff Jul 2017'!AW8</f>
        <v>0</v>
      </c>
      <c r="O16" s="1">
        <f>'Tariff Jul 2017'!AX8</f>
        <v>0</v>
      </c>
      <c r="P16" s="1">
        <f>'Tariff Jul 2017'!AY8</f>
        <v>0</v>
      </c>
      <c r="Q16" s="1">
        <f>'Tariff Jul 2017'!AZ8</f>
        <v>18</v>
      </c>
      <c r="R16" s="87">
        <f>($F$6*'Tariff Jul 2017'!AT8/100)*4</f>
        <v>391.60799999999995</v>
      </c>
      <c r="S16" s="298">
        <f t="shared" si="3"/>
        <v>1835.4873439999999</v>
      </c>
      <c r="T16" s="298">
        <f>S16-(K16*Q16/100)</f>
        <v>1563.8055420799999</v>
      </c>
      <c r="U16" s="298">
        <f t="shared" si="4"/>
        <v>1443.8793439999999</v>
      </c>
      <c r="V16" s="298">
        <f t="shared" si="5"/>
        <v>1172.1975420799999</v>
      </c>
      <c r="W16" s="300">
        <f t="shared" si="6"/>
        <v>1588.2672784000001</v>
      </c>
      <c r="X16" s="300">
        <f t="shared" si="6"/>
        <v>1289.417296288</v>
      </c>
      <c r="Y16" s="88">
        <f>'Tariff Jul 2017'!AT8</f>
        <v>15</v>
      </c>
      <c r="Z16" s="89">
        <f>'Tariff Jul 2017'!BG8</f>
        <v>0</v>
      </c>
      <c r="AA16" s="89" t="str">
        <f>'Tariff Jul 2017'!BH8</f>
        <v>n</v>
      </c>
      <c r="AB16" s="90">
        <f>'Tariff Jul 2017'!G8</f>
        <v>41467</v>
      </c>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row>
    <row r="17" spans="1:88" ht="14" x14ac:dyDescent="0.15">
      <c r="A17" s="63" t="str">
        <f>'Tariff Jul 2017'!K9</f>
        <v>Lumo Energy</v>
      </c>
      <c r="B17" s="1" t="str">
        <f>'Tariff Jul 2017'!L9</f>
        <v>Advantage</v>
      </c>
      <c r="C17" s="84">
        <f>91*'Tariff Jul 2017'!M9/100</f>
        <v>78.123499999999993</v>
      </c>
      <c r="D17" s="84">
        <f>IF($F$5&gt;='Tariff Jul 2017'!P9,('Tariff Jul 2017'!P9*'Tariff Jul 2017'!N9/100),($F$5*'Tariff Jul 2017'!N9/100))</f>
        <v>336.54036000000002</v>
      </c>
      <c r="E17" s="84">
        <v>0</v>
      </c>
      <c r="F17" s="85">
        <v>0</v>
      </c>
      <c r="G17" s="84">
        <v>0</v>
      </c>
      <c r="H17" s="84">
        <v>0</v>
      </c>
      <c r="I17" s="84">
        <f>IF(($F$5&lt;'Tariff Jul 2017'!T9),(0),($F$5-'Tariff Jul 2017'!T9)*'Tariff Jul 2017'!U9/100)</f>
        <v>0</v>
      </c>
      <c r="J17" s="84">
        <f t="shared" si="0"/>
        <v>414.66386</v>
      </c>
      <c r="K17" s="298">
        <f t="shared" si="7"/>
        <v>1346.1614400000001</v>
      </c>
      <c r="L17" s="86">
        <f t="shared" si="1"/>
        <v>1658.65544</v>
      </c>
      <c r="M17" s="86">
        <f t="shared" si="2"/>
        <v>1824.5209840000002</v>
      </c>
      <c r="N17" s="1">
        <f>'Tariff Jul 2017'!AW9</f>
        <v>0</v>
      </c>
      <c r="O17" s="1">
        <f>'Tariff Jul 2017'!AX9</f>
        <v>0</v>
      </c>
      <c r="P17" s="1">
        <f>'Tariff Jul 2017'!AY9</f>
        <v>10</v>
      </c>
      <c r="Q17" s="1">
        <f>'Tariff Jul 2017'!AZ9</f>
        <v>0</v>
      </c>
      <c r="R17" s="87">
        <f>($F$6*'Tariff Jul 2017'!AT9/100)*4</f>
        <v>417.71519999999998</v>
      </c>
      <c r="S17" s="298">
        <f t="shared" si="3"/>
        <v>1658.65544</v>
      </c>
      <c r="T17" s="298">
        <f>S17-(S17*P17/100)</f>
        <v>1492.789896</v>
      </c>
      <c r="U17" s="298">
        <f t="shared" si="4"/>
        <v>1240.9402399999999</v>
      </c>
      <c r="V17" s="298">
        <f t="shared" si="5"/>
        <v>1075.0746960000001</v>
      </c>
      <c r="W17" s="300">
        <f t="shared" si="6"/>
        <v>1365.0342639999999</v>
      </c>
      <c r="X17" s="300">
        <f t="shared" si="6"/>
        <v>1182.5821656000003</v>
      </c>
      <c r="Y17" s="88">
        <f>'Tariff Jul 2017'!AT9</f>
        <v>16</v>
      </c>
      <c r="Z17" s="89">
        <f>'Tariff Jul 2017'!BG9</f>
        <v>0</v>
      </c>
      <c r="AA17" s="89" t="str">
        <f>'Tariff Jul 2017'!BH9</f>
        <v>n</v>
      </c>
      <c r="AB17" s="90">
        <f>'Tariff Jul 2017'!G9</f>
        <v>41468</v>
      </c>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row>
    <row r="18" spans="1:88" ht="14" x14ac:dyDescent="0.15">
      <c r="A18" s="63" t="str">
        <f>'Tariff Jul 2017'!K10</f>
        <v>Momentum Energy</v>
      </c>
      <c r="B18" s="1" t="str">
        <f>'Tariff Jul 2017'!L10</f>
        <v>SmilePower</v>
      </c>
      <c r="C18" s="84">
        <f>91*'Tariff Jul 2017'!M10/100</f>
        <v>75.156900000000007</v>
      </c>
      <c r="D18" s="84">
        <f>IF($F$5&gt;='Tariff Jul 2017'!P10,('Tariff Jul 2017'!P10*'Tariff Jul 2017'!N10/100),($F$5*'Tariff Jul 2017'!N10/100))</f>
        <v>230.28</v>
      </c>
      <c r="E18" s="84">
        <v>0</v>
      </c>
      <c r="F18" s="85">
        <v>0</v>
      </c>
      <c r="G18" s="84">
        <v>0</v>
      </c>
      <c r="H18" s="84">
        <v>0</v>
      </c>
      <c r="I18" s="84">
        <f>IF(($F$5&lt;'Tariff Jul 2017'!T10),(0),($F$5-'Tariff Jul 2017'!T10)*'Tariff Jul 2017'!U10/100)</f>
        <v>110.10621599999996</v>
      </c>
      <c r="J18" s="84">
        <f t="shared" si="0"/>
        <v>415.543116</v>
      </c>
      <c r="K18" s="298">
        <f t="shared" si="7"/>
        <v>1361.544864</v>
      </c>
      <c r="L18" s="86">
        <f t="shared" si="1"/>
        <v>1662.172464</v>
      </c>
      <c r="M18" s="86">
        <f t="shared" si="2"/>
        <v>1828.3897104000002</v>
      </c>
      <c r="N18" s="1">
        <f>'Tariff Jul 2017'!AW10</f>
        <v>0</v>
      </c>
      <c r="O18" s="1">
        <f>'Tariff Jul 2017'!AX10</f>
        <v>0</v>
      </c>
      <c r="P18" s="1">
        <f>'Tariff Jul 2017'!AY10</f>
        <v>0</v>
      </c>
      <c r="Q18" s="1">
        <f>'Tariff Jul 2017'!AZ10</f>
        <v>0</v>
      </c>
      <c r="R18" s="87">
        <f>($F$6*'Tariff Jul 2017'!AT10/100)*4</f>
        <v>177.52895999999998</v>
      </c>
      <c r="S18" s="298">
        <f t="shared" si="3"/>
        <v>1662.172464</v>
      </c>
      <c r="T18" s="298">
        <f>S18</f>
        <v>1662.172464</v>
      </c>
      <c r="U18" s="298">
        <f t="shared" si="4"/>
        <v>1484.6435040000001</v>
      </c>
      <c r="V18" s="298">
        <f t="shared" si="5"/>
        <v>1484.6435040000001</v>
      </c>
      <c r="W18" s="300">
        <f t="shared" si="6"/>
        <v>1633.1078544000002</v>
      </c>
      <c r="X18" s="300">
        <f t="shared" si="6"/>
        <v>1633.1078544000002</v>
      </c>
      <c r="Y18" s="88">
        <f>'Tariff Jul 2017'!AT10</f>
        <v>6.8</v>
      </c>
      <c r="Z18" s="89">
        <f>'Tariff Jul 2017'!BG10</f>
        <v>12</v>
      </c>
      <c r="AA18" s="89" t="str">
        <f>'Tariff Jul 2017'!BH10</f>
        <v>y</v>
      </c>
      <c r="AB18" s="90">
        <f>'Tariff Jul 2017'!G10</f>
        <v>41469</v>
      </c>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row>
    <row r="19" spans="1:88" ht="14" x14ac:dyDescent="0.15">
      <c r="A19" s="63" t="str">
        <f>'Tariff Jul 2017'!K11</f>
        <v>Origin Energy</v>
      </c>
      <c r="B19" s="1" t="str">
        <f>'Tariff Jul 2017'!L11</f>
        <v>Solar Boost Plus</v>
      </c>
      <c r="C19" s="84">
        <f>91*'Tariff Jul 2017'!M11/100</f>
        <v>75.484499999999997</v>
      </c>
      <c r="D19" s="84">
        <f>IF($F$5&gt;='Tariff Jul 2017'!P11,('Tariff Jul 2017'!P11*'Tariff Jul 2017'!N11/100),($F$5*'Tariff Jul 2017'!N11/100))</f>
        <v>328.05989999999997</v>
      </c>
      <c r="E19" s="84">
        <v>0</v>
      </c>
      <c r="F19" s="85">
        <v>0</v>
      </c>
      <c r="G19" s="84">
        <v>0</v>
      </c>
      <c r="H19" s="84">
        <v>0</v>
      </c>
      <c r="I19" s="84">
        <f>IF(($F$5&lt;'Tariff Jul 2017'!T11),(0),($F$5-'Tariff Jul 2017'!T11)*'Tariff Jul 2017'!U11/100)</f>
        <v>0</v>
      </c>
      <c r="J19" s="84">
        <f t="shared" si="0"/>
        <v>403.5444</v>
      </c>
      <c r="K19" s="298">
        <f t="shared" si="7"/>
        <v>1312.2395999999999</v>
      </c>
      <c r="L19" s="86">
        <f t="shared" si="1"/>
        <v>1614.1776</v>
      </c>
      <c r="M19" s="86">
        <f t="shared" si="2"/>
        <v>1775.59536</v>
      </c>
      <c r="N19" s="1">
        <f>'Tariff Jul 2017'!AW11</f>
        <v>0</v>
      </c>
      <c r="O19" s="1">
        <f>'Tariff Jul 2017'!AX11</f>
        <v>12</v>
      </c>
      <c r="P19" s="1">
        <f>'Tariff Jul 2017'!AY11</f>
        <v>0</v>
      </c>
      <c r="Q19" s="1">
        <f>'Tariff Jul 2017'!AZ11</f>
        <v>0</v>
      </c>
      <c r="R19" s="87">
        <f>($F$6*'Tariff Jul 2017'!AT11/100)*4</f>
        <v>522.14399999999989</v>
      </c>
      <c r="S19" s="298">
        <f>L19-(K19*O19/100)</f>
        <v>1456.708848</v>
      </c>
      <c r="T19" s="298">
        <f>S19</f>
        <v>1456.708848</v>
      </c>
      <c r="U19" s="298">
        <f t="shared" si="4"/>
        <v>934.5648480000001</v>
      </c>
      <c r="V19" s="298">
        <f t="shared" si="5"/>
        <v>934.5648480000001</v>
      </c>
      <c r="W19" s="300">
        <f t="shared" si="6"/>
        <v>1028.0213328000002</v>
      </c>
      <c r="X19" s="300">
        <f t="shared" si="6"/>
        <v>1028.0213328000002</v>
      </c>
      <c r="Y19" s="88">
        <f>'Tariff Jul 2017'!AT11</f>
        <v>20</v>
      </c>
      <c r="Z19" s="89">
        <f>'Tariff Jul 2017'!BG11</f>
        <v>0</v>
      </c>
      <c r="AA19" s="89" t="str">
        <f>'Tariff Jul 2017'!BH11</f>
        <v>n</v>
      </c>
      <c r="AB19" s="90">
        <f>'Tariff Jul 2017'!G11</f>
        <v>41455</v>
      </c>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row>
    <row r="20" spans="1:88" ht="14" x14ac:dyDescent="0.15">
      <c r="A20" s="63" t="str">
        <f>'Tariff Jul 2017'!K12</f>
        <v>Powerdirect</v>
      </c>
      <c r="B20" s="1" t="str">
        <f>'Tariff Jul 2017'!L12</f>
        <v>Market offer</v>
      </c>
      <c r="C20" s="84">
        <f>91*'Tariff Jul 2017'!M12/100</f>
        <v>75.53</v>
      </c>
      <c r="D20" s="84">
        <f>$F$5*'Tariff Jul 2017'!N12/100</f>
        <v>339.21839999999997</v>
      </c>
      <c r="E20" s="84">
        <v>0</v>
      </c>
      <c r="F20" s="85">
        <v>0</v>
      </c>
      <c r="G20" s="84">
        <v>0</v>
      </c>
      <c r="H20" s="84">
        <v>0</v>
      </c>
      <c r="I20" s="84">
        <v>0</v>
      </c>
      <c r="J20" s="84">
        <f t="shared" si="0"/>
        <v>414.74839999999995</v>
      </c>
      <c r="K20" s="298">
        <f t="shared" si="7"/>
        <v>1356.8735999999999</v>
      </c>
      <c r="L20" s="86">
        <f t="shared" si="1"/>
        <v>1658.9935999999998</v>
      </c>
      <c r="M20" s="86">
        <f t="shared" si="2"/>
        <v>1824.8929599999999</v>
      </c>
      <c r="N20" s="1">
        <f>'Tariff Jul 2017'!AW12</f>
        <v>0</v>
      </c>
      <c r="O20" s="1">
        <f>'Tariff Jul 2017'!AX12</f>
        <v>0</v>
      </c>
      <c r="P20" s="1">
        <f>'Tariff Jul 2017'!AY12</f>
        <v>0</v>
      </c>
      <c r="Q20" s="1">
        <f>'Tariff Jul 2017'!AZ12</f>
        <v>14</v>
      </c>
      <c r="R20" s="87">
        <f>($F$6*'Tariff Jul 2017'!AT12/100)*4</f>
        <v>425.54735999999997</v>
      </c>
      <c r="S20" s="298">
        <f t="shared" ref="S20:S23" si="8">L20</f>
        <v>1658.9935999999998</v>
      </c>
      <c r="T20" s="298">
        <f>S20-(K20*Q20/100)</f>
        <v>1469.0312959999997</v>
      </c>
      <c r="U20" s="298">
        <f t="shared" si="4"/>
        <v>1233.4462399999998</v>
      </c>
      <c r="V20" s="298">
        <f t="shared" si="5"/>
        <v>1043.4839359999996</v>
      </c>
      <c r="W20" s="300">
        <f t="shared" si="6"/>
        <v>1356.7908639999998</v>
      </c>
      <c r="X20" s="300">
        <f t="shared" si="6"/>
        <v>1147.8323295999996</v>
      </c>
      <c r="Y20" s="88">
        <f>'Tariff Jul 2017'!AT12</f>
        <v>16.3</v>
      </c>
      <c r="Z20" s="89">
        <f>'Tariff Jul 2017'!BG12</f>
        <v>24</v>
      </c>
      <c r="AA20" s="89" t="str">
        <f>'Tariff Jul 2017'!BH12</f>
        <v>n</v>
      </c>
      <c r="AB20" s="90">
        <f>'Tariff Jul 2017'!G12</f>
        <v>41455</v>
      </c>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row>
    <row r="21" spans="1:88" ht="14" x14ac:dyDescent="0.15">
      <c r="A21" s="63" t="str">
        <f>'Tariff Jul 2017'!K13</f>
        <v>Sanctuary Energy</v>
      </c>
      <c r="B21" s="1" t="str">
        <f>'Tariff Jul 2017'!L13</f>
        <v>Negotiated contract</v>
      </c>
      <c r="C21" s="84">
        <f>91*'Tariff Jul 2017'!M13/100</f>
        <v>68.692260000000005</v>
      </c>
      <c r="D21" s="84">
        <f>IF($F$5&gt;='Tariff Jul 2017'!P13,('Tariff Jul 2017'!P13*'Tariff Jul 2017'!N13/100),($F$5*'Tariff Jul 2017'!N13/100))</f>
        <v>100.49849999999998</v>
      </c>
      <c r="E21" s="84">
        <f>IF($F$5&lt;'Tariff Jul 2017'!P13,0,IF(($F$5-'Tariff Jul 2017'!P13)&lt;='Tariff Jul 2017'!R13,(($F$5-'Tariff Jul 2017'!P13)*'Tariff Jul 2017'!Q13/100),(('Tariff Jul 2017'!R13-'Tariff Jul 2017'!P13)*'Tariff Jul 2017'!Q13/100)))</f>
        <v>202.29353759999998</v>
      </c>
      <c r="F21" s="85">
        <f>IF($F$5&lt;'Tariff Jul 2017'!R13,0,IF(($F$5-'Tariff Jul 2017'!R13)&lt;='Tariff Jul 2017'!T13,(($F$5-'Tariff Jul 2017'!R13)*'Tariff Jul 2017'!S13/100),(('Tariff Jul 2017'!T13-'Tariff Jul 2017'!R13)*'Tariff Jul 2017'!S13/100)))</f>
        <v>0</v>
      </c>
      <c r="G21" s="84">
        <v>0</v>
      </c>
      <c r="H21" s="84">
        <v>0</v>
      </c>
      <c r="I21" s="84">
        <f>IF(($F$5&lt;'Tariff Jul 2017'!T13),(0),($F$5-'Tariff Jul 2017'!T13)*'Tariff Jul 2017'!U13/100)</f>
        <v>0</v>
      </c>
      <c r="J21" s="84">
        <f t="shared" si="0"/>
        <v>371.48429759999999</v>
      </c>
      <c r="K21" s="298">
        <f t="shared" si="7"/>
        <v>1211.1681503999998</v>
      </c>
      <c r="L21" s="86">
        <f t="shared" si="1"/>
        <v>1485.9371904</v>
      </c>
      <c r="M21" s="86">
        <f t="shared" si="2"/>
        <v>1634.5309094400002</v>
      </c>
      <c r="N21" s="1">
        <f>'Tariff Jul 2017'!AW13</f>
        <v>0</v>
      </c>
      <c r="O21" s="1">
        <f>'Tariff Jul 2017'!AX13</f>
        <v>0</v>
      </c>
      <c r="P21" s="1">
        <f>'Tariff Jul 2017'!AY13</f>
        <v>0</v>
      </c>
      <c r="Q21" s="1">
        <f>'Tariff Jul 2017'!AZ13</f>
        <v>0</v>
      </c>
      <c r="R21" s="87">
        <f>($F$6*'Tariff Jul 2017'!AT13/100)*4</f>
        <v>177.52895999999998</v>
      </c>
      <c r="S21" s="298">
        <f t="shared" si="8"/>
        <v>1485.9371904</v>
      </c>
      <c r="T21" s="298">
        <f>S21</f>
        <v>1485.9371904</v>
      </c>
      <c r="U21" s="298">
        <f t="shared" si="4"/>
        <v>1308.4082303999999</v>
      </c>
      <c r="V21" s="298">
        <f t="shared" si="5"/>
        <v>1308.4082303999999</v>
      </c>
      <c r="W21" s="300">
        <f t="shared" si="6"/>
        <v>1439.2490534399999</v>
      </c>
      <c r="X21" s="300">
        <f t="shared" si="6"/>
        <v>1439.2490534399999</v>
      </c>
      <c r="Y21" s="88">
        <f>'Tariff Jul 2017'!AT13</f>
        <v>6.8</v>
      </c>
      <c r="Z21" s="89">
        <f>'Tariff Jul 2017'!BG13</f>
        <v>36</v>
      </c>
      <c r="AA21" s="89" t="str">
        <f>'Tariff Jul 2017'!BH13</f>
        <v>n</v>
      </c>
      <c r="AB21" s="90">
        <f>'Tariff Jul 2017'!G13</f>
        <v>41455</v>
      </c>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row>
    <row r="22" spans="1:88" ht="14" x14ac:dyDescent="0.15">
      <c r="A22" s="63" t="str">
        <f>'Tariff Jul 2017'!K14</f>
        <v>Simply Energy</v>
      </c>
      <c r="B22" s="1" t="str">
        <f>'Tariff Jul 2017'!L14</f>
        <v>Plus</v>
      </c>
      <c r="C22" s="84">
        <f>91*'Tariff Jul 2017'!M14/100</f>
        <v>57.921499999999995</v>
      </c>
      <c r="D22" s="84">
        <f>IF($F$5&gt;='Tariff Jul 2017'!P14,('Tariff Jul 2017'!P14*'Tariff Jul 2017'!N14/100),($F$5*'Tariff Jul 2017'!N14/100))</f>
        <v>289.58539199999996</v>
      </c>
      <c r="E22" s="84">
        <v>0</v>
      </c>
      <c r="F22" s="85">
        <v>0</v>
      </c>
      <c r="G22" s="84">
        <v>0</v>
      </c>
      <c r="H22" s="84">
        <v>0</v>
      </c>
      <c r="I22" s="84">
        <f>IF(($F$5&lt;'Tariff Jul 2017'!T14),(0),($F$5-'Tariff Jul 2017'!T14)*'Tariff Jul 2017'!U14/100)</f>
        <v>0</v>
      </c>
      <c r="J22" s="84">
        <f t="shared" si="0"/>
        <v>347.50689199999994</v>
      </c>
      <c r="K22" s="298">
        <f>(J22-C22)*4</f>
        <v>1158.3415679999998</v>
      </c>
      <c r="L22" s="86">
        <f t="shared" si="1"/>
        <v>1390.0275679999997</v>
      </c>
      <c r="M22" s="86">
        <f t="shared" si="2"/>
        <v>1529.0303247999998</v>
      </c>
      <c r="N22" s="1">
        <f>'Tariff Jul 2017'!AW14</f>
        <v>0</v>
      </c>
      <c r="O22" s="1">
        <f>'Tariff Jul 2017'!AX14</f>
        <v>0</v>
      </c>
      <c r="P22" s="1">
        <f>'Tariff Jul 2017'!AY14</f>
        <v>0</v>
      </c>
      <c r="Q22" s="1">
        <f>'Tariff Jul 2017'!AZ14</f>
        <v>15</v>
      </c>
      <c r="R22" s="87">
        <f>($F$6*'Tariff Jul 2017'!AT14/100)*4</f>
        <v>177.52895999999998</v>
      </c>
      <c r="S22" s="298">
        <f t="shared" si="8"/>
        <v>1390.0275679999997</v>
      </c>
      <c r="T22" s="298">
        <f>S22-(K22*Q22/100)</f>
        <v>1216.2763327999999</v>
      </c>
      <c r="U22" s="298">
        <f t="shared" si="4"/>
        <v>1212.4986079999999</v>
      </c>
      <c r="V22" s="298">
        <f t="shared" si="5"/>
        <v>1038.7473728</v>
      </c>
      <c r="W22" s="300">
        <f t="shared" si="6"/>
        <v>1333.7484688</v>
      </c>
      <c r="X22" s="300">
        <f t="shared" si="6"/>
        <v>1142.6221100800001</v>
      </c>
      <c r="Y22" s="88">
        <f>'Tariff Jul 2017'!AT14</f>
        <v>6.8</v>
      </c>
      <c r="Z22" s="89">
        <f>'Tariff Jul 2017'!BG14</f>
        <v>24</v>
      </c>
      <c r="AA22" s="89" t="str">
        <f>'Tariff Jul 2017'!BH14</f>
        <v>y</v>
      </c>
      <c r="AB22" s="90">
        <f>'Tariff Jul 2017'!G14</f>
        <v>41459</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row>
    <row r="23" spans="1:88" ht="15" thickBot="1" x14ac:dyDescent="0.2">
      <c r="A23" s="91" t="str">
        <f>'Tariff Jul 2017'!K15</f>
        <v>Red Energy</v>
      </c>
      <c r="B23" s="92" t="str">
        <f>'Tariff Jul 2017'!L15</f>
        <v>No exit fee saver</v>
      </c>
      <c r="C23" s="93">
        <f>91*'Tariff Jul 2017'!M15/100</f>
        <v>78.123499999999993</v>
      </c>
      <c r="D23" s="93">
        <f>IF($F$5&gt;='Tariff Jul 2017'!P15,('Tariff Jul 2017'!P15*'Tariff Jul 2017'!N15/100),($F$5*'Tariff Jul 2017'!N15/100))</f>
        <v>336.54036000000002</v>
      </c>
      <c r="E23" s="93">
        <v>0</v>
      </c>
      <c r="F23" s="94">
        <v>0</v>
      </c>
      <c r="G23" s="93">
        <v>0</v>
      </c>
      <c r="H23" s="93">
        <v>0</v>
      </c>
      <c r="I23" s="93">
        <f>IF(($F$5&lt;'Tariff Jul 2017'!T15),(0),($F$5-'Tariff Jul 2017'!T15)*'Tariff Jul 2017'!U15/100)</f>
        <v>0</v>
      </c>
      <c r="J23" s="93">
        <f t="shared" si="0"/>
        <v>414.66386</v>
      </c>
      <c r="K23" s="299">
        <f t="shared" si="7"/>
        <v>1346.1614400000001</v>
      </c>
      <c r="L23" s="95">
        <f t="shared" si="1"/>
        <v>1658.65544</v>
      </c>
      <c r="M23" s="95">
        <f t="shared" si="2"/>
        <v>1824.5209840000002</v>
      </c>
      <c r="N23" s="92">
        <f>'Tariff Jul 2017'!AW15</f>
        <v>0</v>
      </c>
      <c r="O23" s="92">
        <f>'Tariff Jul 2017'!AX15</f>
        <v>0</v>
      </c>
      <c r="P23" s="92">
        <f>'Tariff Jul 2017'!AY15</f>
        <v>10</v>
      </c>
      <c r="Q23" s="92">
        <f>'Tariff Jul 2017'!AZ15</f>
        <v>0</v>
      </c>
      <c r="R23" s="96">
        <f>($F$6*'Tariff Jul 2017'!AT15/100)*4</f>
        <v>417.71519999999998</v>
      </c>
      <c r="S23" s="299">
        <f t="shared" si="8"/>
        <v>1658.65544</v>
      </c>
      <c r="T23" s="299">
        <f>S23-(L23*P23/100)</f>
        <v>1492.789896</v>
      </c>
      <c r="U23" s="299">
        <f t="shared" si="4"/>
        <v>1240.9402399999999</v>
      </c>
      <c r="V23" s="299">
        <f t="shared" si="5"/>
        <v>1075.0746960000001</v>
      </c>
      <c r="W23" s="301">
        <f t="shared" si="6"/>
        <v>1365.0342639999999</v>
      </c>
      <c r="X23" s="301">
        <f t="shared" si="6"/>
        <v>1182.5821656000003</v>
      </c>
      <c r="Y23" s="97">
        <f>'Tariff Jul 2017'!AT15</f>
        <v>16</v>
      </c>
      <c r="Z23" s="98">
        <f>'Tariff Jul 2017'!BG15</f>
        <v>0</v>
      </c>
      <c r="AA23" s="98" t="str">
        <f>'Tariff Jul 2017'!BH15</f>
        <v>n</v>
      </c>
      <c r="AB23" s="99">
        <f>'Tariff Jul 2017'!G15</f>
        <v>41479</v>
      </c>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row>
    <row r="24" spans="1:88" s="110" customFormat="1" ht="14" x14ac:dyDescent="0.15">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row>
    <row r="25" spans="1:88" s="110" customFormat="1" ht="15" thickBot="1" x14ac:dyDescent="0.2">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row>
    <row r="26" spans="1:88" ht="14" x14ac:dyDescent="0.15">
      <c r="A26" s="82" t="s">
        <v>154</v>
      </c>
      <c r="B26" s="83"/>
      <c r="C26" s="100"/>
      <c r="D26" s="100"/>
      <c r="E26" s="100"/>
      <c r="F26" s="100"/>
      <c r="G26" s="101"/>
      <c r="H26" s="101"/>
      <c r="I26" s="83"/>
      <c r="J26" s="83"/>
      <c r="K26" s="101"/>
      <c r="L26" s="83"/>
      <c r="M26" s="83"/>
      <c r="N26" s="83"/>
      <c r="O26" s="83"/>
      <c r="P26" s="83"/>
      <c r="Q26" s="83"/>
      <c r="R26" s="83"/>
      <c r="S26" s="83"/>
      <c r="T26" s="83"/>
      <c r="U26" s="83"/>
      <c r="V26" s="83"/>
      <c r="W26" s="83"/>
      <c r="X26" s="83"/>
      <c r="Y26" s="83"/>
      <c r="Z26" s="83"/>
      <c r="AA26" s="83"/>
      <c r="AB26" s="18"/>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row>
    <row r="27" spans="1:88" ht="90" x14ac:dyDescent="0.15">
      <c r="A27" s="287" t="s">
        <v>231</v>
      </c>
      <c r="B27" s="288" t="s">
        <v>243</v>
      </c>
      <c r="C27" s="289" t="s">
        <v>244</v>
      </c>
      <c r="D27" s="289" t="s">
        <v>245</v>
      </c>
      <c r="E27" s="290" t="s">
        <v>357</v>
      </c>
      <c r="F27" s="290" t="s">
        <v>358</v>
      </c>
      <c r="G27" s="290" t="s">
        <v>329</v>
      </c>
      <c r="H27" s="290" t="s">
        <v>222</v>
      </c>
      <c r="I27" s="290" t="s">
        <v>223</v>
      </c>
      <c r="J27" s="290" t="s">
        <v>799</v>
      </c>
      <c r="K27" s="296" t="s">
        <v>246</v>
      </c>
      <c r="L27" s="296" t="s">
        <v>247</v>
      </c>
      <c r="M27" s="291" t="s">
        <v>248</v>
      </c>
      <c r="N27" s="292" t="s">
        <v>249</v>
      </c>
      <c r="O27" s="292" t="s">
        <v>250</v>
      </c>
      <c r="P27" s="292" t="s">
        <v>251</v>
      </c>
      <c r="Q27" s="292" t="s">
        <v>365</v>
      </c>
      <c r="R27" s="293" t="s">
        <v>373</v>
      </c>
      <c r="S27" s="297" t="s">
        <v>255</v>
      </c>
      <c r="T27" s="297" t="s">
        <v>224</v>
      </c>
      <c r="U27" s="297" t="s">
        <v>374</v>
      </c>
      <c r="V27" s="297" t="s">
        <v>375</v>
      </c>
      <c r="W27" s="293" t="s">
        <v>376</v>
      </c>
      <c r="X27" s="293" t="s">
        <v>436</v>
      </c>
      <c r="Y27" s="292" t="s">
        <v>155</v>
      </c>
      <c r="Z27" s="295" t="s">
        <v>225</v>
      </c>
      <c r="AA27" s="292" t="s">
        <v>226</v>
      </c>
      <c r="AB27" s="294" t="s">
        <v>437</v>
      </c>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row>
    <row r="28" spans="1:88" ht="14" x14ac:dyDescent="0.15">
      <c r="A28" s="63" t="str">
        <f>'Tariff Jul 2017'!K16</f>
        <v>AGL</v>
      </c>
      <c r="B28" s="1" t="str">
        <f>'Tariff Jul 2017'!L16</f>
        <v xml:space="preserve">Savers </v>
      </c>
      <c r="C28" s="102">
        <f>91*'Tariff Jul 2017'!M16/100</f>
        <v>75.53</v>
      </c>
      <c r="D28" s="102">
        <f>$H$5*'Tariff Jul 2017'!N16/100</f>
        <v>271.37471999999997</v>
      </c>
      <c r="E28" s="102">
        <v>0</v>
      </c>
      <c r="F28" s="102">
        <v>0</v>
      </c>
      <c r="G28" s="102">
        <v>0</v>
      </c>
      <c r="H28" s="102">
        <f>($I$5)*'Tariff Jul 2017'!AE16/100</f>
        <v>39.277919999999995</v>
      </c>
      <c r="I28" s="102">
        <v>0</v>
      </c>
      <c r="J28" s="102">
        <f>SUM(C28:I28)</f>
        <v>386.18263999999999</v>
      </c>
      <c r="K28" s="298">
        <f>(J28-C28)*4</f>
        <v>1242.6105600000001</v>
      </c>
      <c r="L28" s="86">
        <f>J28*4</f>
        <v>1544.73056</v>
      </c>
      <c r="M28" s="86">
        <f>L28*1.1</f>
        <v>1699.203616</v>
      </c>
      <c r="N28" s="1">
        <f>'Tariff Jul 2017'!AW16</f>
        <v>0</v>
      </c>
      <c r="O28" s="1">
        <f>'Tariff Jul 2017'!AX16</f>
        <v>0</v>
      </c>
      <c r="P28" s="1">
        <f>'Tariff Jul 2017'!AY16</f>
        <v>0</v>
      </c>
      <c r="Q28" s="1">
        <f>'Tariff Jul 2017'!AZ16</f>
        <v>10</v>
      </c>
      <c r="R28" s="87">
        <f>($F$6*'Tariff Jul 2017'!AT16/100)*4</f>
        <v>425.54735999999997</v>
      </c>
      <c r="S28" s="298">
        <f>L28</f>
        <v>1544.73056</v>
      </c>
      <c r="T28" s="298">
        <f>S28-(K28*Q28/100)</f>
        <v>1420.4695039999999</v>
      </c>
      <c r="U28" s="298">
        <f>S28-R28</f>
        <v>1119.1831999999999</v>
      </c>
      <c r="V28" s="298">
        <f>T28-R28</f>
        <v>994.92214399999989</v>
      </c>
      <c r="W28" s="300">
        <f>U28*1.1</f>
        <v>1231.1015199999999</v>
      </c>
      <c r="X28" s="300">
        <f>V28*1.1</f>
        <v>1094.4143583999999</v>
      </c>
      <c r="Y28" s="88">
        <f>'Tariff Jul 2017'!AT15</f>
        <v>16</v>
      </c>
      <c r="Z28" s="89">
        <f>'Tariff Jul 2017'!BG16</f>
        <v>0</v>
      </c>
      <c r="AA28" s="89" t="str">
        <f>'Tariff Jul 2017'!BH16</f>
        <v>n</v>
      </c>
      <c r="AB28" s="90">
        <f>'Tariff Jul 2017'!G16</f>
        <v>41457</v>
      </c>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row>
    <row r="29" spans="1:88" ht="14" x14ac:dyDescent="0.15">
      <c r="A29" s="63" t="str">
        <f>'Tariff Jul 2017'!K17</f>
        <v>Alinta Energy</v>
      </c>
      <c r="B29" s="1" t="str">
        <f>'Tariff Jul 2017'!L17</f>
        <v>Fair Deal</v>
      </c>
      <c r="C29" s="102">
        <f>91*'Tariff Jul 2017'!M17/100</f>
        <v>88.433800000000005</v>
      </c>
      <c r="D29" s="102">
        <f>IF($H$5&gt;='Tariff Jul 2017'!P17,('Tariff Jul 2017'!P17*'Tariff Jul 2017'!N17/100),(($H$5)*'Tariff Jul 2017'!N17/100))</f>
        <v>117.09</v>
      </c>
      <c r="E29" s="102">
        <f>IF($H$5&lt;'Tariff Jul 2017'!P17,0,IF(($H$5-'Tariff Jul 2017'!P17)&lt;='Tariff Jul 2017'!R17,(($H$5-'Tariff Jul 2017'!P17)*'Tariff Jul 2017'!Q17/100),(('Tariff Jul 2017'!R17-'Tariff Jul 2017'!P17)*'Tariff Jul 2017'!Q17/100)))</f>
        <v>168.22529279999995</v>
      </c>
      <c r="F29" s="102">
        <f>IF($H$5&lt;'Tariff Jul 2017'!R17,0,IF(($H$5-'Tariff Jul 2017'!R17)&lt;='Tariff Jul 2017'!T17,(($H$5-'Tariff Jul 2017'!R17)*'Tariff Jul 2017'!S17/100),(('Tariff Jul 2017'!T17-'Tariff Jul 2017'!R17)*'Tariff Jul 2017'!S17/100)))</f>
        <v>0</v>
      </c>
      <c r="G29" s="102">
        <f>IF(($H$5&lt;'Tariff Jul 2017'!T17),(0),($H$5-'Tariff Jul 2017'!T17)*'Tariff Jul 2017'!U17/100)</f>
        <v>0</v>
      </c>
      <c r="H29" s="102">
        <f>IF($I$5&gt;='Tariff Jul 2017'!AF17,('Tariff Jul 2017'!AF17*'Tariff Jul 2017'!AE17/100),(($I$5)*'Tariff Jul 2017'!AE17/100))</f>
        <v>39.331480799999994</v>
      </c>
      <c r="I29" s="102">
        <f>IF((I5&lt;'Tariff Jul 2017'!AF17),(0),(I5-'Tariff Jul 2017'!AF17)*'Tariff Jul 2017'!AG17/100)</f>
        <v>0</v>
      </c>
      <c r="J29" s="102">
        <f t="shared" ref="J29:J41" si="9">SUM(C29:I29)</f>
        <v>413.08057359999998</v>
      </c>
      <c r="K29" s="298">
        <f>(J29-C29)*4</f>
        <v>1298.5870943999998</v>
      </c>
      <c r="L29" s="86">
        <f t="shared" ref="L29:L41" si="10">J29*4</f>
        <v>1652.3222943999999</v>
      </c>
      <c r="M29" s="86">
        <f t="shared" ref="M29:M41" si="11">L29*1.1</f>
        <v>1817.55452384</v>
      </c>
      <c r="N29" s="1">
        <f>'Tariff Jul 2017'!AW17</f>
        <v>0</v>
      </c>
      <c r="O29" s="1">
        <f>'Tariff Jul 2017'!AX17</f>
        <v>0</v>
      </c>
      <c r="P29" s="1">
        <f>'Tariff Jul 2017'!AY17</f>
        <v>0</v>
      </c>
      <c r="Q29" s="1">
        <f>'Tariff Jul 2017'!AZ17</f>
        <v>25</v>
      </c>
      <c r="R29" s="87">
        <f>($F$6*'Tariff Jul 2017'!AT17/100)*4</f>
        <v>177.52895999999998</v>
      </c>
      <c r="S29" s="298">
        <f t="shared" ref="S29:S36" si="12">L29</f>
        <v>1652.3222943999999</v>
      </c>
      <c r="T29" s="298">
        <f>S29-(K29*Q29/100)</f>
        <v>1327.6755208</v>
      </c>
      <c r="U29" s="298">
        <f t="shared" ref="U29:U41" si="13">S29-R29</f>
        <v>1474.7933343999998</v>
      </c>
      <c r="V29" s="298">
        <f t="shared" ref="V29:V41" si="14">T29-R29</f>
        <v>1150.1465607999999</v>
      </c>
      <c r="W29" s="300">
        <f t="shared" ref="W29:X41" si="15">U29*1.1</f>
        <v>1622.2726678399999</v>
      </c>
      <c r="X29" s="300">
        <f t="shared" si="15"/>
        <v>1265.16121688</v>
      </c>
      <c r="Y29" s="88">
        <f>'Tariff Jul 2017'!AT16</f>
        <v>16.3</v>
      </c>
      <c r="Z29" s="89">
        <f>'Tariff Jul 2017'!BG17</f>
        <v>0</v>
      </c>
      <c r="AA29" s="89" t="str">
        <f>'Tariff Jul 2017'!BH17</f>
        <v>n</v>
      </c>
      <c r="AB29" s="90">
        <f>'Tariff Jul 2017'!G17</f>
        <v>41449</v>
      </c>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row>
    <row r="30" spans="1:88" ht="14" x14ac:dyDescent="0.15">
      <c r="A30" s="63" t="str">
        <f>'Tariff Jul 2017'!K18</f>
        <v>Click Energy</v>
      </c>
      <c r="B30" s="1" t="str">
        <f>'Tariff Jul 2017'!L18</f>
        <v>Shine Plus</v>
      </c>
      <c r="C30" s="102">
        <f>91*'Tariff Jul 2017'!M18/100</f>
        <v>76.674779999999998</v>
      </c>
      <c r="D30" s="102">
        <f>IF($H$5&gt;='Tariff Jul 2017'!P18,('Tariff Jul 2017'!P18*'Tariff Jul 2017'!N18/100),(($H$5)*'Tariff Jul 2017'!N18/100))</f>
        <v>317.46557375999998</v>
      </c>
      <c r="E30" s="102">
        <v>0</v>
      </c>
      <c r="F30" s="102">
        <v>0</v>
      </c>
      <c r="G30" s="102">
        <f>IF(($H$5&lt;'Tariff Jul 2017'!T18),(0),($H$5-'Tariff Jul 2017'!T18)*'Tariff Jul 2017'!U18/100)</f>
        <v>0</v>
      </c>
      <c r="H30" s="102">
        <f>($I$5)*'Tariff Jul 2017'!AE18/100</f>
        <v>65.087084159999989</v>
      </c>
      <c r="I30" s="102">
        <v>0</v>
      </c>
      <c r="J30" s="102">
        <f t="shared" si="9"/>
        <v>459.22743791999994</v>
      </c>
      <c r="K30" s="298">
        <f t="shared" ref="K30:K41" si="16">(J30-C30)*4</f>
        <v>1530.2106316799998</v>
      </c>
      <c r="L30" s="86">
        <f t="shared" si="10"/>
        <v>1836.9097516799998</v>
      </c>
      <c r="M30" s="86">
        <f t="shared" si="11"/>
        <v>2020.600726848</v>
      </c>
      <c r="N30" s="1">
        <f>'Tariff Jul 2017'!AW18</f>
        <v>0</v>
      </c>
      <c r="O30" s="1">
        <f>'Tariff Jul 2017'!AX18</f>
        <v>0</v>
      </c>
      <c r="P30" s="1">
        <f>'Tariff Jul 2017'!AY18</f>
        <v>5</v>
      </c>
      <c r="Q30" s="1">
        <f>'Tariff Jul 2017'!AZ18</f>
        <v>0</v>
      </c>
      <c r="R30" s="87">
        <f>($F$6*'Tariff Jul 2017'!AT18/100)*4</f>
        <v>574.35839999999996</v>
      </c>
      <c r="S30" s="298">
        <f t="shared" si="12"/>
        <v>1836.9097516799998</v>
      </c>
      <c r="T30" s="298">
        <f>S30-(S30*P30/100)</f>
        <v>1745.0642640959998</v>
      </c>
      <c r="U30" s="298">
        <f t="shared" si="13"/>
        <v>1262.5513516799997</v>
      </c>
      <c r="V30" s="298">
        <f t="shared" si="14"/>
        <v>1170.7058640959999</v>
      </c>
      <c r="W30" s="300">
        <f t="shared" si="15"/>
        <v>1388.8064868479998</v>
      </c>
      <c r="X30" s="300">
        <f t="shared" si="15"/>
        <v>1287.7764505056</v>
      </c>
      <c r="Y30" s="88">
        <f>'Tariff Jul 2017'!AT17</f>
        <v>6.8</v>
      </c>
      <c r="Z30" s="89">
        <f>'Tariff Jul 2017'!BG18</f>
        <v>0</v>
      </c>
      <c r="AA30" s="89" t="str">
        <f>'Tariff Jul 2017'!BH18</f>
        <v>n</v>
      </c>
      <c r="AB30" s="90">
        <f>'Tariff Jul 2017'!G18</f>
        <v>41455</v>
      </c>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row>
    <row r="31" spans="1:88" ht="14" x14ac:dyDescent="0.15">
      <c r="A31" s="63" t="str">
        <f>'Tariff Jul 2017'!K19</f>
        <v>Commander</v>
      </c>
      <c r="B31" s="1" t="str">
        <f>'Tariff Jul 2017'!L19</f>
        <v>Market offer</v>
      </c>
      <c r="C31" s="102">
        <f>91*'Tariff Jul 2017'!M19/100</f>
        <v>73.664500000000004</v>
      </c>
      <c r="D31" s="102">
        <f>IF($H$5&gt;='Tariff Jul 2017'!P19,('Tariff Jul 2017'!P19*'Tariff Jul 2017'!N19/100),(($H$5)*'Tariff Jul 2017'!N19/100))</f>
        <v>292.08489599999996</v>
      </c>
      <c r="E31" s="102">
        <v>0</v>
      </c>
      <c r="F31" s="102">
        <v>0</v>
      </c>
      <c r="G31" s="102">
        <f>IF(($H$5&lt;'Tariff Jul 2017'!T19),(0),($H$5-'Tariff Jul 2017'!T19)*'Tariff Jul 2017'!U19/100)</f>
        <v>0</v>
      </c>
      <c r="H31" s="102">
        <f>($I$5)*'Tariff Jul 2017'!AE19/100</f>
        <v>40.152746399999991</v>
      </c>
      <c r="I31" s="102">
        <v>0</v>
      </c>
      <c r="J31" s="102">
        <f t="shared" si="9"/>
        <v>405.90214239999995</v>
      </c>
      <c r="K31" s="298">
        <f t="shared" si="16"/>
        <v>1328.9505695999997</v>
      </c>
      <c r="L31" s="86">
        <f t="shared" si="10"/>
        <v>1623.6085695999998</v>
      </c>
      <c r="M31" s="86">
        <f t="shared" si="11"/>
        <v>1785.9694265599999</v>
      </c>
      <c r="N31" s="1">
        <f>'Tariff Jul 2017'!AW19</f>
        <v>0</v>
      </c>
      <c r="O31" s="1">
        <f>'Tariff Jul 2017'!AX19</f>
        <v>0</v>
      </c>
      <c r="P31" s="1">
        <f>'Tariff Jul 2017'!AY19</f>
        <v>0</v>
      </c>
      <c r="Q31" s="1">
        <f>'Tariff Jul 2017'!AZ19</f>
        <v>20</v>
      </c>
      <c r="R31" s="87">
        <f>($F$6*'Tariff Jul 2017'!AT19/100)*4</f>
        <v>302.84351999999996</v>
      </c>
      <c r="S31" s="298">
        <f t="shared" si="12"/>
        <v>1623.6085695999998</v>
      </c>
      <c r="T31" s="298">
        <f>S31-(K31*Q31/100)</f>
        <v>1357.8184556799997</v>
      </c>
      <c r="U31" s="298">
        <f t="shared" si="13"/>
        <v>1320.7650495999999</v>
      </c>
      <c r="V31" s="298">
        <f t="shared" si="14"/>
        <v>1054.9749356799998</v>
      </c>
      <c r="W31" s="300">
        <f t="shared" si="15"/>
        <v>1452.8415545600001</v>
      </c>
      <c r="X31" s="300">
        <f t="shared" si="15"/>
        <v>1160.4724292479998</v>
      </c>
      <c r="Y31" s="88">
        <f>'Tariff Jul 2017'!AT18</f>
        <v>22</v>
      </c>
      <c r="Z31" s="89">
        <f>'Tariff Jul 2017'!BG19</f>
        <v>0</v>
      </c>
      <c r="AA31" s="89" t="str">
        <f>'Tariff Jul 2017'!BH19</f>
        <v>n</v>
      </c>
      <c r="AB31" s="90">
        <f>'Tariff Jul 2017'!G19</f>
        <v>41495</v>
      </c>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row>
    <row r="32" spans="1:88" ht="14" x14ac:dyDescent="0.15">
      <c r="A32" s="63" t="str">
        <f>'Tariff Jul 2017'!K20</f>
        <v>Diamond Energy</v>
      </c>
      <c r="B32" s="1" t="str">
        <f>'Tariff Jul 2017'!L20</f>
        <v>Pay on time discount</v>
      </c>
      <c r="C32" s="102">
        <f>91*'Tariff Jul 2017'!M20/100</f>
        <v>79.124499999999998</v>
      </c>
      <c r="D32" s="102">
        <f>IF($H$5&gt;='Tariff Jul 2017'!P20,('Tariff Jul 2017'!P20*'Tariff Jul 2017'!N20/100),(($H$5)*'Tariff Jul 2017'!N20/100))</f>
        <v>99.78</v>
      </c>
      <c r="E32" s="102">
        <f>IF($H$5&lt;'Tariff Jul 2017'!P20,0,IF(($H$5-'Tariff Jul 2017'!P20)&lt;='Tariff Jul 2017'!R20,(($H$5-'Tariff Jul 2017'!P20)*'Tariff Jul 2017'!Q20/100),(('Tariff Jul 2017'!R20-'Tariff Jul 2017'!P20)*'Tariff Jul 2017'!Q20/100)))</f>
        <v>148.63628159999996</v>
      </c>
      <c r="F32" s="102">
        <f>IF($H$5&lt;'Tariff Jul 2017'!R20,0,IF(($H$5-'Tariff Jul 2017'!R20)&lt;='Tariff Jul 2017'!T20,(($H$5-'Tariff Jul 2017'!R20)*'Tariff Jul 2017'!S20/100),(('Tariff Jul 2017'!T20-'Tariff Jul 2017'!R20)*'Tariff Jul 2017'!S20/100)))</f>
        <v>0</v>
      </c>
      <c r="G32" s="102">
        <f>IF(($H$5&lt;'Tariff Jul 2017'!T20),(0),($H$5-'Tariff Jul 2017'!T20)*'Tariff Jul 2017'!U20/100)</f>
        <v>0</v>
      </c>
      <c r="H32" s="102">
        <f>($I$5)*'Tariff Jul 2017'!AE20/100</f>
        <v>35.617931999999989</v>
      </c>
      <c r="I32" s="102">
        <v>0</v>
      </c>
      <c r="J32" s="102">
        <f t="shared" si="9"/>
        <v>363.15871359999994</v>
      </c>
      <c r="K32" s="298">
        <f t="shared" si="16"/>
        <v>1136.1368543999997</v>
      </c>
      <c r="L32" s="86">
        <f t="shared" si="10"/>
        <v>1452.6348543999998</v>
      </c>
      <c r="M32" s="86">
        <f t="shared" si="11"/>
        <v>1597.8983398399998</v>
      </c>
      <c r="N32" s="1">
        <f>'Tariff Jul 2017'!AW20</f>
        <v>0</v>
      </c>
      <c r="O32" s="1">
        <f>'Tariff Jul 2017'!AX20</f>
        <v>0</v>
      </c>
      <c r="P32" s="1">
        <f>'Tariff Jul 2017'!AY20</f>
        <v>7</v>
      </c>
      <c r="Q32" s="1">
        <f>'Tariff Jul 2017'!AZ20</f>
        <v>0</v>
      </c>
      <c r="R32" s="87">
        <f>($F$6*'Tariff Jul 2017'!AT20/100)*4</f>
        <v>313.28640000000001</v>
      </c>
      <c r="S32" s="298">
        <f t="shared" si="12"/>
        <v>1452.6348543999998</v>
      </c>
      <c r="T32" s="298">
        <f>S32-(S32*P32/100)</f>
        <v>1350.9504145919998</v>
      </c>
      <c r="U32" s="298">
        <f t="shared" si="13"/>
        <v>1139.3484543999998</v>
      </c>
      <c r="V32" s="298">
        <f t="shared" si="14"/>
        <v>1037.6640145919998</v>
      </c>
      <c r="W32" s="300">
        <f t="shared" si="15"/>
        <v>1253.2832998399999</v>
      </c>
      <c r="X32" s="300">
        <f t="shared" si="15"/>
        <v>1141.4304160511999</v>
      </c>
      <c r="Y32" s="88">
        <f>'Tariff Jul 2017'!AT19</f>
        <v>11.6</v>
      </c>
      <c r="Z32" s="89">
        <f>'Tariff Jul 2017'!BG20</f>
        <v>24</v>
      </c>
      <c r="AA32" s="89" t="str">
        <f>'Tariff Jul 2017'!BH20</f>
        <v>y</v>
      </c>
      <c r="AB32" s="90">
        <f>'Tariff Jul 2017'!G20</f>
        <v>41455</v>
      </c>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row>
    <row r="33" spans="1:88" ht="14" x14ac:dyDescent="0.15">
      <c r="A33" s="63" t="str">
        <f>'Tariff Jul 2017'!K21</f>
        <v>Dodo Power &amp; Gas</v>
      </c>
      <c r="B33" s="1" t="str">
        <f>'Tariff Jul 2017'!L21</f>
        <v>Market offer</v>
      </c>
      <c r="C33" s="102">
        <f>91*'Tariff Jul 2017'!M21/100</f>
        <v>73.664500000000004</v>
      </c>
      <c r="D33" s="102">
        <f>IF($H$5&gt;='Tariff Jul 2017'!P21,('Tariff Jul 2017'!P21*'Tariff Jul 2017'!N21/100),(($H$5)*'Tariff Jul 2017'!N21/100))</f>
        <v>304.58241599999997</v>
      </c>
      <c r="E33" s="102">
        <v>0</v>
      </c>
      <c r="F33" s="102">
        <v>0</v>
      </c>
      <c r="G33" s="102">
        <f>IF(($H$5&lt;'Tariff Jul 2017'!T21),(0),($H$5-'Tariff Jul 2017'!T21)*'Tariff Jul 2017'!U21/100)</f>
        <v>0</v>
      </c>
      <c r="H33" s="102">
        <f>($I$5)*'Tariff Jul 2017'!AE21/100</f>
        <v>41.866691999999993</v>
      </c>
      <c r="I33" s="102">
        <v>0</v>
      </c>
      <c r="J33" s="102">
        <f t="shared" si="9"/>
        <v>420.11360799999994</v>
      </c>
      <c r="K33" s="298">
        <f t="shared" si="16"/>
        <v>1385.7964319999996</v>
      </c>
      <c r="L33" s="86">
        <f t="shared" si="10"/>
        <v>1680.4544319999998</v>
      </c>
      <c r="M33" s="86">
        <f t="shared" si="11"/>
        <v>1848.4998751999999</v>
      </c>
      <c r="N33" s="1">
        <f>'Tariff Jul 2017'!AW21</f>
        <v>0</v>
      </c>
      <c r="O33" s="1">
        <f>'Tariff Jul 2017'!AX21</f>
        <v>0</v>
      </c>
      <c r="P33" s="1">
        <f>'Tariff Jul 2017'!AY21</f>
        <v>0</v>
      </c>
      <c r="Q33" s="1">
        <f>'Tariff Jul 2017'!AZ21</f>
        <v>0</v>
      </c>
      <c r="R33" s="87">
        <f>($F$6*'Tariff Jul 2017'!AT21/100)*4</f>
        <v>302.84351999999996</v>
      </c>
      <c r="S33" s="298">
        <f t="shared" si="12"/>
        <v>1680.4544319999998</v>
      </c>
      <c r="T33" s="298">
        <f>S33-(K33*Q33/100)</f>
        <v>1680.4544319999998</v>
      </c>
      <c r="U33" s="298">
        <f t="shared" si="13"/>
        <v>1377.6109119999999</v>
      </c>
      <c r="V33" s="298">
        <f t="shared" si="14"/>
        <v>1377.6109119999999</v>
      </c>
      <c r="W33" s="300">
        <f t="shared" si="15"/>
        <v>1515.3720031999999</v>
      </c>
      <c r="X33" s="300">
        <f t="shared" si="15"/>
        <v>1515.3720031999999</v>
      </c>
      <c r="Y33" s="88">
        <f>'Tariff Jul 2017'!AT20</f>
        <v>12</v>
      </c>
      <c r="Z33" s="89">
        <f>'Tariff Jul 2017'!BG21</f>
        <v>0</v>
      </c>
      <c r="AA33" s="89" t="str">
        <f>'Tariff Jul 2017'!BH21</f>
        <v>n</v>
      </c>
      <c r="AB33" s="90">
        <f>'Tariff Jul 2017'!G21</f>
        <v>41495</v>
      </c>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row>
    <row r="34" spans="1:88" ht="14" x14ac:dyDescent="0.15">
      <c r="A34" s="63" t="str">
        <f>'Tariff Jul 2017'!K22</f>
        <v>EnergyAustralia</v>
      </c>
      <c r="B34" s="1" t="str">
        <f>'Tariff Jul 2017'!L22</f>
        <v xml:space="preserve">Flexi Saver </v>
      </c>
      <c r="C34" s="102">
        <f>91*'Tariff Jul 2017'!M22/100</f>
        <v>81.536000000000001</v>
      </c>
      <c r="D34" s="102">
        <f>IF($H$5&gt;='Tariff Jul 2017'!P22,('Tariff Jul 2017'!P22*'Tariff Jul 2017'!N22/100),(($H$5)*'Tariff Jul 2017'!N22/100))</f>
        <v>301.86866879999997</v>
      </c>
      <c r="E34" s="102">
        <v>0</v>
      </c>
      <c r="F34" s="102">
        <v>0</v>
      </c>
      <c r="G34" s="102">
        <f>IF(($H$5&lt;'Tariff Jul 2017'!T22),(0),($H$5-'Tariff Jul 2017'!T22)*'Tariff Jul 2017'!U22/100)</f>
        <v>0</v>
      </c>
      <c r="H34" s="102">
        <f>($I$5)*'Tariff Jul 2017'!AE22/100</f>
        <v>30.190437599999996</v>
      </c>
      <c r="I34" s="102">
        <v>0</v>
      </c>
      <c r="J34" s="102">
        <f t="shared" si="9"/>
        <v>413.59510639999996</v>
      </c>
      <c r="K34" s="298">
        <f t="shared" si="16"/>
        <v>1328.2364255999998</v>
      </c>
      <c r="L34" s="86">
        <f t="shared" si="10"/>
        <v>1654.3804255999999</v>
      </c>
      <c r="M34" s="86">
        <f t="shared" si="11"/>
        <v>1819.8184681600001</v>
      </c>
      <c r="N34" s="1">
        <f>'Tariff Jul 2017'!AW22</f>
        <v>0</v>
      </c>
      <c r="O34" s="1">
        <f>'Tariff Jul 2017'!AX22</f>
        <v>0</v>
      </c>
      <c r="P34" s="1">
        <f>'Tariff Jul 2017'!AY22</f>
        <v>0</v>
      </c>
      <c r="Q34" s="1">
        <f>'Tariff Jul 2017'!AZ22</f>
        <v>18</v>
      </c>
      <c r="R34" s="87">
        <f>($F$6*'Tariff Jul 2017'!AT22/100)*4</f>
        <v>391.60799999999995</v>
      </c>
      <c r="S34" s="298">
        <f t="shared" si="12"/>
        <v>1654.3804255999999</v>
      </c>
      <c r="T34" s="298">
        <f>S34-(K34*Q34/100)</f>
        <v>1415.2978689919998</v>
      </c>
      <c r="U34" s="298">
        <f t="shared" si="13"/>
        <v>1262.7724255999999</v>
      </c>
      <c r="V34" s="298">
        <f t="shared" si="14"/>
        <v>1023.6898689919999</v>
      </c>
      <c r="W34" s="300">
        <f t="shared" si="15"/>
        <v>1389.04966816</v>
      </c>
      <c r="X34" s="300">
        <f t="shared" si="15"/>
        <v>1126.0588558912</v>
      </c>
      <c r="Y34" s="88">
        <f>'Tariff Jul 2017'!AT21</f>
        <v>11.6</v>
      </c>
      <c r="Z34" s="89">
        <f>'Tariff Jul 2017'!BG22</f>
        <v>0</v>
      </c>
      <c r="AA34" s="89" t="str">
        <f>'Tariff Jul 2017'!BH22</f>
        <v>n</v>
      </c>
      <c r="AB34" s="90">
        <f>'Tariff Jul 2017'!G22</f>
        <v>41467</v>
      </c>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row>
    <row r="35" spans="1:88" ht="14" x14ac:dyDescent="0.15">
      <c r="A35" s="63" t="str">
        <f>'Tariff Jul 2017'!K23</f>
        <v>Lumo Energy</v>
      </c>
      <c r="B35" s="1" t="str">
        <f>'Tariff Jul 2017'!L23</f>
        <v>Advantage</v>
      </c>
      <c r="C35" s="102">
        <f>91*'Tariff Jul 2017'!M23/100</f>
        <v>78.123499999999993</v>
      </c>
      <c r="D35" s="102">
        <f>IF($H$5&gt;='Tariff Jul 2017'!P23,('Tariff Jul 2017'!P23*'Tariff Jul 2017'!N23/100),(($H$5)*'Tariff Jul 2017'!N23/100))</f>
        <v>269.23228799999998</v>
      </c>
      <c r="E35" s="102">
        <v>0</v>
      </c>
      <c r="F35" s="102">
        <v>0</v>
      </c>
      <c r="G35" s="102">
        <f>IF(($H$5&lt;'Tariff Jul 2017'!T23),(0),($H$5-'Tariff Jul 2017'!T23)*'Tariff Jul 2017'!U23/100)</f>
        <v>0</v>
      </c>
      <c r="H35" s="102">
        <f>($I$5)*'Tariff Jul 2017'!AE23/100</f>
        <v>34.635983999999993</v>
      </c>
      <c r="I35" s="102">
        <v>0</v>
      </c>
      <c r="J35" s="102">
        <f t="shared" si="9"/>
        <v>381.99177199999997</v>
      </c>
      <c r="K35" s="298">
        <f t="shared" si="16"/>
        <v>1215.473088</v>
      </c>
      <c r="L35" s="86">
        <f t="shared" si="10"/>
        <v>1527.9670879999999</v>
      </c>
      <c r="M35" s="86">
        <f t="shared" si="11"/>
        <v>1680.7637967999999</v>
      </c>
      <c r="N35" s="1">
        <f>'Tariff Jul 2017'!AW23</f>
        <v>0</v>
      </c>
      <c r="O35" s="1">
        <f>'Tariff Jul 2017'!AX23</f>
        <v>0</v>
      </c>
      <c r="P35" s="1">
        <f>'Tariff Jul 2017'!AY23</f>
        <v>10</v>
      </c>
      <c r="Q35" s="1">
        <f>'Tariff Jul 2017'!AZ23</f>
        <v>0</v>
      </c>
      <c r="R35" s="87">
        <f>($F$6*'Tariff Jul 2017'!AT23/100)*4</f>
        <v>417.71519999999998</v>
      </c>
      <c r="S35" s="298">
        <f t="shared" si="12"/>
        <v>1527.9670879999999</v>
      </c>
      <c r="T35" s="298">
        <f>S35-(S35*P35/100)</f>
        <v>1375.1703791999998</v>
      </c>
      <c r="U35" s="298">
        <f t="shared" si="13"/>
        <v>1110.2518879999998</v>
      </c>
      <c r="V35" s="298">
        <f t="shared" si="14"/>
        <v>957.45517919999986</v>
      </c>
      <c r="W35" s="300">
        <f t="shared" si="15"/>
        <v>1221.2770767999998</v>
      </c>
      <c r="X35" s="300">
        <f t="shared" si="15"/>
        <v>1053.2006971199999</v>
      </c>
      <c r="Y35" s="88">
        <f>'Tariff Jul 2017'!AT22</f>
        <v>15</v>
      </c>
      <c r="Z35" s="89">
        <f>'Tariff Jul 2017'!BG23</f>
        <v>0</v>
      </c>
      <c r="AA35" s="89" t="str">
        <f>'Tariff Jul 2017'!BH23</f>
        <v>n</v>
      </c>
      <c r="AB35" s="90">
        <f>'Tariff Jul 2017'!G23</f>
        <v>41468</v>
      </c>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row>
    <row r="36" spans="1:88" ht="14" x14ac:dyDescent="0.15">
      <c r="A36" s="63" t="str">
        <f>'Tariff Jul 2017'!K24</f>
        <v>Momentum Energy</v>
      </c>
      <c r="B36" s="1" t="str">
        <f>'Tariff Jul 2017'!L24</f>
        <v>SmilePower</v>
      </c>
      <c r="C36" s="102">
        <f>91*'Tariff Jul 2017'!M24/100</f>
        <v>75.156900000000007</v>
      </c>
      <c r="D36" s="102">
        <f>IF($H$5&gt;='Tariff Jul 2017'!P24,('Tariff Jul 2017'!P24*'Tariff Jul 2017'!N24/100),(($H$5)*'Tariff Jul 2017'!N24/100))</f>
        <v>240.24</v>
      </c>
      <c r="E36" s="102">
        <v>0</v>
      </c>
      <c r="F36" s="102">
        <v>0</v>
      </c>
      <c r="G36" s="102">
        <f>IF(($H$5&lt;'Tariff Jul 2017'!T24),(0),($H$5-'Tariff Jul 2017'!T24)*'Tariff Jul 2017'!U24/100)</f>
        <v>44.790105599999961</v>
      </c>
      <c r="H36" s="102">
        <f>($I$5)*'Tariff Jul 2017'!AE24/100</f>
        <v>38.492361599999988</v>
      </c>
      <c r="I36" s="102">
        <v>0</v>
      </c>
      <c r="J36" s="102">
        <f t="shared" si="9"/>
        <v>398.67936719999994</v>
      </c>
      <c r="K36" s="298">
        <f t="shared" si="16"/>
        <v>1294.0898687999997</v>
      </c>
      <c r="L36" s="86">
        <f t="shared" si="10"/>
        <v>1594.7174687999998</v>
      </c>
      <c r="M36" s="86">
        <f t="shared" si="11"/>
        <v>1754.18921568</v>
      </c>
      <c r="N36" s="1">
        <f>'Tariff Jul 2017'!AW24</f>
        <v>0</v>
      </c>
      <c r="O36" s="1">
        <f>'Tariff Jul 2017'!AX24</f>
        <v>0</v>
      </c>
      <c r="P36" s="1">
        <f>'Tariff Jul 2017'!AY24</f>
        <v>0</v>
      </c>
      <c r="Q36" s="1">
        <f>'Tariff Jul 2017'!AZ24</f>
        <v>0</v>
      </c>
      <c r="R36" s="87">
        <f>($F$6*'Tariff Jul 2017'!AT24/100)*4</f>
        <v>177.52895999999998</v>
      </c>
      <c r="S36" s="298">
        <f t="shared" si="12"/>
        <v>1594.7174687999998</v>
      </c>
      <c r="T36" s="298">
        <f>S36</f>
        <v>1594.7174687999998</v>
      </c>
      <c r="U36" s="298">
        <f t="shared" si="13"/>
        <v>1417.1885087999999</v>
      </c>
      <c r="V36" s="298">
        <f t="shared" si="14"/>
        <v>1417.1885087999999</v>
      </c>
      <c r="W36" s="300">
        <f t="shared" si="15"/>
        <v>1558.9073596800001</v>
      </c>
      <c r="X36" s="300">
        <f t="shared" si="15"/>
        <v>1558.9073596800001</v>
      </c>
      <c r="Y36" s="88">
        <f>'Tariff Jul 2017'!AT23</f>
        <v>16</v>
      </c>
      <c r="Z36" s="89">
        <f>'Tariff Jul 2017'!BG24</f>
        <v>12</v>
      </c>
      <c r="AA36" s="89" t="str">
        <f>'Tariff Jul 2017'!BH24</f>
        <v>y</v>
      </c>
      <c r="AB36" s="90">
        <f>'Tariff Jul 2017'!G24</f>
        <v>41469</v>
      </c>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row>
    <row r="37" spans="1:88" ht="14" x14ac:dyDescent="0.15">
      <c r="A37" s="63" t="str">
        <f>'Tariff Jul 2017'!K25</f>
        <v>Origin Energy</v>
      </c>
      <c r="B37" s="1" t="str">
        <f>'Tariff Jul 2017'!L25</f>
        <v>Solar Boost Plus</v>
      </c>
      <c r="C37" s="102">
        <f>91*'Tariff Jul 2017'!M25/100</f>
        <v>75.484499999999997</v>
      </c>
      <c r="D37" s="102">
        <f>IF($H$5&gt;='Tariff Jul 2017'!P25,('Tariff Jul 2017'!P25*'Tariff Jul 2017'!N25/100),(($H$5)*'Tariff Jul 2017'!N25/100))</f>
        <v>262.44791999999995</v>
      </c>
      <c r="E37" s="102">
        <v>0</v>
      </c>
      <c r="F37" s="102">
        <v>0</v>
      </c>
      <c r="G37" s="102">
        <f>IF(($H$5&lt;'Tariff Jul 2017'!T25),(0),($H$5-'Tariff Jul 2017'!T25)*'Tariff Jul 2017'!U25/100)</f>
        <v>0</v>
      </c>
      <c r="H37" s="102">
        <f>($I$5)*'Tariff Jul 2017'!AE25/100</f>
        <v>34.368179999999995</v>
      </c>
      <c r="I37" s="102">
        <v>0</v>
      </c>
      <c r="J37" s="102">
        <f t="shared" si="9"/>
        <v>372.30059999999997</v>
      </c>
      <c r="K37" s="298">
        <f t="shared" si="16"/>
        <v>1187.2644</v>
      </c>
      <c r="L37" s="86">
        <f t="shared" si="10"/>
        <v>1489.2023999999999</v>
      </c>
      <c r="M37" s="86">
        <f t="shared" si="11"/>
        <v>1638.12264</v>
      </c>
      <c r="N37" s="1">
        <f>'Tariff Jul 2017'!AW25</f>
        <v>0</v>
      </c>
      <c r="O37" s="1">
        <f>'Tariff Jul 2017'!AX25</f>
        <v>12</v>
      </c>
      <c r="P37" s="1">
        <f>'Tariff Jul 2017'!AY25</f>
        <v>0</v>
      </c>
      <c r="Q37" s="1">
        <f>'Tariff Jul 2017'!AZ25</f>
        <v>0</v>
      </c>
      <c r="R37" s="87">
        <f>($F$6*'Tariff Jul 2017'!AT25/100)*4</f>
        <v>522.14399999999989</v>
      </c>
      <c r="S37" s="298">
        <f>L37-(K37*O37/100)</f>
        <v>1346.7306719999999</v>
      </c>
      <c r="T37" s="298">
        <f>S37</f>
        <v>1346.7306719999999</v>
      </c>
      <c r="U37" s="298">
        <f t="shared" si="13"/>
        <v>824.58667200000002</v>
      </c>
      <c r="V37" s="298">
        <f t="shared" si="14"/>
        <v>824.58667200000002</v>
      </c>
      <c r="W37" s="300">
        <f t="shared" si="15"/>
        <v>907.04533920000006</v>
      </c>
      <c r="X37" s="300">
        <f t="shared" si="15"/>
        <v>907.04533920000006</v>
      </c>
      <c r="Y37" s="88">
        <f>'Tariff Jul 2017'!AT24</f>
        <v>6.8</v>
      </c>
      <c r="Z37" s="89">
        <f>'Tariff Jul 2017'!BG25</f>
        <v>0</v>
      </c>
      <c r="AA37" s="89" t="str">
        <f>'Tariff Jul 2017'!BH25</f>
        <v>n</v>
      </c>
      <c r="AB37" s="90">
        <f>'Tariff Jul 2017'!G25</f>
        <v>41455</v>
      </c>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row>
    <row r="38" spans="1:88" ht="14" x14ac:dyDescent="0.15">
      <c r="A38" s="63" t="str">
        <f>'Tariff Jul 2017'!K26</f>
        <v>Powerdirect</v>
      </c>
      <c r="B38" s="1" t="str">
        <f>'Tariff Jul 2017'!L26</f>
        <v>Market offer</v>
      </c>
      <c r="C38" s="102">
        <f>91*'Tariff Jul 2017'!M26/100</f>
        <v>75.53</v>
      </c>
      <c r="D38" s="102">
        <f>$H$5*'Tariff Jul 2017'!N26/100</f>
        <v>271.37471999999997</v>
      </c>
      <c r="E38" s="102">
        <v>0</v>
      </c>
      <c r="F38" s="102">
        <v>0</v>
      </c>
      <c r="G38" s="102">
        <v>0</v>
      </c>
      <c r="H38" s="102">
        <f>($I$5)*'Tariff Jul 2017'!AE26/100</f>
        <v>49.990079999999992</v>
      </c>
      <c r="I38" s="102">
        <v>0</v>
      </c>
      <c r="J38" s="102">
        <f t="shared" si="9"/>
        <v>396.89479999999998</v>
      </c>
      <c r="K38" s="298">
        <f t="shared" si="16"/>
        <v>1285.4591999999998</v>
      </c>
      <c r="L38" s="86">
        <f t="shared" si="10"/>
        <v>1587.5791999999999</v>
      </c>
      <c r="M38" s="86">
        <f t="shared" si="11"/>
        <v>1746.3371200000001</v>
      </c>
      <c r="N38" s="1">
        <f>'Tariff Jul 2017'!AW26</f>
        <v>0</v>
      </c>
      <c r="O38" s="1">
        <f>'Tariff Jul 2017'!AX26</f>
        <v>0</v>
      </c>
      <c r="P38" s="1">
        <f>'Tariff Jul 2017'!AY26</f>
        <v>0</v>
      </c>
      <c r="Q38" s="1">
        <f>'Tariff Jul 2017'!AZ26</f>
        <v>14</v>
      </c>
      <c r="R38" s="87">
        <f>($F$6*'Tariff Jul 2017'!AT26/100)*4</f>
        <v>425.54735999999997</v>
      </c>
      <c r="S38" s="298">
        <f t="shared" ref="S38:S41" si="17">L38</f>
        <v>1587.5791999999999</v>
      </c>
      <c r="T38" s="298">
        <f>S38-(K38*Q38/100)</f>
        <v>1407.614912</v>
      </c>
      <c r="U38" s="298">
        <f t="shared" si="13"/>
        <v>1162.0318399999999</v>
      </c>
      <c r="V38" s="298">
        <f t="shared" si="14"/>
        <v>982.06755199999998</v>
      </c>
      <c r="W38" s="300">
        <f t="shared" si="15"/>
        <v>1278.2350240000001</v>
      </c>
      <c r="X38" s="300">
        <f t="shared" si="15"/>
        <v>1080.2743072000001</v>
      </c>
      <c r="Y38" s="88">
        <f>'Tariff Jul 2017'!AT25</f>
        <v>20</v>
      </c>
      <c r="Z38" s="89">
        <f>'Tariff Jul 2017'!BG26</f>
        <v>24</v>
      </c>
      <c r="AA38" s="89" t="str">
        <f>'Tariff Jul 2017'!BH26</f>
        <v>n</v>
      </c>
      <c r="AB38" s="90">
        <f>'Tariff Jul 2017'!G26</f>
        <v>41455</v>
      </c>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row>
    <row r="39" spans="1:88" ht="14" x14ac:dyDescent="0.15">
      <c r="A39" s="63" t="str">
        <f>'Tariff Jul 2017'!K27</f>
        <v>Sanctuary Energy</v>
      </c>
      <c r="B39" s="1" t="str">
        <f>'Tariff Jul 2017'!L27</f>
        <v>Negotiated contract</v>
      </c>
      <c r="C39" s="102">
        <f>91*'Tariff Jul 2017'!M27/100</f>
        <v>68.692260000000005</v>
      </c>
      <c r="D39" s="102">
        <f>IF($H$5&gt;='Tariff Jul 2017'!P27,('Tariff Jul 2017'!P27*'Tariff Jul 2017'!N27/100),(($H$5)*'Tariff Jul 2017'!N27/100))</f>
        <v>100.49849999999998</v>
      </c>
      <c r="E39" s="102">
        <f>IF($H$5&lt;'Tariff Jul 2017'!P27,0,IF(($H$5-'Tariff Jul 2017'!P27)&lt;='Tariff Jul 2017'!R27,(($H$5-'Tariff Jul 2017'!P27)*'Tariff Jul 2017'!Q27/100),(('Tariff Jul 2017'!R27-'Tariff Jul 2017'!P27)*'Tariff Jul 2017'!Q27/100)))</f>
        <v>141.35563007999997</v>
      </c>
      <c r="F39" s="102">
        <f>IF($H$5&lt;'Tariff Jul 2017'!R27,0,IF(($H$5-'Tariff Jul 2017'!R27)&lt;='Tariff Jul 2017'!T27,(($H$5-'Tariff Jul 2017'!R27)*'Tariff Jul 2017'!S27/100),(('Tariff Jul 2017'!T27-'Tariff Jul 2017'!R27)*'Tariff Jul 2017'!S27/100)))</f>
        <v>0</v>
      </c>
      <c r="G39" s="102">
        <f>IF(($H$5&lt;'Tariff Jul 2017'!T27),(0),($H$5-'Tariff Jul 2017'!T27)*'Tariff Jul 2017'!U27/100)</f>
        <v>0</v>
      </c>
      <c r="H39" s="102">
        <f>IF($I$5&gt;='Tariff Jul 2017'!AF27,('Tariff Jul 2017'!AF27*'Tariff Jul 2017'!AE27/100),($I$5*'Tariff Jul 2017'!AE27/100))</f>
        <v>28.929080759999991</v>
      </c>
      <c r="I39" s="102">
        <f>IF(($I$5&lt;'Tariff Jul 2017'!AF27),(0),($I$5-'Tariff Jul 2017'!AF27)*'Tariff Jul 2017'!AG27/100)</f>
        <v>0</v>
      </c>
      <c r="J39" s="102">
        <f t="shared" si="9"/>
        <v>339.4754708399999</v>
      </c>
      <c r="K39" s="298">
        <f t="shared" si="16"/>
        <v>1083.1328433599997</v>
      </c>
      <c r="L39" s="86">
        <f t="shared" si="10"/>
        <v>1357.9018833599996</v>
      </c>
      <c r="M39" s="86">
        <f t="shared" si="11"/>
        <v>1493.6920716959996</v>
      </c>
      <c r="N39" s="1">
        <f>'Tariff Jul 2017'!AW27</f>
        <v>0</v>
      </c>
      <c r="O39" s="1">
        <f>'Tariff Jul 2017'!AX27</f>
        <v>0</v>
      </c>
      <c r="P39" s="1">
        <f>'Tariff Jul 2017'!AY27</f>
        <v>0</v>
      </c>
      <c r="Q39" s="1">
        <f>'Tariff Jul 2017'!AZ27</f>
        <v>0</v>
      </c>
      <c r="R39" s="87">
        <f>($F$6*'Tariff Jul 2017'!AT27/100)*4</f>
        <v>177.52895999999998</v>
      </c>
      <c r="S39" s="298">
        <f t="shared" si="17"/>
        <v>1357.9018833599996</v>
      </c>
      <c r="T39" s="298">
        <f>S39</f>
        <v>1357.9018833599996</v>
      </c>
      <c r="U39" s="298">
        <f t="shared" si="13"/>
        <v>1180.3729233599997</v>
      </c>
      <c r="V39" s="298">
        <f t="shared" si="14"/>
        <v>1180.3729233599997</v>
      </c>
      <c r="W39" s="300">
        <f t="shared" si="15"/>
        <v>1298.4102156959998</v>
      </c>
      <c r="X39" s="300">
        <f t="shared" si="15"/>
        <v>1298.4102156959998</v>
      </c>
      <c r="Y39" s="88">
        <f>'Tariff Jul 2017'!AT26</f>
        <v>16.3</v>
      </c>
      <c r="Z39" s="89">
        <f>'Tariff Jul 2017'!BG27</f>
        <v>36</v>
      </c>
      <c r="AA39" s="89" t="str">
        <f>'Tariff Jul 2017'!BH27</f>
        <v>n</v>
      </c>
      <c r="AB39" s="90">
        <f>'Tariff Jul 2017'!G27</f>
        <v>41455</v>
      </c>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row>
    <row r="40" spans="1:88" ht="14" x14ac:dyDescent="0.15">
      <c r="A40" s="63" t="str">
        <f>'Tariff Jul 2017'!K28</f>
        <v>Simply Energy</v>
      </c>
      <c r="B40" s="1" t="str">
        <f>'Tariff Jul 2017'!L28</f>
        <v>Plus</v>
      </c>
      <c r="C40" s="102">
        <f>91*'Tariff Jul 2017'!M28/100</f>
        <v>57.921499999999995</v>
      </c>
      <c r="D40" s="102">
        <f>IF($H$5&gt;='Tariff Jul 2017'!P28,('Tariff Jul 2017'!P28*'Tariff Jul 2017'!N28/100),(($H$5)*'Tariff Jul 2017'!N28/100))</f>
        <v>231.66831359999998</v>
      </c>
      <c r="E40" s="102">
        <v>0</v>
      </c>
      <c r="F40" s="102">
        <v>0</v>
      </c>
      <c r="G40" s="102">
        <f>IF(($H$5&lt;'Tariff Jul 2017'!T28),(0),($H$5-'Tariff Jul 2017'!T28)*'Tariff Jul 2017'!U28/100)</f>
        <v>0</v>
      </c>
      <c r="H40" s="102">
        <f>($I$5)*'Tariff Jul 2017'!AE28/100</f>
        <v>36.992659199999991</v>
      </c>
      <c r="I40" s="102">
        <v>0</v>
      </c>
      <c r="J40" s="102">
        <f t="shared" si="9"/>
        <v>326.58247279999995</v>
      </c>
      <c r="K40" s="298">
        <f t="shared" si="16"/>
        <v>1074.6438911999999</v>
      </c>
      <c r="L40" s="86">
        <f t="shared" si="10"/>
        <v>1306.3298911999998</v>
      </c>
      <c r="M40" s="86">
        <f t="shared" si="11"/>
        <v>1436.9628803199998</v>
      </c>
      <c r="N40" s="1">
        <f>'Tariff Jul 2017'!AW28</f>
        <v>0</v>
      </c>
      <c r="O40" s="1">
        <f>'Tariff Jul 2017'!AX28</f>
        <v>0</v>
      </c>
      <c r="P40" s="1">
        <f>'Tariff Jul 2017'!AY28</f>
        <v>0</v>
      </c>
      <c r="Q40" s="1">
        <f>'Tariff Jul 2017'!AZ28</f>
        <v>15</v>
      </c>
      <c r="R40" s="87">
        <f>($F$6*'Tariff Jul 2017'!AT28/100)*4</f>
        <v>177.52895999999998</v>
      </c>
      <c r="S40" s="298">
        <f t="shared" si="17"/>
        <v>1306.3298911999998</v>
      </c>
      <c r="T40" s="298">
        <f>S40-(K40*Q40/100)</f>
        <v>1145.1333075199998</v>
      </c>
      <c r="U40" s="298">
        <f t="shared" si="13"/>
        <v>1128.8009311999999</v>
      </c>
      <c r="V40" s="298">
        <f t="shared" si="14"/>
        <v>967.60434751999981</v>
      </c>
      <c r="W40" s="300">
        <f t="shared" si="15"/>
        <v>1241.68102432</v>
      </c>
      <c r="X40" s="300">
        <f t="shared" si="15"/>
        <v>1064.364782272</v>
      </c>
      <c r="Y40" s="88">
        <f>'Tariff Jul 2017'!AT27</f>
        <v>6.8</v>
      </c>
      <c r="Z40" s="89">
        <f>'Tariff Jul 2017'!BG28</f>
        <v>24</v>
      </c>
      <c r="AA40" s="89" t="str">
        <f>'Tariff Jul 2017'!BH28</f>
        <v>y</v>
      </c>
      <c r="AB40" s="90">
        <f>'Tariff Jul 2017'!G28</f>
        <v>41459</v>
      </c>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row>
    <row r="41" spans="1:88" ht="15" thickBot="1" x14ac:dyDescent="0.2">
      <c r="A41" s="91" t="str">
        <f>'Tariff Jul 2017'!K29</f>
        <v>Red Energy</v>
      </c>
      <c r="B41" s="92" t="str">
        <f>'Tariff Jul 2017'!L29</f>
        <v>No exit fee saver</v>
      </c>
      <c r="C41" s="103">
        <f>91*'Tariff Jul 2017'!M29/100</f>
        <v>78.123499999999993</v>
      </c>
      <c r="D41" s="103">
        <f>IF($H$5&gt;='Tariff Jul 2017'!P29,('Tariff Jul 2017'!P29*'Tariff Jul 2017'!N29/100),(($H$5)*'Tariff Jul 2017'!N29/100))</f>
        <v>269.23228799999998</v>
      </c>
      <c r="E41" s="103">
        <v>0</v>
      </c>
      <c r="F41" s="103">
        <v>0</v>
      </c>
      <c r="G41" s="103">
        <f>IF(($H$5&lt;'Tariff Jul 2017'!T29),(0),($H$5-'Tariff Jul 2017'!T29)*'Tariff Jul 2017'!U29/100)</f>
        <v>0</v>
      </c>
      <c r="H41" s="103">
        <f>($I$5)*'Tariff Jul 2017'!AE29/100</f>
        <v>34.635983999999993</v>
      </c>
      <c r="I41" s="103">
        <v>0</v>
      </c>
      <c r="J41" s="103">
        <f t="shared" si="9"/>
        <v>381.99177199999997</v>
      </c>
      <c r="K41" s="299">
        <f t="shared" si="16"/>
        <v>1215.473088</v>
      </c>
      <c r="L41" s="95">
        <f t="shared" si="10"/>
        <v>1527.9670879999999</v>
      </c>
      <c r="M41" s="95">
        <f t="shared" si="11"/>
        <v>1680.7637967999999</v>
      </c>
      <c r="N41" s="92">
        <f>'Tariff Jul 2017'!AW29</f>
        <v>0</v>
      </c>
      <c r="O41" s="92">
        <f>'Tariff Jul 2017'!AX29</f>
        <v>0</v>
      </c>
      <c r="P41" s="92">
        <f>'Tariff Jul 2017'!AY29</f>
        <v>10</v>
      </c>
      <c r="Q41" s="92">
        <f>'Tariff Jul 2017'!AZ29</f>
        <v>0</v>
      </c>
      <c r="R41" s="96">
        <f>($F$6*'Tariff Jul 2017'!AT29/100)*4</f>
        <v>417.71519999999998</v>
      </c>
      <c r="S41" s="299">
        <f t="shared" si="17"/>
        <v>1527.9670879999999</v>
      </c>
      <c r="T41" s="299">
        <f>S41-(L41*P41/100)</f>
        <v>1375.1703791999998</v>
      </c>
      <c r="U41" s="299">
        <f t="shared" si="13"/>
        <v>1110.2518879999998</v>
      </c>
      <c r="V41" s="299">
        <f t="shared" si="14"/>
        <v>957.45517919999986</v>
      </c>
      <c r="W41" s="301">
        <f t="shared" si="15"/>
        <v>1221.2770767999998</v>
      </c>
      <c r="X41" s="301">
        <f t="shared" si="15"/>
        <v>1053.2006971199999</v>
      </c>
      <c r="Y41" s="97">
        <f>'Tariff Jul 2017'!AT28</f>
        <v>6.8</v>
      </c>
      <c r="Z41" s="98">
        <f>'Tariff Jul 2017'!BG29</f>
        <v>0</v>
      </c>
      <c r="AA41" s="98" t="str">
        <f>'Tariff Jul 2017'!BH29</f>
        <v>n</v>
      </c>
      <c r="AB41" s="99">
        <f>'Tariff Jul 2017'!G29</f>
        <v>41479</v>
      </c>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row>
    <row r="42" spans="1:88" s="110" customFormat="1" x14ac:dyDescent="0.15"/>
    <row r="43" spans="1:88" s="110" customFormat="1" x14ac:dyDescent="0.15"/>
    <row r="44" spans="1:88" s="110" customFormat="1" x14ac:dyDescent="0.15"/>
    <row r="45" spans="1:88" s="110" customFormat="1" x14ac:dyDescent="0.15"/>
    <row r="46" spans="1:88" s="110" customFormat="1" x14ac:dyDescent="0.15"/>
    <row r="47" spans="1:88" s="110" customFormat="1" x14ac:dyDescent="0.15"/>
    <row r="48" spans="1:88" s="110" customFormat="1" x14ac:dyDescent="0.15"/>
    <row r="49" s="110" customFormat="1" x14ac:dyDescent="0.15"/>
    <row r="50" s="110" customFormat="1" x14ac:dyDescent="0.15"/>
    <row r="51" s="110" customFormat="1" x14ac:dyDescent="0.15"/>
    <row r="52" s="110" customFormat="1" x14ac:dyDescent="0.15"/>
    <row r="53" s="110" customFormat="1" x14ac:dyDescent="0.15"/>
    <row r="54" s="110" customFormat="1" x14ac:dyDescent="0.15"/>
    <row r="55" s="110" customFormat="1" x14ac:dyDescent="0.15"/>
    <row r="56" s="110" customFormat="1" x14ac:dyDescent="0.15"/>
    <row r="57" s="110" customFormat="1" x14ac:dyDescent="0.15"/>
    <row r="58" s="110" customFormat="1" x14ac:dyDescent="0.15"/>
    <row r="59" s="110" customFormat="1" x14ac:dyDescent="0.15"/>
    <row r="60" s="110" customFormat="1" x14ac:dyDescent="0.15"/>
    <row r="61" s="110" customFormat="1" x14ac:dyDescent="0.15"/>
    <row r="62" s="110" customFormat="1" x14ac:dyDescent="0.15"/>
    <row r="63" s="110" customFormat="1" x14ac:dyDescent="0.15"/>
    <row r="64" s="110" customFormat="1" x14ac:dyDescent="0.15"/>
    <row r="65" s="110" customFormat="1" x14ac:dyDescent="0.15"/>
    <row r="66" s="110" customFormat="1" x14ac:dyDescent="0.15"/>
    <row r="67" s="110" customFormat="1" x14ac:dyDescent="0.15"/>
    <row r="68" s="110" customFormat="1" x14ac:dyDescent="0.15"/>
    <row r="69" s="110" customFormat="1" x14ac:dyDescent="0.15"/>
    <row r="70" s="110" customFormat="1" x14ac:dyDescent="0.15"/>
    <row r="71" s="110" customFormat="1" x14ac:dyDescent="0.15"/>
    <row r="72" s="110" customFormat="1" x14ac:dyDescent="0.15"/>
    <row r="73" s="110" customFormat="1" x14ac:dyDescent="0.15"/>
    <row r="74" s="110" customFormat="1" x14ac:dyDescent="0.15"/>
    <row r="75" s="110" customFormat="1" x14ac:dyDescent="0.15"/>
    <row r="76" s="110" customFormat="1" x14ac:dyDescent="0.15"/>
    <row r="77" s="110" customFormat="1" x14ac:dyDescent="0.15"/>
    <row r="78" s="110" customFormat="1" x14ac:dyDescent="0.15"/>
    <row r="79" s="110" customFormat="1" x14ac:dyDescent="0.15"/>
    <row r="80" s="110" customFormat="1" x14ac:dyDescent="0.15"/>
    <row r="81" s="110" customFormat="1" x14ac:dyDescent="0.15"/>
    <row r="82" s="110" customFormat="1" x14ac:dyDescent="0.15"/>
    <row r="83" s="110" customFormat="1" x14ac:dyDescent="0.15"/>
    <row r="84" s="110" customFormat="1" x14ac:dyDescent="0.15"/>
    <row r="85" s="110" customFormat="1" x14ac:dyDescent="0.15"/>
    <row r="86" s="110" customFormat="1" x14ac:dyDescent="0.15"/>
    <row r="87" s="110" customFormat="1" x14ac:dyDescent="0.15"/>
    <row r="88" s="110" customFormat="1" x14ac:dyDescent="0.15"/>
    <row r="89" s="110" customFormat="1" x14ac:dyDescent="0.15"/>
    <row r="90" s="110" customFormat="1" x14ac:dyDescent="0.15"/>
    <row r="91" s="110" customFormat="1" x14ac:dyDescent="0.15"/>
    <row r="92" s="110" customFormat="1" x14ac:dyDescent="0.15"/>
    <row r="93" s="110" customFormat="1" x14ac:dyDescent="0.15"/>
    <row r="94" s="110" customFormat="1" x14ac:dyDescent="0.15"/>
    <row r="95" s="110" customFormat="1" x14ac:dyDescent="0.15"/>
    <row r="96" s="110" customFormat="1" x14ac:dyDescent="0.15"/>
    <row r="97" s="110" customFormat="1" x14ac:dyDescent="0.15"/>
    <row r="98" s="110" customFormat="1" x14ac:dyDescent="0.15"/>
    <row r="99" s="110" customFormat="1" x14ac:dyDescent="0.15"/>
    <row r="100" s="110" customFormat="1" x14ac:dyDescent="0.15"/>
    <row r="101" s="110" customFormat="1" x14ac:dyDescent="0.15"/>
    <row r="102" s="110" customFormat="1" x14ac:dyDescent="0.15"/>
    <row r="103" s="110" customFormat="1" x14ac:dyDescent="0.15"/>
    <row r="104" s="110" customFormat="1" x14ac:dyDescent="0.15"/>
    <row r="105" s="110" customFormat="1" x14ac:dyDescent="0.15"/>
    <row r="106" s="110" customFormat="1" x14ac:dyDescent="0.15"/>
    <row r="107" s="110" customFormat="1" x14ac:dyDescent="0.15"/>
    <row r="108" s="110" customFormat="1" x14ac:dyDescent="0.15"/>
    <row r="109" s="110" customFormat="1" x14ac:dyDescent="0.15"/>
    <row r="110" s="110" customFormat="1" x14ac:dyDescent="0.15"/>
    <row r="111" s="110" customFormat="1" x14ac:dyDescent="0.15"/>
    <row r="112" s="110" customFormat="1" x14ac:dyDescent="0.15"/>
    <row r="113" s="110" customFormat="1" x14ac:dyDescent="0.15"/>
    <row r="114" s="110" customFormat="1" x14ac:dyDescent="0.15"/>
    <row r="115" s="110" customFormat="1" x14ac:dyDescent="0.15"/>
    <row r="116" s="110" customFormat="1" x14ac:dyDescent="0.15"/>
    <row r="117" s="110" customFormat="1" x14ac:dyDescent="0.15"/>
    <row r="118" s="110" customFormat="1" x14ac:dyDescent="0.15"/>
    <row r="119" s="110" customFormat="1" x14ac:dyDescent="0.15"/>
    <row r="120" s="110" customFormat="1" x14ac:dyDescent="0.15"/>
    <row r="121" s="110" customFormat="1" x14ac:dyDescent="0.15"/>
    <row r="122" s="110" customFormat="1" x14ac:dyDescent="0.15"/>
    <row r="123" s="110" customFormat="1" x14ac:dyDescent="0.15"/>
    <row r="124" s="110" customFormat="1" x14ac:dyDescent="0.15"/>
    <row r="125" s="110" customFormat="1" x14ac:dyDescent="0.15"/>
    <row r="126" s="110" customFormat="1" x14ac:dyDescent="0.15"/>
    <row r="127" s="110" customFormat="1" x14ac:dyDescent="0.15"/>
    <row r="128" s="110" customFormat="1" x14ac:dyDescent="0.15"/>
    <row r="129" s="110" customFormat="1" x14ac:dyDescent="0.15"/>
    <row r="130" s="110" customFormat="1" x14ac:dyDescent="0.15"/>
    <row r="131" s="110" customFormat="1" x14ac:dyDescent="0.15"/>
    <row r="132" s="110" customFormat="1" x14ac:dyDescent="0.15"/>
    <row r="133" s="110" customFormat="1" x14ac:dyDescent="0.15"/>
    <row r="134" s="110" customFormat="1" x14ac:dyDescent="0.15"/>
    <row r="135" s="110" customFormat="1" x14ac:dyDescent="0.15"/>
    <row r="136" s="110" customFormat="1" x14ac:dyDescent="0.15"/>
    <row r="137" s="110" customFormat="1" x14ac:dyDescent="0.15"/>
    <row r="138" s="110" customFormat="1" x14ac:dyDescent="0.15"/>
    <row r="139" s="110" customFormat="1" x14ac:dyDescent="0.15"/>
    <row r="140" s="110" customFormat="1" x14ac:dyDescent="0.15"/>
    <row r="141" s="110" customFormat="1" x14ac:dyDescent="0.15"/>
    <row r="142" s="110" customFormat="1" x14ac:dyDescent="0.15"/>
    <row r="143" s="110" customFormat="1" x14ac:dyDescent="0.15"/>
    <row r="144" s="110" customFormat="1" x14ac:dyDescent="0.15"/>
    <row r="145" s="110" customFormat="1" x14ac:dyDescent="0.15"/>
    <row r="146" s="110" customFormat="1" x14ac:dyDescent="0.15"/>
    <row r="147" s="110" customFormat="1" x14ac:dyDescent="0.15"/>
    <row r="148" s="110" customFormat="1" x14ac:dyDescent="0.15"/>
    <row r="149" s="110" customFormat="1" x14ac:dyDescent="0.15"/>
    <row r="150" s="110" customFormat="1" x14ac:dyDescent="0.15"/>
    <row r="151" s="110" customFormat="1" x14ac:dyDescent="0.15"/>
    <row r="152" s="110" customFormat="1" x14ac:dyDescent="0.15"/>
    <row r="153" s="110" customFormat="1" x14ac:dyDescent="0.15"/>
    <row r="154" s="110" customFormat="1" x14ac:dyDescent="0.15"/>
    <row r="155" s="110" customFormat="1" x14ac:dyDescent="0.15"/>
    <row r="156" s="110" customFormat="1" x14ac:dyDescent="0.15"/>
    <row r="157" s="110" customFormat="1" x14ac:dyDescent="0.15"/>
    <row r="158" s="110" customFormat="1" x14ac:dyDescent="0.15"/>
    <row r="159" s="110" customFormat="1" x14ac:dyDescent="0.15"/>
    <row r="160" s="110" customFormat="1" x14ac:dyDescent="0.15"/>
  </sheetData>
  <sheetProtection algorithmName="SHA-512" hashValue="db4vLVB+LfnBu4Fwu9HUrHiAWwgw2NEq2I75hz2MxtVZg0AinGEszjxaN+tBK3f890KF0wJgSC9C06cU6aYymw==" saltValue="ihxT5IhaQihxeQL1fv05vA==" spinCount="100000" sheet="1" objects="1" scenarios="1"/>
  <phoneticPr fontId="8" type="noConversion"/>
  <dataValidations count="2">
    <dataValidation type="whole" showInputMessage="1" showErrorMessage="1" errorTitle="Incorrect number" error="Please enter quarterly consumption between 700-4000kWh" sqref="C5" xr:uid="{00000000-0002-0000-0100-000000000000}">
      <formula1>700</formula1>
      <formula2>4000</formula2>
    </dataValidation>
    <dataValidation type="decimal" showInputMessage="1" showErrorMessage="1" errorTitle="Incorrect entry" error="Enter 1.5 or 3.0 only" sqref="C4" xr:uid="{00000000-0002-0000-0100-000001000000}">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EK137"/>
  <sheetViews>
    <sheetView zoomScale="90" zoomScaleNormal="90" workbookViewId="0">
      <selection activeCell="C4" sqref="C4:C5"/>
    </sheetView>
  </sheetViews>
  <sheetFormatPr baseColWidth="10" defaultRowHeight="13" x14ac:dyDescent="0.15"/>
  <cols>
    <col min="1" max="1" width="19.1640625" style="1" customWidth="1"/>
    <col min="2" max="2" width="28.83203125" style="1" customWidth="1"/>
    <col min="3" max="10" width="13.83203125" style="1" customWidth="1"/>
    <col min="11" max="12" width="13.83203125" style="1" hidden="1" customWidth="1"/>
    <col min="13" max="18" width="13.83203125" style="1" customWidth="1"/>
    <col min="19" max="22" width="13.83203125" style="1" hidden="1" customWidth="1"/>
    <col min="23" max="28" width="13.83203125" style="1" customWidth="1"/>
    <col min="29" max="135" width="10.83203125" style="110"/>
    <col min="136" max="16384" width="10.83203125" style="1"/>
  </cols>
  <sheetData>
    <row r="1" spans="1:141" s="110" customFormat="1" ht="14" x14ac:dyDescent="0.15">
      <c r="A1" s="109" t="s">
        <v>340</v>
      </c>
      <c r="B1" s="109"/>
      <c r="C1" s="109"/>
      <c r="D1" s="109"/>
      <c r="E1" s="109"/>
      <c r="F1" s="109"/>
      <c r="G1" s="109"/>
      <c r="H1" s="109"/>
      <c r="I1" s="109"/>
      <c r="J1" s="109"/>
      <c r="K1" s="109">
        <v>3</v>
      </c>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09"/>
      <c r="ED1" s="109"/>
      <c r="EE1" s="109"/>
      <c r="EF1" s="109"/>
      <c r="EG1" s="109"/>
      <c r="EH1" s="109"/>
      <c r="EI1" s="109"/>
      <c r="EJ1" s="109"/>
      <c r="EK1" s="109"/>
    </row>
    <row r="2" spans="1:141" s="110" customFormat="1" ht="14" x14ac:dyDescent="0.15">
      <c r="A2" s="111" t="s">
        <v>153</v>
      </c>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row>
    <row r="3" spans="1:141" s="110" customFormat="1" ht="14" x14ac:dyDescent="0.15">
      <c r="A3" s="111"/>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row>
    <row r="4" spans="1:141" ht="14" x14ac:dyDescent="0.15">
      <c r="A4" s="68" t="s">
        <v>341</v>
      </c>
      <c r="B4" s="69"/>
      <c r="C4" s="104">
        <v>3</v>
      </c>
      <c r="D4" s="109"/>
      <c r="E4" s="70" t="s">
        <v>366</v>
      </c>
      <c r="F4" s="71">
        <f>IF(C4&lt;K1,(703),(1406))</f>
        <v>1406</v>
      </c>
      <c r="G4" s="72"/>
      <c r="H4" s="73" t="s">
        <v>367</v>
      </c>
      <c r="I4" s="74" t="s">
        <v>368</v>
      </c>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66"/>
      <c r="EG4" s="66"/>
      <c r="EH4" s="66"/>
      <c r="EI4" s="66"/>
      <c r="EJ4" s="66"/>
      <c r="EK4" s="66"/>
    </row>
    <row r="5" spans="1:141" ht="14" x14ac:dyDescent="0.15">
      <c r="A5" s="75" t="s">
        <v>369</v>
      </c>
      <c r="B5" s="76"/>
      <c r="C5" s="105">
        <v>1500</v>
      </c>
      <c r="D5" s="109"/>
      <c r="E5" s="77" t="s">
        <v>370</v>
      </c>
      <c r="F5" s="78">
        <f>C5-(F4-F6)</f>
        <v>892.60800000000006</v>
      </c>
      <c r="G5" s="20" t="s">
        <v>371</v>
      </c>
      <c r="H5" s="79">
        <f>F5*80/100</f>
        <v>714.08640000000003</v>
      </c>
      <c r="I5" s="80">
        <f>F5*20/100</f>
        <v>178.52160000000001</v>
      </c>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66"/>
      <c r="EG5" s="66"/>
      <c r="EH5" s="66"/>
      <c r="EI5" s="66"/>
      <c r="EJ5" s="66"/>
      <c r="EK5" s="66"/>
    </row>
    <row r="6" spans="1:141" s="110" customFormat="1" ht="14" x14ac:dyDescent="0.15">
      <c r="D6" s="109"/>
      <c r="E6" s="112" t="s">
        <v>372</v>
      </c>
      <c r="F6" s="113">
        <f>IF(C4&lt;K1,(F4*30.2/100),(F4*56.8/100))</f>
        <v>798.60800000000006</v>
      </c>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row>
    <row r="7" spans="1:141" s="110" customFormat="1" ht="15" thickBot="1" x14ac:dyDescent="0.2">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row>
    <row r="8" spans="1:141" ht="14" x14ac:dyDescent="0.15">
      <c r="A8" s="82" t="s">
        <v>356</v>
      </c>
      <c r="B8" s="83"/>
      <c r="C8" s="83"/>
      <c r="D8" s="83"/>
      <c r="E8" s="83"/>
      <c r="F8" s="83"/>
      <c r="G8" s="83"/>
      <c r="H8" s="83"/>
      <c r="I8" s="83"/>
      <c r="J8" s="83"/>
      <c r="K8" s="83"/>
      <c r="L8" s="83"/>
      <c r="M8" s="83"/>
      <c r="N8" s="83"/>
      <c r="O8" s="83"/>
      <c r="P8" s="83"/>
      <c r="Q8" s="83"/>
      <c r="R8" s="83"/>
      <c r="S8" s="83"/>
      <c r="T8" s="83"/>
      <c r="U8" s="83"/>
      <c r="V8" s="83"/>
      <c r="W8" s="83"/>
      <c r="X8" s="83"/>
      <c r="Y8" s="83"/>
      <c r="Z8" s="83"/>
      <c r="AA8" s="83"/>
      <c r="AB8" s="18"/>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66"/>
      <c r="EG8" s="66"/>
      <c r="EH8" s="66"/>
      <c r="EI8" s="66"/>
      <c r="EJ8" s="66"/>
      <c r="EK8" s="66"/>
    </row>
    <row r="9" spans="1:141" ht="90" x14ac:dyDescent="0.15">
      <c r="A9" s="287" t="s">
        <v>231</v>
      </c>
      <c r="B9" s="288" t="s">
        <v>243</v>
      </c>
      <c r="C9" s="289" t="s">
        <v>244</v>
      </c>
      <c r="D9" s="289" t="s">
        <v>227</v>
      </c>
      <c r="E9" s="290" t="s">
        <v>357</v>
      </c>
      <c r="F9" s="290" t="s">
        <v>358</v>
      </c>
      <c r="G9" s="290" t="s">
        <v>321</v>
      </c>
      <c r="H9" s="290" t="s">
        <v>328</v>
      </c>
      <c r="I9" s="290" t="s">
        <v>329</v>
      </c>
      <c r="J9" s="290" t="s">
        <v>799</v>
      </c>
      <c r="K9" s="296" t="s">
        <v>433</v>
      </c>
      <c r="L9" s="296" t="s">
        <v>247</v>
      </c>
      <c r="M9" s="291" t="s">
        <v>434</v>
      </c>
      <c r="N9" s="292" t="s">
        <v>249</v>
      </c>
      <c r="O9" s="292" t="s">
        <v>250</v>
      </c>
      <c r="P9" s="292" t="s">
        <v>251</v>
      </c>
      <c r="Q9" s="292" t="s">
        <v>365</v>
      </c>
      <c r="R9" s="293" t="s">
        <v>373</v>
      </c>
      <c r="S9" s="297" t="s">
        <v>255</v>
      </c>
      <c r="T9" s="297" t="s">
        <v>264</v>
      </c>
      <c r="U9" s="297" t="s">
        <v>374</v>
      </c>
      <c r="V9" s="297" t="s">
        <v>375</v>
      </c>
      <c r="W9" s="293" t="s">
        <v>376</v>
      </c>
      <c r="X9" s="293" t="s">
        <v>436</v>
      </c>
      <c r="Y9" s="292" t="s">
        <v>155</v>
      </c>
      <c r="Z9" s="292" t="s">
        <v>225</v>
      </c>
      <c r="AA9" s="292" t="s">
        <v>226</v>
      </c>
      <c r="AB9" s="294" t="s">
        <v>437</v>
      </c>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66"/>
      <c r="EG9" s="66"/>
      <c r="EH9" s="66"/>
      <c r="EI9" s="66"/>
      <c r="EJ9" s="66"/>
      <c r="EK9" s="66"/>
    </row>
    <row r="10" spans="1:141" ht="14" x14ac:dyDescent="0.15">
      <c r="A10" s="63" t="str">
        <f>'Tariff Jul 2017'!K2</f>
        <v>AGL</v>
      </c>
      <c r="B10" s="1" t="str">
        <f>'Tariff Jul 2017'!L2</f>
        <v xml:space="preserve">Savers </v>
      </c>
      <c r="C10" s="84">
        <f>91*'Tariff Jul 2017'!M2/100</f>
        <v>75.53</v>
      </c>
      <c r="D10" s="84">
        <f>$F$5*'Tariff Jul 2017'!N2/100</f>
        <v>339.19103999999999</v>
      </c>
      <c r="E10" s="84">
        <v>0</v>
      </c>
      <c r="F10" s="85">
        <v>0</v>
      </c>
      <c r="G10" s="84">
        <v>0</v>
      </c>
      <c r="H10" s="84">
        <v>0</v>
      </c>
      <c r="I10" s="84">
        <v>0</v>
      </c>
      <c r="J10" s="84">
        <f>SUM(C10:I10)</f>
        <v>414.72104000000002</v>
      </c>
      <c r="K10" s="298">
        <f>(J10-C10)*4</f>
        <v>1356.7641600000002</v>
      </c>
      <c r="L10" s="86">
        <f>J10*4</f>
        <v>1658.8841600000001</v>
      </c>
      <c r="M10" s="86">
        <f>L10*1.1</f>
        <v>1824.7725760000003</v>
      </c>
      <c r="N10" s="1">
        <f>'Tariff Jul 2017'!AW2</f>
        <v>0</v>
      </c>
      <c r="O10" s="1">
        <f>'Tariff Jul 2017'!AX2</f>
        <v>0</v>
      </c>
      <c r="P10" s="1">
        <f>'Tariff Jul 2017'!AY2</f>
        <v>0</v>
      </c>
      <c r="Q10" s="1">
        <f>'Tariff Jul 2017'!AZ2</f>
        <v>10</v>
      </c>
      <c r="R10" s="87">
        <f>($F$6*'Tariff Jul 2017'!AT2/100)*4</f>
        <v>520.69241600000009</v>
      </c>
      <c r="S10" s="298">
        <f>L10</f>
        <v>1658.8841600000001</v>
      </c>
      <c r="T10" s="298">
        <f>S10-(K10*Q10/100)</f>
        <v>1523.207744</v>
      </c>
      <c r="U10" s="298">
        <f>S10-R10</f>
        <v>1138.191744</v>
      </c>
      <c r="V10" s="298">
        <f>T10-R10</f>
        <v>1002.515328</v>
      </c>
      <c r="W10" s="300">
        <f>U10*1.1</f>
        <v>1252.0109184</v>
      </c>
      <c r="X10" s="300">
        <f>V10*1.1</f>
        <v>1102.7668608000001</v>
      </c>
      <c r="Y10" s="88">
        <f>'Tariff Jul 2017'!AT2</f>
        <v>16.3</v>
      </c>
      <c r="Z10" s="89">
        <f>'Tariff Jul 2017'!BG2</f>
        <v>0</v>
      </c>
      <c r="AA10" s="89" t="str">
        <f>'Tariff Jul 2017'!BH2</f>
        <v>n</v>
      </c>
      <c r="AB10" s="90">
        <f>'Tariff Jul 2017'!G2</f>
        <v>41457</v>
      </c>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66"/>
      <c r="EG10" s="66"/>
      <c r="EH10" s="66"/>
      <c r="EI10" s="66"/>
      <c r="EJ10" s="66"/>
      <c r="EK10" s="66"/>
    </row>
    <row r="11" spans="1:141" ht="14" x14ac:dyDescent="0.15">
      <c r="A11" s="63" t="str">
        <f>'Tariff Jul 2017'!K3</f>
        <v>Alinta Energy</v>
      </c>
      <c r="B11" s="1" t="str">
        <f>'Tariff Jul 2017'!L3</f>
        <v>Fair Deal</v>
      </c>
      <c r="C11" s="84">
        <f>91*'Tariff Jul 2017'!M3/100</f>
        <v>88.433800000000005</v>
      </c>
      <c r="D11" s="84">
        <f>IF($F$5&gt;='Tariff Jul 2017'!P3,('Tariff Jul 2017'!P3*'Tariff Jul 2017'!N3/100),($F$5*'Tariff Jul 2017'!N3/100))</f>
        <v>117.09</v>
      </c>
      <c r="E11" s="84">
        <f>IF($F$5&lt;'Tariff Jul 2017'!P3,0,IF(($F$5-'Tariff Jul 2017'!P3)&lt;='Tariff Jul 2017'!R3,(($F$5-'Tariff Jul 2017'!P3)*'Tariff Jul 2017'!Q3/100),(('Tariff Jul 2017'!R3-'Tariff Jul 2017'!P3)*'Tariff Jul 2017'!Q3/100)))</f>
        <v>240.71736960000001</v>
      </c>
      <c r="F11" s="85">
        <f>IF($F$5&lt;'Tariff Jul 2017'!R3,0,IF(($F$5-'Tariff Jul 2017'!R3)&lt;='Tariff Jul 2017'!T3,(($F$5-'Tariff Jul 2017'!R3)*'Tariff Jul 2017'!S3/100),(('Tariff Jul 2017'!T3-'Tariff Jul 2017'!R3)*'Tariff Jul 2017'!S3/100)))</f>
        <v>0</v>
      </c>
      <c r="G11" s="84">
        <v>0</v>
      </c>
      <c r="H11" s="84">
        <v>0</v>
      </c>
      <c r="I11" s="84">
        <f>IF(($F$5&lt;'Tariff Jul 2017'!T3),(0),($F$5-'Tariff Jul 2017'!T3)*'Tariff Jul 2017'!U3/100)</f>
        <v>0</v>
      </c>
      <c r="J11" s="84">
        <f t="shared" ref="J11:J23" si="0">SUM(C11:I11)</f>
        <v>446.24116960000003</v>
      </c>
      <c r="K11" s="298">
        <f>(J11-C11)*4</f>
        <v>1431.2294784000001</v>
      </c>
      <c r="L11" s="86">
        <f t="shared" ref="L11:L23" si="1">J11*4</f>
        <v>1784.9646784000001</v>
      </c>
      <c r="M11" s="86">
        <f t="shared" ref="M11:M23" si="2">L11*1.1</f>
        <v>1963.4611462400003</v>
      </c>
      <c r="N11" s="1">
        <f>'Tariff Jul 2017'!AW3</f>
        <v>0</v>
      </c>
      <c r="O11" s="1">
        <f>'Tariff Jul 2017'!AX3</f>
        <v>0</v>
      </c>
      <c r="P11" s="1">
        <f>'Tariff Jul 2017'!AY3</f>
        <v>0</v>
      </c>
      <c r="Q11" s="1">
        <f>'Tariff Jul 2017'!AZ3</f>
        <v>25</v>
      </c>
      <c r="R11" s="87">
        <f>($F$6*'Tariff Jul 2017'!AT3/100)*4</f>
        <v>217.22137600000002</v>
      </c>
      <c r="S11" s="298">
        <f t="shared" ref="S11:S23" si="3">L11</f>
        <v>1784.9646784000001</v>
      </c>
      <c r="T11" s="298">
        <f>S11-(K11*Q11/100)</f>
        <v>1427.1573088</v>
      </c>
      <c r="U11" s="298">
        <f t="shared" ref="U11:U23" si="4">S11-R11</f>
        <v>1567.7433024000002</v>
      </c>
      <c r="V11" s="298">
        <f t="shared" ref="V11:V23" si="5">T11-R11</f>
        <v>1209.9359328</v>
      </c>
      <c r="W11" s="300">
        <f t="shared" ref="W11:X23" si="6">U11*1.1</f>
        <v>1724.5176326400003</v>
      </c>
      <c r="X11" s="300">
        <f t="shared" si="6"/>
        <v>1330.9295260800002</v>
      </c>
      <c r="Y11" s="88">
        <f>'Tariff Jul 2017'!AT3</f>
        <v>6.8</v>
      </c>
      <c r="Z11" s="89">
        <f>'Tariff Jul 2017'!BG3</f>
        <v>0</v>
      </c>
      <c r="AA11" s="89" t="str">
        <f>'Tariff Jul 2017'!BH3</f>
        <v>n</v>
      </c>
      <c r="AB11" s="90">
        <f>'Tariff Jul 2017'!G3</f>
        <v>41449</v>
      </c>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66"/>
      <c r="EG11" s="66"/>
      <c r="EH11" s="66"/>
      <c r="EI11" s="66"/>
      <c r="EJ11" s="66"/>
      <c r="EK11" s="66"/>
    </row>
    <row r="12" spans="1:141" ht="14" x14ac:dyDescent="0.15">
      <c r="A12" s="63" t="str">
        <f>'Tariff Jul 2017'!K4</f>
        <v>Click Energy</v>
      </c>
      <c r="B12" s="1" t="str">
        <f>'Tariff Jul 2017'!L4</f>
        <v>Shine Plus</v>
      </c>
      <c r="C12" s="84">
        <f>91*'Tariff Jul 2017'!M4/100</f>
        <v>76.674779999999998</v>
      </c>
      <c r="D12" s="84">
        <f>IF($F$5&gt;='Tariff Jul 2017'!P4,('Tariff Jul 2017'!P4*'Tariff Jul 2017'!N4/100),($F$5*'Tariff Jul 2017'!N4/100))</f>
        <v>396.79996032000003</v>
      </c>
      <c r="E12" s="84">
        <v>0</v>
      </c>
      <c r="F12" s="85">
        <v>0</v>
      </c>
      <c r="G12" s="84">
        <v>0</v>
      </c>
      <c r="H12" s="84">
        <v>0</v>
      </c>
      <c r="I12" s="84">
        <f>IF(($F$5&lt;'Tariff Jul 2017'!T4),(0),($F$5-'Tariff Jul 2017'!T4)*'Tariff Jul 2017'!U4/100)</f>
        <v>0</v>
      </c>
      <c r="J12" s="84">
        <f t="shared" si="0"/>
        <v>473.47474032000002</v>
      </c>
      <c r="K12" s="298">
        <f t="shared" ref="K12:K23" si="7">(J12-C12)*4</f>
        <v>1587.1998412800001</v>
      </c>
      <c r="L12" s="86">
        <f t="shared" si="1"/>
        <v>1893.8989612800001</v>
      </c>
      <c r="M12" s="86">
        <f t="shared" si="2"/>
        <v>2083.2888574080002</v>
      </c>
      <c r="N12" s="1">
        <f>'Tariff Jul 2017'!AW4</f>
        <v>0</v>
      </c>
      <c r="O12" s="1">
        <f>'Tariff Jul 2017'!AX4</f>
        <v>0</v>
      </c>
      <c r="P12" s="1">
        <f>'Tariff Jul 2017'!AY4</f>
        <v>5</v>
      </c>
      <c r="Q12" s="1">
        <f>'Tariff Jul 2017'!AZ4</f>
        <v>0</v>
      </c>
      <c r="R12" s="87">
        <f>($F$6*'Tariff Jul 2017'!AT4/100)*4</f>
        <v>702.77503999999999</v>
      </c>
      <c r="S12" s="298">
        <f t="shared" si="3"/>
        <v>1893.8989612800001</v>
      </c>
      <c r="T12" s="298">
        <f>S12-(S12*P12/100)</f>
        <v>1799.204013216</v>
      </c>
      <c r="U12" s="298">
        <f t="shared" si="4"/>
        <v>1191.1239212800001</v>
      </c>
      <c r="V12" s="298">
        <f t="shared" si="5"/>
        <v>1096.428973216</v>
      </c>
      <c r="W12" s="300">
        <f t="shared" si="6"/>
        <v>1310.2363134080001</v>
      </c>
      <c r="X12" s="300">
        <f t="shared" si="6"/>
        <v>1206.0718705376</v>
      </c>
      <c r="Y12" s="88">
        <f>'Tariff Jul 2017'!AT4</f>
        <v>22</v>
      </c>
      <c r="Z12" s="89">
        <f>'Tariff Jul 2017'!BG4</f>
        <v>0</v>
      </c>
      <c r="AA12" s="89" t="str">
        <f>'Tariff Jul 2017'!BH4</f>
        <v>n</v>
      </c>
      <c r="AB12" s="90">
        <f>'Tariff Jul 2017'!G4</f>
        <v>41455</v>
      </c>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66"/>
      <c r="EG12" s="66"/>
      <c r="EH12" s="66"/>
      <c r="EI12" s="66"/>
      <c r="EJ12" s="66"/>
      <c r="EK12" s="66"/>
    </row>
    <row r="13" spans="1:141" ht="14" x14ac:dyDescent="0.15">
      <c r="A13" s="63" t="str">
        <f>'Tariff Jul 2017'!K5</f>
        <v>Commander</v>
      </c>
      <c r="B13" s="1" t="str">
        <f>'Tariff Jul 2017'!L5</f>
        <v>Market offer</v>
      </c>
      <c r="C13" s="84">
        <f>91*'Tariff Jul 2017'!M5/100</f>
        <v>73.664500000000004</v>
      </c>
      <c r="D13" s="84">
        <f>IF($F$5&gt;='Tariff Jul 2017'!P5,('Tariff Jul 2017'!P5*'Tariff Jul 2017'!N5/100),($F$5*'Tariff Jul 2017'!N5/100))</f>
        <v>365.07667200000003</v>
      </c>
      <c r="E13" s="84">
        <v>0</v>
      </c>
      <c r="F13" s="85">
        <v>0</v>
      </c>
      <c r="G13" s="84">
        <v>0</v>
      </c>
      <c r="H13" s="84">
        <v>0</v>
      </c>
      <c r="I13" s="84">
        <f>IF(($F$5&lt;'Tariff Jul 2017'!T5),(0),($F$5-'Tariff Jul 2017'!T5)*'Tariff Jul 2017'!U5/100)</f>
        <v>0</v>
      </c>
      <c r="J13" s="84">
        <f t="shared" si="0"/>
        <v>438.74117200000001</v>
      </c>
      <c r="K13" s="298">
        <f t="shared" si="7"/>
        <v>1460.3066880000001</v>
      </c>
      <c r="L13" s="86">
        <f t="shared" si="1"/>
        <v>1754.964688</v>
      </c>
      <c r="M13" s="86">
        <f t="shared" si="2"/>
        <v>1930.4611568000003</v>
      </c>
      <c r="N13" s="1">
        <f>'Tariff Jul 2017'!AW5</f>
        <v>0</v>
      </c>
      <c r="O13" s="1">
        <f>'Tariff Jul 2017'!AX5</f>
        <v>0</v>
      </c>
      <c r="P13" s="1">
        <f>'Tariff Jul 2017'!AY5</f>
        <v>0</v>
      </c>
      <c r="Q13" s="1">
        <f>'Tariff Jul 2017'!AZ5</f>
        <v>20</v>
      </c>
      <c r="R13" s="87">
        <f>($F$6*'Tariff Jul 2017'!AT5/100)*4</f>
        <v>370.55411200000003</v>
      </c>
      <c r="S13" s="298">
        <f t="shared" si="3"/>
        <v>1754.964688</v>
      </c>
      <c r="T13" s="298">
        <f>S13-(K13*Q13/100)</f>
        <v>1462.9033503999999</v>
      </c>
      <c r="U13" s="298">
        <f t="shared" si="4"/>
        <v>1384.410576</v>
      </c>
      <c r="V13" s="298">
        <f t="shared" si="5"/>
        <v>1092.3492383999999</v>
      </c>
      <c r="W13" s="300">
        <f t="shared" si="6"/>
        <v>1522.8516336</v>
      </c>
      <c r="X13" s="300">
        <f t="shared" si="6"/>
        <v>1201.5841622400001</v>
      </c>
      <c r="Y13" s="88">
        <f>'Tariff Jul 2017'!AT5</f>
        <v>11.6</v>
      </c>
      <c r="Z13" s="89">
        <f>'Tariff Jul 2017'!BG5</f>
        <v>0</v>
      </c>
      <c r="AA13" s="89" t="str">
        <f>'Tariff Jul 2017'!BH5</f>
        <v>n</v>
      </c>
      <c r="AB13" s="90">
        <f>'Tariff Jul 2017'!G5</f>
        <v>41495</v>
      </c>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66"/>
      <c r="EG13" s="66"/>
      <c r="EH13" s="66"/>
      <c r="EI13" s="66"/>
      <c r="EJ13" s="66"/>
      <c r="EK13" s="66"/>
    </row>
    <row r="14" spans="1:141" ht="14" x14ac:dyDescent="0.15">
      <c r="A14" s="63" t="str">
        <f>'Tariff Jul 2017'!K6</f>
        <v>Diamond Energy</v>
      </c>
      <c r="B14" s="1" t="str">
        <f>'Tariff Jul 2017'!L6</f>
        <v>Pay on time discount</v>
      </c>
      <c r="C14" s="84">
        <f>91*'Tariff Jul 2017'!M6/100</f>
        <v>79.124499999999998</v>
      </c>
      <c r="D14" s="84">
        <f>IF($F$5&gt;='Tariff Jul 2017'!P6,('Tariff Jul 2017'!P6*'Tariff Jul 2017'!N6/100),($F$5*'Tariff Jul 2017'!N6/100))</f>
        <v>99.78</v>
      </c>
      <c r="E14" s="84">
        <f>IF($F$5&lt;'Tariff Jul 2017'!P6,0,IF(($F$5-'Tariff Jul 2017'!P6)&lt;='Tariff Jul 2017'!R6,(($F$5-'Tariff Jul 2017'!P6)*'Tariff Jul 2017'!Q6/100),(('Tariff Jul 2017'!R6-'Tariff Jul 2017'!P6)*'Tariff Jul 2017'!Q6/100)))</f>
        <v>212.68701120000003</v>
      </c>
      <c r="F14" s="85">
        <f>IF($F$5&lt;'Tariff Jul 2017'!R6,0,IF(($F$5-'Tariff Jul 2017'!R6)&lt;='Tariff Jul 2017'!T6,(($F$5-'Tariff Jul 2017'!R6)*'Tariff Jul 2017'!S6/100),(('Tariff Jul 2017'!T6-'Tariff Jul 2017'!R6)*'Tariff Jul 2017'!S6/100)))</f>
        <v>0</v>
      </c>
      <c r="G14" s="84">
        <v>0</v>
      </c>
      <c r="H14" s="84">
        <v>0</v>
      </c>
      <c r="I14" s="84">
        <f>IF(($F$5&lt;'Tariff Jul 2017'!T6),(0),($F$5-'Tariff Jul 2017'!T6)*'Tariff Jul 2017'!U6/100)</f>
        <v>0</v>
      </c>
      <c r="J14" s="84">
        <f t="shared" si="0"/>
        <v>391.59151120000001</v>
      </c>
      <c r="K14" s="298">
        <f t="shared" si="7"/>
        <v>1249.8680448</v>
      </c>
      <c r="L14" s="86">
        <f t="shared" si="1"/>
        <v>1566.3660448000001</v>
      </c>
      <c r="M14" s="86">
        <f t="shared" si="2"/>
        <v>1723.0026492800002</v>
      </c>
      <c r="N14" s="1">
        <f>'Tariff Jul 2017'!AW6</f>
        <v>0</v>
      </c>
      <c r="O14" s="1">
        <f>'Tariff Jul 2017'!AX6</f>
        <v>0</v>
      </c>
      <c r="P14" s="1">
        <f>'Tariff Jul 2017'!AY6</f>
        <v>7</v>
      </c>
      <c r="Q14" s="1">
        <f>'Tariff Jul 2017'!AZ6</f>
        <v>0</v>
      </c>
      <c r="R14" s="87">
        <f>($F$6*'Tariff Jul 2017'!AT6/100)*4</f>
        <v>383.33184</v>
      </c>
      <c r="S14" s="298">
        <f t="shared" si="3"/>
        <v>1566.3660448000001</v>
      </c>
      <c r="T14" s="298">
        <f>S14-(S14*P14/100)</f>
        <v>1456.720421664</v>
      </c>
      <c r="U14" s="298">
        <f t="shared" si="4"/>
        <v>1183.0342048</v>
      </c>
      <c r="V14" s="298">
        <f t="shared" si="5"/>
        <v>1073.388581664</v>
      </c>
      <c r="W14" s="300">
        <f t="shared" si="6"/>
        <v>1301.3376252800001</v>
      </c>
      <c r="X14" s="300">
        <f t="shared" si="6"/>
        <v>1180.7274398304</v>
      </c>
      <c r="Y14" s="88">
        <f>'Tariff Jul 2017'!AT6</f>
        <v>12</v>
      </c>
      <c r="Z14" s="89">
        <f>'Tariff Jul 2017'!BG6</f>
        <v>24</v>
      </c>
      <c r="AA14" s="89" t="str">
        <f>'Tariff Jul 2017'!BH6</f>
        <v>y</v>
      </c>
      <c r="AB14" s="90">
        <f>'Tariff Jul 2017'!G6</f>
        <v>41455</v>
      </c>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66"/>
      <c r="EG14" s="66"/>
      <c r="EH14" s="66"/>
      <c r="EI14" s="66"/>
      <c r="EJ14" s="66"/>
      <c r="EK14" s="66"/>
    </row>
    <row r="15" spans="1:141" ht="14" x14ac:dyDescent="0.15">
      <c r="A15" s="63" t="str">
        <f>'Tariff Jul 2017'!K7</f>
        <v>Dodo Power &amp; Gas</v>
      </c>
      <c r="B15" s="1" t="str">
        <f>'Tariff Jul 2017'!L7</f>
        <v>Market offer</v>
      </c>
      <c r="C15" s="84">
        <f>91*'Tariff Jul 2017'!M7/100</f>
        <v>73.664500000000004</v>
      </c>
      <c r="D15" s="84">
        <f>IF($F$5&gt;='Tariff Jul 2017'!P7,('Tariff Jul 2017'!P7*'Tariff Jul 2017'!N7/100),($F$5*'Tariff Jul 2017'!N7/100))</f>
        <v>380.69731200000001</v>
      </c>
      <c r="E15" s="84">
        <v>0</v>
      </c>
      <c r="F15" s="85">
        <v>0</v>
      </c>
      <c r="G15" s="84">
        <v>0</v>
      </c>
      <c r="H15" s="84">
        <v>0</v>
      </c>
      <c r="I15" s="84">
        <f>IF(($F$5&lt;'Tariff Jul 2017'!T7),(0),($F$5-'Tariff Jul 2017'!T7)*'Tariff Jul 2017'!U7/100)</f>
        <v>0</v>
      </c>
      <c r="J15" s="84">
        <f t="shared" si="0"/>
        <v>454.36181199999999</v>
      </c>
      <c r="K15" s="298">
        <f t="shared" si="7"/>
        <v>1522.789248</v>
      </c>
      <c r="L15" s="86">
        <f t="shared" si="1"/>
        <v>1817.4472479999999</v>
      </c>
      <c r="M15" s="86">
        <f t="shared" si="2"/>
        <v>1999.1919728</v>
      </c>
      <c r="N15" s="1">
        <f>'Tariff Jul 2017'!AW7</f>
        <v>0</v>
      </c>
      <c r="O15" s="1">
        <f>'Tariff Jul 2017'!AX7</f>
        <v>0</v>
      </c>
      <c r="P15" s="1">
        <f>'Tariff Jul 2017'!AY7</f>
        <v>0</v>
      </c>
      <c r="Q15" s="1">
        <f>'Tariff Jul 2017'!AZ7</f>
        <v>0</v>
      </c>
      <c r="R15" s="87">
        <f>($F$6*'Tariff Jul 2017'!AT7/100)*4</f>
        <v>370.55411200000003</v>
      </c>
      <c r="S15" s="298">
        <f t="shared" si="3"/>
        <v>1817.4472479999999</v>
      </c>
      <c r="T15" s="298">
        <f>S15-(K15*Q15/100)</f>
        <v>1817.4472479999999</v>
      </c>
      <c r="U15" s="298">
        <f t="shared" si="4"/>
        <v>1446.8931359999999</v>
      </c>
      <c r="V15" s="298">
        <f t="shared" si="5"/>
        <v>1446.8931359999999</v>
      </c>
      <c r="W15" s="300">
        <f t="shared" si="6"/>
        <v>1591.5824496</v>
      </c>
      <c r="X15" s="300">
        <f t="shared" si="6"/>
        <v>1591.5824496</v>
      </c>
      <c r="Y15" s="88">
        <f>'Tariff Jul 2017'!AT7</f>
        <v>11.6</v>
      </c>
      <c r="Z15" s="89">
        <f>'Tariff Jul 2017'!BG7</f>
        <v>0</v>
      </c>
      <c r="AA15" s="89" t="str">
        <f>'Tariff Jul 2017'!BH7</f>
        <v>n</v>
      </c>
      <c r="AB15" s="90">
        <f>'Tariff Jul 2017'!G7</f>
        <v>41495</v>
      </c>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66"/>
      <c r="EG15" s="66"/>
      <c r="EH15" s="66"/>
      <c r="EI15" s="66"/>
      <c r="EJ15" s="66"/>
      <c r="EK15" s="66"/>
    </row>
    <row r="16" spans="1:141" ht="14" x14ac:dyDescent="0.15">
      <c r="A16" s="63" t="str">
        <f>'Tariff Jul 2017'!K8</f>
        <v>EnergyAustralia</v>
      </c>
      <c r="B16" s="1" t="str">
        <f>'Tariff Jul 2017'!L8</f>
        <v xml:space="preserve">Flexi Saver </v>
      </c>
      <c r="C16" s="84">
        <f>91*'Tariff Jul 2017'!M8/100</f>
        <v>81.536000000000001</v>
      </c>
      <c r="D16" s="84">
        <f>IF($F$5&gt;='Tariff Jul 2017'!P8,('Tariff Jul 2017'!P8*'Tariff Jul 2017'!N8/100),($F$5*'Tariff Jul 2017'!N8/100))</f>
        <v>377.30540160000004</v>
      </c>
      <c r="E16" s="84">
        <v>0</v>
      </c>
      <c r="F16" s="85">
        <v>0</v>
      </c>
      <c r="G16" s="84">
        <v>0</v>
      </c>
      <c r="H16" s="84">
        <v>0</v>
      </c>
      <c r="I16" s="84">
        <f>IF(($F$5&lt;'Tariff Jul 2017'!T8),(0),($F$5-'Tariff Jul 2017'!T8)*'Tariff Jul 2017'!U8/100)</f>
        <v>0</v>
      </c>
      <c r="J16" s="84">
        <f t="shared" si="0"/>
        <v>458.84140160000004</v>
      </c>
      <c r="K16" s="298">
        <f t="shared" si="7"/>
        <v>1509.2216064000002</v>
      </c>
      <c r="L16" s="86">
        <f t="shared" si="1"/>
        <v>1835.3656064000002</v>
      </c>
      <c r="M16" s="86">
        <f t="shared" si="2"/>
        <v>2018.9021670400004</v>
      </c>
      <c r="N16" s="1">
        <f>'Tariff Jul 2017'!AW8</f>
        <v>0</v>
      </c>
      <c r="O16" s="1">
        <f>'Tariff Jul 2017'!AX8</f>
        <v>0</v>
      </c>
      <c r="P16" s="1">
        <f>'Tariff Jul 2017'!AY8</f>
        <v>0</v>
      </c>
      <c r="Q16" s="1">
        <f>'Tariff Jul 2017'!AZ8</f>
        <v>18</v>
      </c>
      <c r="R16" s="87">
        <f>($F$6*'Tariff Jul 2017'!AT8/100)*4</f>
        <v>479.16480000000001</v>
      </c>
      <c r="S16" s="298">
        <f t="shared" si="3"/>
        <v>1835.3656064000002</v>
      </c>
      <c r="T16" s="298">
        <f>S16-(K16*Q16/100)</f>
        <v>1563.7057172480002</v>
      </c>
      <c r="U16" s="298">
        <f t="shared" si="4"/>
        <v>1356.2008064000001</v>
      </c>
      <c r="V16" s="298">
        <f t="shared" si="5"/>
        <v>1084.5409172480001</v>
      </c>
      <c r="W16" s="300">
        <f t="shared" si="6"/>
        <v>1491.8208870400003</v>
      </c>
      <c r="X16" s="300">
        <f t="shared" si="6"/>
        <v>1192.9950089728002</v>
      </c>
      <c r="Y16" s="88">
        <f>'Tariff Jul 2017'!AT8</f>
        <v>15</v>
      </c>
      <c r="Z16" s="89">
        <f>'Tariff Jul 2017'!BG8</f>
        <v>0</v>
      </c>
      <c r="AA16" s="89" t="str">
        <f>'Tariff Jul 2017'!BH8</f>
        <v>n</v>
      </c>
      <c r="AB16" s="90">
        <f>'Tariff Jul 2017'!G8</f>
        <v>41467</v>
      </c>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66"/>
      <c r="EG16" s="66"/>
      <c r="EH16" s="66"/>
      <c r="EI16" s="66"/>
      <c r="EJ16" s="66"/>
      <c r="EK16" s="66"/>
    </row>
    <row r="17" spans="1:141" ht="14" x14ac:dyDescent="0.15">
      <c r="A17" s="63" t="str">
        <f>'Tariff Jul 2017'!K9</f>
        <v>Lumo Energy</v>
      </c>
      <c r="B17" s="1" t="str">
        <f>'Tariff Jul 2017'!L9</f>
        <v>Advantage</v>
      </c>
      <c r="C17" s="84">
        <f>91*'Tariff Jul 2017'!M9/100</f>
        <v>78.123499999999993</v>
      </c>
      <c r="D17" s="84">
        <f>IF($F$5&gt;='Tariff Jul 2017'!P9,('Tariff Jul 2017'!P9*'Tariff Jul 2017'!N9/100),($F$5*'Tariff Jul 2017'!N9/100))</f>
        <v>336.51321600000006</v>
      </c>
      <c r="E17" s="84">
        <v>0</v>
      </c>
      <c r="F17" s="85">
        <v>0</v>
      </c>
      <c r="G17" s="84">
        <v>0</v>
      </c>
      <c r="H17" s="84">
        <v>0</v>
      </c>
      <c r="I17" s="84">
        <f>IF(($F$5&lt;'Tariff Jul 2017'!T9),(0),($F$5-'Tariff Jul 2017'!T9)*'Tariff Jul 2017'!U9/100)</f>
        <v>0</v>
      </c>
      <c r="J17" s="84">
        <f t="shared" si="0"/>
        <v>414.63671600000004</v>
      </c>
      <c r="K17" s="298">
        <f t="shared" si="7"/>
        <v>1346.0528640000002</v>
      </c>
      <c r="L17" s="86">
        <f t="shared" si="1"/>
        <v>1658.5468640000001</v>
      </c>
      <c r="M17" s="86">
        <f t="shared" si="2"/>
        <v>1824.4015504000004</v>
      </c>
      <c r="N17" s="1">
        <f>'Tariff Jul 2017'!AW9</f>
        <v>0</v>
      </c>
      <c r="O17" s="1">
        <f>'Tariff Jul 2017'!AX9</f>
        <v>0</v>
      </c>
      <c r="P17" s="1">
        <f>'Tariff Jul 2017'!AY9</f>
        <v>10</v>
      </c>
      <c r="Q17" s="1">
        <f>'Tariff Jul 2017'!AZ9</f>
        <v>0</v>
      </c>
      <c r="R17" s="87">
        <f>($F$6*'Tariff Jul 2017'!AT9/100)*4</f>
        <v>511.10912000000002</v>
      </c>
      <c r="S17" s="298">
        <f t="shared" si="3"/>
        <v>1658.5468640000001</v>
      </c>
      <c r="T17" s="298">
        <f>S17-(S17*P17/100)</f>
        <v>1492.6921776000002</v>
      </c>
      <c r="U17" s="298">
        <f t="shared" si="4"/>
        <v>1147.4377440000001</v>
      </c>
      <c r="V17" s="298">
        <f t="shared" si="5"/>
        <v>981.58305760000007</v>
      </c>
      <c r="W17" s="300">
        <f t="shared" si="6"/>
        <v>1262.1815184000002</v>
      </c>
      <c r="X17" s="300">
        <f t="shared" si="6"/>
        <v>1079.7413633600002</v>
      </c>
      <c r="Y17" s="88">
        <f>'Tariff Jul 2017'!AT9</f>
        <v>16</v>
      </c>
      <c r="Z17" s="89">
        <f>'Tariff Jul 2017'!BG9</f>
        <v>0</v>
      </c>
      <c r="AA17" s="89" t="str">
        <f>'Tariff Jul 2017'!BH9</f>
        <v>n</v>
      </c>
      <c r="AB17" s="90">
        <f>'Tariff Jul 2017'!G9</f>
        <v>41468</v>
      </c>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66"/>
      <c r="EG17" s="66"/>
      <c r="EH17" s="66"/>
      <c r="EI17" s="66"/>
      <c r="EJ17" s="66"/>
      <c r="EK17" s="66"/>
    </row>
    <row r="18" spans="1:141" ht="14" x14ac:dyDescent="0.15">
      <c r="A18" s="63" t="str">
        <f>'Tariff Jul 2017'!K10</f>
        <v>Momentum Energy</v>
      </c>
      <c r="B18" s="1" t="str">
        <f>'Tariff Jul 2017'!L10</f>
        <v>SmilePower</v>
      </c>
      <c r="C18" s="84">
        <f>91*'Tariff Jul 2017'!M10/100</f>
        <v>75.156900000000007</v>
      </c>
      <c r="D18" s="84">
        <f>IF($F$5&gt;='Tariff Jul 2017'!P10,('Tariff Jul 2017'!P10*'Tariff Jul 2017'!N10/100),($F$5*'Tariff Jul 2017'!N10/100))</f>
        <v>230.28</v>
      </c>
      <c r="E18" s="84">
        <v>0</v>
      </c>
      <c r="F18" s="85">
        <v>0</v>
      </c>
      <c r="G18" s="84">
        <v>0</v>
      </c>
      <c r="H18" s="84">
        <v>0</v>
      </c>
      <c r="I18" s="84">
        <f>IF(($F$5&lt;'Tariff Jul 2017'!T10),(0),($F$5-'Tariff Jul 2017'!T10)*'Tariff Jul 2017'!U10/100)</f>
        <v>110.07912960000002</v>
      </c>
      <c r="J18" s="84">
        <f t="shared" si="0"/>
        <v>415.51602960000002</v>
      </c>
      <c r="K18" s="298">
        <f t="shared" si="7"/>
        <v>1361.4365184000001</v>
      </c>
      <c r="L18" s="86">
        <f t="shared" si="1"/>
        <v>1662.0641184000001</v>
      </c>
      <c r="M18" s="86">
        <f t="shared" si="2"/>
        <v>1828.2705302400002</v>
      </c>
      <c r="N18" s="1">
        <f>'Tariff Jul 2017'!AW10</f>
        <v>0</v>
      </c>
      <c r="O18" s="1">
        <f>'Tariff Jul 2017'!AX10</f>
        <v>0</v>
      </c>
      <c r="P18" s="1">
        <f>'Tariff Jul 2017'!AY10</f>
        <v>0</v>
      </c>
      <c r="Q18" s="1">
        <f>'Tariff Jul 2017'!AZ10</f>
        <v>0</v>
      </c>
      <c r="R18" s="87">
        <f>($F$6*'Tariff Jul 2017'!AT10/100)*4</f>
        <v>217.22137600000002</v>
      </c>
      <c r="S18" s="298">
        <f t="shared" si="3"/>
        <v>1662.0641184000001</v>
      </c>
      <c r="T18" s="298">
        <f>S18</f>
        <v>1662.0641184000001</v>
      </c>
      <c r="U18" s="298">
        <f t="shared" si="4"/>
        <v>1444.8427424000001</v>
      </c>
      <c r="V18" s="298">
        <f t="shared" si="5"/>
        <v>1444.8427424000001</v>
      </c>
      <c r="W18" s="300">
        <f t="shared" si="6"/>
        <v>1589.3270166400002</v>
      </c>
      <c r="X18" s="300">
        <f t="shared" si="6"/>
        <v>1589.3270166400002</v>
      </c>
      <c r="Y18" s="88">
        <f>'Tariff Jul 2017'!AT10</f>
        <v>6.8</v>
      </c>
      <c r="Z18" s="89">
        <f>'Tariff Jul 2017'!BG10</f>
        <v>12</v>
      </c>
      <c r="AA18" s="89" t="str">
        <f>'Tariff Jul 2017'!BH10</f>
        <v>y</v>
      </c>
      <c r="AB18" s="90">
        <f>'Tariff Jul 2017'!G10</f>
        <v>41469</v>
      </c>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66"/>
      <c r="EG18" s="66"/>
      <c r="EH18" s="66"/>
      <c r="EI18" s="66"/>
      <c r="EJ18" s="66"/>
      <c r="EK18" s="66"/>
    </row>
    <row r="19" spans="1:141" ht="14" x14ac:dyDescent="0.15">
      <c r="A19" s="63" t="str">
        <f>'Tariff Jul 2017'!K11</f>
        <v>Origin Energy</v>
      </c>
      <c r="B19" s="1" t="str">
        <f>'Tariff Jul 2017'!L11</f>
        <v>Solar Boost Plus</v>
      </c>
      <c r="C19" s="84">
        <f>91*'Tariff Jul 2017'!M11/100</f>
        <v>75.484499999999997</v>
      </c>
      <c r="D19" s="84">
        <f>IF($F$5&gt;='Tariff Jul 2017'!P11,('Tariff Jul 2017'!P11*'Tariff Jul 2017'!N11/100),($F$5*'Tariff Jul 2017'!N11/100))</f>
        <v>328.03344000000004</v>
      </c>
      <c r="E19" s="84">
        <v>0</v>
      </c>
      <c r="F19" s="85">
        <v>0</v>
      </c>
      <c r="G19" s="84">
        <v>0</v>
      </c>
      <c r="H19" s="84">
        <v>0</v>
      </c>
      <c r="I19" s="84">
        <f>IF(($F$5&lt;'Tariff Jul 2017'!T11),(0),($F$5-'Tariff Jul 2017'!T11)*'Tariff Jul 2017'!U11/100)</f>
        <v>0</v>
      </c>
      <c r="J19" s="84">
        <f t="shared" si="0"/>
        <v>403.51794000000007</v>
      </c>
      <c r="K19" s="298">
        <f t="shared" si="7"/>
        <v>1312.1337600000002</v>
      </c>
      <c r="L19" s="86">
        <f t="shared" si="1"/>
        <v>1614.0717600000003</v>
      </c>
      <c r="M19" s="86">
        <f t="shared" si="2"/>
        <v>1775.4789360000004</v>
      </c>
      <c r="N19" s="1">
        <f>'Tariff Jul 2017'!AW11</f>
        <v>0</v>
      </c>
      <c r="O19" s="1">
        <f>'Tariff Jul 2017'!AX11</f>
        <v>12</v>
      </c>
      <c r="P19" s="1">
        <f>'Tariff Jul 2017'!AY11</f>
        <v>0</v>
      </c>
      <c r="Q19" s="1">
        <f>'Tariff Jul 2017'!AZ11</f>
        <v>0</v>
      </c>
      <c r="R19" s="87">
        <f>($F$6*'Tariff Jul 2017'!AT11/100)*4</f>
        <v>638.88640000000009</v>
      </c>
      <c r="S19" s="298">
        <f>L19-(K19*O19/100)</f>
        <v>1456.6157088000002</v>
      </c>
      <c r="T19" s="298">
        <f>S19</f>
        <v>1456.6157088000002</v>
      </c>
      <c r="U19" s="298">
        <f t="shared" si="4"/>
        <v>817.72930880000013</v>
      </c>
      <c r="V19" s="298">
        <f t="shared" si="5"/>
        <v>817.72930880000013</v>
      </c>
      <c r="W19" s="300">
        <f t="shared" si="6"/>
        <v>899.50223968000023</v>
      </c>
      <c r="X19" s="300">
        <f t="shared" si="6"/>
        <v>899.50223968000023</v>
      </c>
      <c r="Y19" s="88">
        <f>'Tariff Jul 2017'!AT11</f>
        <v>20</v>
      </c>
      <c r="Z19" s="89">
        <f>'Tariff Jul 2017'!BG11</f>
        <v>0</v>
      </c>
      <c r="AA19" s="89" t="str">
        <f>'Tariff Jul 2017'!BH11</f>
        <v>n</v>
      </c>
      <c r="AB19" s="90">
        <f>'Tariff Jul 2017'!G11</f>
        <v>41455</v>
      </c>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66"/>
      <c r="EG19" s="66"/>
      <c r="EH19" s="66"/>
      <c r="EI19" s="66"/>
      <c r="EJ19" s="66"/>
      <c r="EK19" s="66"/>
    </row>
    <row r="20" spans="1:141" ht="14" x14ac:dyDescent="0.15">
      <c r="A20" s="63" t="str">
        <f>'Tariff Jul 2017'!K12</f>
        <v>Powerdirect</v>
      </c>
      <c r="B20" s="1" t="str">
        <f>'Tariff Jul 2017'!L12</f>
        <v>Market offer</v>
      </c>
      <c r="C20" s="84">
        <f>91*'Tariff Jul 2017'!M12/100</f>
        <v>75.53</v>
      </c>
      <c r="D20" s="84">
        <f>$F$5*'Tariff Jul 2017'!N12/100</f>
        <v>339.19103999999999</v>
      </c>
      <c r="E20" s="84">
        <v>0</v>
      </c>
      <c r="F20" s="85">
        <v>0</v>
      </c>
      <c r="G20" s="84">
        <v>0</v>
      </c>
      <c r="H20" s="84">
        <v>0</v>
      </c>
      <c r="I20" s="84">
        <v>0</v>
      </c>
      <c r="J20" s="84">
        <f t="shared" si="0"/>
        <v>414.72104000000002</v>
      </c>
      <c r="K20" s="298">
        <f t="shared" si="7"/>
        <v>1356.7641600000002</v>
      </c>
      <c r="L20" s="86">
        <f t="shared" si="1"/>
        <v>1658.8841600000001</v>
      </c>
      <c r="M20" s="86">
        <f t="shared" si="2"/>
        <v>1824.7725760000003</v>
      </c>
      <c r="N20" s="1">
        <f>'Tariff Jul 2017'!AW12</f>
        <v>0</v>
      </c>
      <c r="O20" s="1">
        <f>'Tariff Jul 2017'!AX12</f>
        <v>0</v>
      </c>
      <c r="P20" s="1">
        <f>'Tariff Jul 2017'!AY12</f>
        <v>0</v>
      </c>
      <c r="Q20" s="1">
        <f>'Tariff Jul 2017'!AZ12</f>
        <v>14</v>
      </c>
      <c r="R20" s="87">
        <f>($F$6*'Tariff Jul 2017'!AT12/100)*4</f>
        <v>520.69241600000009</v>
      </c>
      <c r="S20" s="298">
        <f t="shared" si="3"/>
        <v>1658.8841600000001</v>
      </c>
      <c r="T20" s="298">
        <f>S20-(K20*Q20/100)</f>
        <v>1468.9371776</v>
      </c>
      <c r="U20" s="298">
        <f t="shared" si="4"/>
        <v>1138.191744</v>
      </c>
      <c r="V20" s="298">
        <f t="shared" si="5"/>
        <v>948.24476159999995</v>
      </c>
      <c r="W20" s="300">
        <f t="shared" si="6"/>
        <v>1252.0109184</v>
      </c>
      <c r="X20" s="300">
        <f t="shared" si="6"/>
        <v>1043.0692377600001</v>
      </c>
      <c r="Y20" s="88">
        <f>'Tariff Jul 2017'!AT12</f>
        <v>16.3</v>
      </c>
      <c r="Z20" s="89">
        <f>'Tariff Jul 2017'!BG12</f>
        <v>24</v>
      </c>
      <c r="AA20" s="89" t="str">
        <f>'Tariff Jul 2017'!BH12</f>
        <v>n</v>
      </c>
      <c r="AB20" s="90">
        <f>'Tariff Jul 2017'!G12</f>
        <v>41455</v>
      </c>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09"/>
      <c r="DU20" s="109"/>
      <c r="DV20" s="109"/>
      <c r="DW20" s="109"/>
      <c r="DX20" s="109"/>
      <c r="DY20" s="109"/>
      <c r="DZ20" s="109"/>
      <c r="EA20" s="109"/>
      <c r="EB20" s="109"/>
      <c r="EC20" s="109"/>
      <c r="ED20" s="109"/>
      <c r="EE20" s="109"/>
      <c r="EF20" s="66"/>
      <c r="EG20" s="66"/>
      <c r="EH20" s="66"/>
      <c r="EI20" s="66"/>
      <c r="EJ20" s="66"/>
      <c r="EK20" s="66"/>
    </row>
    <row r="21" spans="1:141" ht="14" x14ac:dyDescent="0.15">
      <c r="A21" s="63" t="str">
        <f>'Tariff Jul 2017'!K13</f>
        <v>Sanctuary Energy</v>
      </c>
      <c r="B21" s="1" t="str">
        <f>'Tariff Jul 2017'!L13</f>
        <v>Negotiated contract</v>
      </c>
      <c r="C21" s="84">
        <f>91*'Tariff Jul 2017'!M13/100</f>
        <v>68.692260000000005</v>
      </c>
      <c r="D21" s="84">
        <f>IF($F$5&gt;='Tariff Jul 2017'!P13,('Tariff Jul 2017'!P13*'Tariff Jul 2017'!N13/100),($F$5*'Tariff Jul 2017'!N13/100))</f>
        <v>100.49849999999998</v>
      </c>
      <c r="E21" s="84">
        <f>IF($F$5&lt;'Tariff Jul 2017'!P13,0,IF(($F$5-'Tariff Jul 2017'!P13)&lt;='Tariff Jul 2017'!R13,(($F$5-'Tariff Jul 2017'!P13)*'Tariff Jul 2017'!Q13/100),(('Tariff Jul 2017'!R13-'Tariff Jul 2017'!P13)*'Tariff Jul 2017'!Q13/100)))</f>
        <v>202.26896256000001</v>
      </c>
      <c r="F21" s="85">
        <f>IF($F$5&lt;'Tariff Jul 2017'!R13,0,IF(($F$5-'Tariff Jul 2017'!R13)&lt;='Tariff Jul 2017'!T13,(($F$5-'Tariff Jul 2017'!R13)*'Tariff Jul 2017'!S13/100),(('Tariff Jul 2017'!T13-'Tariff Jul 2017'!R13)*'Tariff Jul 2017'!S13/100)))</f>
        <v>0</v>
      </c>
      <c r="G21" s="84">
        <v>0</v>
      </c>
      <c r="H21" s="84">
        <v>0</v>
      </c>
      <c r="I21" s="84">
        <f>IF(($F$5&lt;'Tariff Jul 2017'!T13),(0),($F$5-'Tariff Jul 2017'!T13)*'Tariff Jul 2017'!U13/100)</f>
        <v>0</v>
      </c>
      <c r="J21" s="84">
        <f t="shared" si="0"/>
        <v>371.45972255999999</v>
      </c>
      <c r="K21" s="298">
        <f t="shared" si="7"/>
        <v>1211.0698502400001</v>
      </c>
      <c r="L21" s="86">
        <f t="shared" si="1"/>
        <v>1485.83889024</v>
      </c>
      <c r="M21" s="86">
        <f t="shared" si="2"/>
        <v>1634.4227792640002</v>
      </c>
      <c r="N21" s="1">
        <f>'Tariff Jul 2017'!AW13</f>
        <v>0</v>
      </c>
      <c r="O21" s="1">
        <f>'Tariff Jul 2017'!AX13</f>
        <v>0</v>
      </c>
      <c r="P21" s="1">
        <f>'Tariff Jul 2017'!AY13</f>
        <v>0</v>
      </c>
      <c r="Q21" s="1">
        <f>'Tariff Jul 2017'!AZ13</f>
        <v>0</v>
      </c>
      <c r="R21" s="87">
        <f>($F$6*'Tariff Jul 2017'!AT13/100)*4</f>
        <v>217.22137600000002</v>
      </c>
      <c r="S21" s="298">
        <f t="shared" si="3"/>
        <v>1485.83889024</v>
      </c>
      <c r="T21" s="298">
        <f>S21</f>
        <v>1485.83889024</v>
      </c>
      <c r="U21" s="298">
        <f t="shared" si="4"/>
        <v>1268.61751424</v>
      </c>
      <c r="V21" s="298">
        <f t="shared" si="5"/>
        <v>1268.61751424</v>
      </c>
      <c r="W21" s="300">
        <f t="shared" si="6"/>
        <v>1395.4792656640002</v>
      </c>
      <c r="X21" s="300">
        <f t="shared" si="6"/>
        <v>1395.4792656640002</v>
      </c>
      <c r="Y21" s="88">
        <f>'Tariff Jul 2017'!AT13</f>
        <v>6.8</v>
      </c>
      <c r="Z21" s="89">
        <f>'Tariff Jul 2017'!BG13</f>
        <v>36</v>
      </c>
      <c r="AA21" s="89" t="str">
        <f>'Tariff Jul 2017'!BH13</f>
        <v>n</v>
      </c>
      <c r="AB21" s="90">
        <f>'Tariff Jul 2017'!G13</f>
        <v>41455</v>
      </c>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c r="DH21" s="109"/>
      <c r="DI21" s="109"/>
      <c r="DJ21" s="109"/>
      <c r="DK21" s="109"/>
      <c r="DL21" s="109"/>
      <c r="DM21" s="109"/>
      <c r="DN21" s="109"/>
      <c r="DO21" s="109"/>
      <c r="DP21" s="109"/>
      <c r="DQ21" s="109"/>
      <c r="DR21" s="109"/>
      <c r="DS21" s="109"/>
      <c r="DT21" s="109"/>
      <c r="DU21" s="109"/>
      <c r="DV21" s="109"/>
      <c r="DW21" s="109"/>
      <c r="DX21" s="109"/>
      <c r="DY21" s="109"/>
      <c r="DZ21" s="109"/>
      <c r="EA21" s="109"/>
      <c r="EB21" s="109"/>
      <c r="EC21" s="109"/>
      <c r="ED21" s="109"/>
      <c r="EE21" s="109"/>
      <c r="EF21" s="66"/>
      <c r="EG21" s="66"/>
      <c r="EH21" s="66"/>
      <c r="EI21" s="66"/>
      <c r="EJ21" s="66"/>
      <c r="EK21" s="66"/>
    </row>
    <row r="22" spans="1:141" ht="14" x14ac:dyDescent="0.15">
      <c r="A22" s="63" t="str">
        <f>'Tariff Jul 2017'!K14</f>
        <v>Simply Energy</v>
      </c>
      <c r="B22" s="1" t="str">
        <f>'Tariff Jul 2017'!L14</f>
        <v>Plus</v>
      </c>
      <c r="C22" s="84">
        <f>91*'Tariff Jul 2017'!M14/100</f>
        <v>57.921499999999995</v>
      </c>
      <c r="D22" s="84">
        <f>IF($F$5&gt;='Tariff Jul 2017'!P14,('Tariff Jul 2017'!P14*'Tariff Jul 2017'!N14/100),($F$5*'Tariff Jul 2017'!N14/100))</f>
        <v>289.56203519999997</v>
      </c>
      <c r="E22" s="84">
        <v>0</v>
      </c>
      <c r="F22" s="85">
        <v>0</v>
      </c>
      <c r="G22" s="84">
        <v>0</v>
      </c>
      <c r="H22" s="84">
        <v>0</v>
      </c>
      <c r="I22" s="84">
        <f>IF(($F$5&lt;'Tariff Jul 2017'!T14),(0),($F$5-'Tariff Jul 2017'!T14)*'Tariff Jul 2017'!U14/100)</f>
        <v>0</v>
      </c>
      <c r="J22" s="84">
        <f t="shared" si="0"/>
        <v>347.48353519999995</v>
      </c>
      <c r="K22" s="298">
        <f>(J22-C22)*4</f>
        <v>1158.2481407999999</v>
      </c>
      <c r="L22" s="86">
        <f t="shared" si="1"/>
        <v>1389.9341407999998</v>
      </c>
      <c r="M22" s="86">
        <f t="shared" si="2"/>
        <v>1528.9275548799999</v>
      </c>
      <c r="N22" s="1">
        <f>'Tariff Jul 2017'!AW14</f>
        <v>0</v>
      </c>
      <c r="O22" s="1">
        <f>'Tariff Jul 2017'!AX14</f>
        <v>0</v>
      </c>
      <c r="P22" s="1">
        <f>'Tariff Jul 2017'!AY14</f>
        <v>0</v>
      </c>
      <c r="Q22" s="1">
        <f>'Tariff Jul 2017'!AZ14</f>
        <v>15</v>
      </c>
      <c r="R22" s="87">
        <f>($F$6*'Tariff Jul 2017'!AT14/100)*4</f>
        <v>217.22137600000002</v>
      </c>
      <c r="S22" s="298">
        <f t="shared" si="3"/>
        <v>1389.9341407999998</v>
      </c>
      <c r="T22" s="298">
        <f>S22-(K22*Q22/100)</f>
        <v>1216.1969196799998</v>
      </c>
      <c r="U22" s="298">
        <f t="shared" si="4"/>
        <v>1172.7127647999998</v>
      </c>
      <c r="V22" s="298">
        <f t="shared" si="5"/>
        <v>998.97554367999987</v>
      </c>
      <c r="W22" s="300">
        <f t="shared" si="6"/>
        <v>1289.9840412799999</v>
      </c>
      <c r="X22" s="300">
        <f t="shared" si="6"/>
        <v>1098.873098048</v>
      </c>
      <c r="Y22" s="88">
        <f>'Tariff Jul 2017'!AT14</f>
        <v>6.8</v>
      </c>
      <c r="Z22" s="89">
        <f>'Tariff Jul 2017'!BG14</f>
        <v>24</v>
      </c>
      <c r="AA22" s="89" t="str">
        <f>'Tariff Jul 2017'!BH14</f>
        <v>y</v>
      </c>
      <c r="AB22" s="90">
        <f>'Tariff Jul 2017'!G14</f>
        <v>41459</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c r="DH22" s="109"/>
      <c r="DI22" s="109"/>
      <c r="DJ22" s="109"/>
      <c r="DK22" s="109"/>
      <c r="DL22" s="109"/>
      <c r="DM22" s="109"/>
      <c r="DN22" s="109"/>
      <c r="DO22" s="109"/>
      <c r="DP22" s="109"/>
      <c r="DQ22" s="109"/>
      <c r="DR22" s="109"/>
      <c r="DS22" s="109"/>
      <c r="DT22" s="109"/>
      <c r="DU22" s="109"/>
      <c r="DV22" s="109"/>
      <c r="DW22" s="109"/>
      <c r="DX22" s="109"/>
      <c r="DY22" s="109"/>
      <c r="DZ22" s="109"/>
      <c r="EA22" s="109"/>
      <c r="EB22" s="109"/>
      <c r="EC22" s="109"/>
      <c r="ED22" s="109"/>
      <c r="EE22" s="109"/>
      <c r="EF22" s="66"/>
      <c r="EG22" s="66"/>
      <c r="EH22" s="66"/>
      <c r="EI22" s="66"/>
      <c r="EJ22" s="66"/>
      <c r="EK22" s="66"/>
    </row>
    <row r="23" spans="1:141" ht="15" thickBot="1" x14ac:dyDescent="0.2">
      <c r="A23" s="91" t="str">
        <f>'Tariff Jul 2017'!K15</f>
        <v>Red Energy</v>
      </c>
      <c r="B23" s="92" t="str">
        <f>'Tariff Jul 2017'!L15</f>
        <v>No exit fee saver</v>
      </c>
      <c r="C23" s="93">
        <f>91*'Tariff Jul 2017'!M15/100</f>
        <v>78.123499999999993</v>
      </c>
      <c r="D23" s="93">
        <f>IF($F$5&gt;='Tariff Jul 2017'!P15,('Tariff Jul 2017'!P15*'Tariff Jul 2017'!N15/100),($F$5*'Tariff Jul 2017'!N15/100))</f>
        <v>336.51321600000006</v>
      </c>
      <c r="E23" s="93">
        <v>0</v>
      </c>
      <c r="F23" s="94">
        <v>0</v>
      </c>
      <c r="G23" s="93">
        <v>0</v>
      </c>
      <c r="H23" s="93">
        <v>0</v>
      </c>
      <c r="I23" s="93">
        <f>IF(($F$5&lt;'Tariff Jul 2017'!T15),(0),($F$5-'Tariff Jul 2017'!T15)*'Tariff Jul 2017'!U15/100)</f>
        <v>0</v>
      </c>
      <c r="J23" s="93">
        <f t="shared" si="0"/>
        <v>414.63671600000004</v>
      </c>
      <c r="K23" s="299">
        <f t="shared" si="7"/>
        <v>1346.0528640000002</v>
      </c>
      <c r="L23" s="95">
        <f t="shared" si="1"/>
        <v>1658.5468640000001</v>
      </c>
      <c r="M23" s="95">
        <f t="shared" si="2"/>
        <v>1824.4015504000004</v>
      </c>
      <c r="N23" s="92">
        <f>'Tariff Jul 2017'!AW15</f>
        <v>0</v>
      </c>
      <c r="O23" s="92">
        <f>'Tariff Jul 2017'!AX15</f>
        <v>0</v>
      </c>
      <c r="P23" s="92">
        <f>'Tariff Jul 2017'!AY15</f>
        <v>10</v>
      </c>
      <c r="Q23" s="92">
        <f>'Tariff Jul 2017'!AZ15</f>
        <v>0</v>
      </c>
      <c r="R23" s="96">
        <f>($F$6*'Tariff Jul 2017'!AT15/100)*4</f>
        <v>511.10912000000002</v>
      </c>
      <c r="S23" s="299">
        <f t="shared" si="3"/>
        <v>1658.5468640000001</v>
      </c>
      <c r="T23" s="299">
        <f>S23-(L23*P23/100)</f>
        <v>1492.6921776000002</v>
      </c>
      <c r="U23" s="299">
        <f t="shared" si="4"/>
        <v>1147.4377440000001</v>
      </c>
      <c r="V23" s="299">
        <f t="shared" si="5"/>
        <v>981.58305760000007</v>
      </c>
      <c r="W23" s="301">
        <f t="shared" si="6"/>
        <v>1262.1815184000002</v>
      </c>
      <c r="X23" s="301">
        <f t="shared" si="6"/>
        <v>1079.7413633600002</v>
      </c>
      <c r="Y23" s="97">
        <f>'Tariff Jul 2017'!AT15</f>
        <v>16</v>
      </c>
      <c r="Z23" s="98">
        <f>'Tariff Jul 2017'!BG15</f>
        <v>0</v>
      </c>
      <c r="AA23" s="98" t="str">
        <f>'Tariff Jul 2017'!BH15</f>
        <v>n</v>
      </c>
      <c r="AB23" s="99">
        <f>'Tariff Jul 2017'!G15</f>
        <v>41479</v>
      </c>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66"/>
      <c r="EG23" s="66"/>
      <c r="EH23" s="66"/>
      <c r="EI23" s="66"/>
      <c r="EJ23" s="66"/>
      <c r="EK23" s="66"/>
    </row>
    <row r="24" spans="1:141" s="110" customFormat="1" ht="14" x14ac:dyDescent="0.15">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row>
    <row r="25" spans="1:141" s="110" customFormat="1" ht="15" thickBot="1" x14ac:dyDescent="0.2">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row>
    <row r="26" spans="1:141" ht="14" x14ac:dyDescent="0.15">
      <c r="A26" s="82" t="s">
        <v>154</v>
      </c>
      <c r="B26" s="83"/>
      <c r="C26" s="100"/>
      <c r="D26" s="100"/>
      <c r="E26" s="100"/>
      <c r="F26" s="100"/>
      <c r="G26" s="101"/>
      <c r="H26" s="101"/>
      <c r="I26" s="83"/>
      <c r="J26" s="83"/>
      <c r="K26" s="101"/>
      <c r="L26" s="83"/>
      <c r="M26" s="83"/>
      <c r="N26" s="83"/>
      <c r="O26" s="83"/>
      <c r="P26" s="83"/>
      <c r="Q26" s="83"/>
      <c r="R26" s="83"/>
      <c r="S26" s="83"/>
      <c r="T26" s="83"/>
      <c r="U26" s="83"/>
      <c r="V26" s="83"/>
      <c r="W26" s="83"/>
      <c r="X26" s="83"/>
      <c r="Y26" s="83"/>
      <c r="Z26" s="83"/>
      <c r="AA26" s="83"/>
      <c r="AB26" s="18"/>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66"/>
      <c r="EG26" s="66"/>
      <c r="EH26" s="66"/>
      <c r="EI26" s="66"/>
      <c r="EJ26" s="66"/>
      <c r="EK26" s="66"/>
    </row>
    <row r="27" spans="1:141" ht="90" x14ac:dyDescent="0.15">
      <c r="A27" s="287" t="s">
        <v>231</v>
      </c>
      <c r="B27" s="288" t="s">
        <v>243</v>
      </c>
      <c r="C27" s="289" t="s">
        <v>244</v>
      </c>
      <c r="D27" s="289" t="s">
        <v>245</v>
      </c>
      <c r="E27" s="290" t="s">
        <v>357</v>
      </c>
      <c r="F27" s="290" t="s">
        <v>358</v>
      </c>
      <c r="G27" s="290" t="s">
        <v>329</v>
      </c>
      <c r="H27" s="290" t="s">
        <v>222</v>
      </c>
      <c r="I27" s="290" t="s">
        <v>223</v>
      </c>
      <c r="J27" s="290" t="s">
        <v>799</v>
      </c>
      <c r="K27" s="296" t="s">
        <v>246</v>
      </c>
      <c r="L27" s="296" t="s">
        <v>247</v>
      </c>
      <c r="M27" s="291" t="s">
        <v>248</v>
      </c>
      <c r="N27" s="292" t="s">
        <v>249</v>
      </c>
      <c r="O27" s="292" t="s">
        <v>250</v>
      </c>
      <c r="P27" s="292" t="s">
        <v>251</v>
      </c>
      <c r="Q27" s="292" t="s">
        <v>365</v>
      </c>
      <c r="R27" s="293" t="s">
        <v>373</v>
      </c>
      <c r="S27" s="297" t="s">
        <v>255</v>
      </c>
      <c r="T27" s="297" t="s">
        <v>224</v>
      </c>
      <c r="U27" s="297" t="s">
        <v>374</v>
      </c>
      <c r="V27" s="297" t="s">
        <v>375</v>
      </c>
      <c r="W27" s="293" t="s">
        <v>376</v>
      </c>
      <c r="X27" s="293" t="s">
        <v>436</v>
      </c>
      <c r="Y27" s="292" t="s">
        <v>155</v>
      </c>
      <c r="Z27" s="295" t="s">
        <v>225</v>
      </c>
      <c r="AA27" s="292" t="s">
        <v>226</v>
      </c>
      <c r="AB27" s="294" t="s">
        <v>437</v>
      </c>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66"/>
      <c r="EG27" s="66"/>
      <c r="EH27" s="66"/>
      <c r="EI27" s="66"/>
      <c r="EJ27" s="66"/>
      <c r="EK27" s="66"/>
    </row>
    <row r="28" spans="1:141" ht="14" x14ac:dyDescent="0.15">
      <c r="A28" s="63" t="str">
        <f>'Tariff Jul 2017'!K16</f>
        <v>AGL</v>
      </c>
      <c r="B28" s="1" t="str">
        <f>'Tariff Jul 2017'!L16</f>
        <v xml:space="preserve">Savers </v>
      </c>
      <c r="C28" s="102">
        <f>91*'Tariff Jul 2017'!M16/100</f>
        <v>75.53</v>
      </c>
      <c r="D28" s="102">
        <f>$H$5*'Tariff Jul 2017'!N16/100</f>
        <v>271.35283200000003</v>
      </c>
      <c r="E28" s="102">
        <v>0</v>
      </c>
      <c r="F28" s="102">
        <v>0</v>
      </c>
      <c r="G28" s="102">
        <v>0</v>
      </c>
      <c r="H28" s="102">
        <f>($I$5)*'Tariff Jul 2017'!AE16/100</f>
        <v>39.274752000000007</v>
      </c>
      <c r="I28" s="102">
        <v>0</v>
      </c>
      <c r="J28" s="102">
        <f>SUM(C28:I28)</f>
        <v>386.15758400000004</v>
      </c>
      <c r="K28" s="298">
        <f>(J28-C28)*4</f>
        <v>1242.5103360000003</v>
      </c>
      <c r="L28" s="86">
        <f>J28*4</f>
        <v>1544.6303360000002</v>
      </c>
      <c r="M28" s="86">
        <f>L28*1.1</f>
        <v>1699.0933696000004</v>
      </c>
      <c r="N28" s="1">
        <f>'Tariff Jul 2017'!AW16</f>
        <v>0</v>
      </c>
      <c r="O28" s="1">
        <f>'Tariff Jul 2017'!AX16</f>
        <v>0</v>
      </c>
      <c r="P28" s="1">
        <f>'Tariff Jul 2017'!AY16</f>
        <v>0</v>
      </c>
      <c r="Q28" s="1">
        <f>'Tariff Jul 2017'!AZ16</f>
        <v>10</v>
      </c>
      <c r="R28" s="87">
        <f>($F$6*'Tariff Jul 2017'!AT16/100)*4</f>
        <v>520.69241600000009</v>
      </c>
      <c r="S28" s="298">
        <f>L28</f>
        <v>1544.6303360000002</v>
      </c>
      <c r="T28" s="298">
        <f>S28-(K28*Q28/100)</f>
        <v>1420.3793024000001</v>
      </c>
      <c r="U28" s="298">
        <f>S28-R28</f>
        <v>1023.9379200000001</v>
      </c>
      <c r="V28" s="298">
        <f>T28-R28</f>
        <v>899.68688640000005</v>
      </c>
      <c r="W28" s="300">
        <f>U28*1.1</f>
        <v>1126.3317120000002</v>
      </c>
      <c r="X28" s="300">
        <f>V28*1.1</f>
        <v>989.65557504000014</v>
      </c>
      <c r="Y28" s="88">
        <f>'Tariff Jul 2017'!AT16</f>
        <v>16.3</v>
      </c>
      <c r="Z28" s="89">
        <f>'Tariff Jul 2017'!BG16</f>
        <v>0</v>
      </c>
      <c r="AA28" s="89" t="str">
        <f>'Tariff Jul 2017'!BH16</f>
        <v>n</v>
      </c>
      <c r="AB28" s="90">
        <f>'Tariff Jul 2017'!G16</f>
        <v>41457</v>
      </c>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66"/>
      <c r="EG28" s="66"/>
      <c r="EH28" s="66"/>
      <c r="EI28" s="66"/>
      <c r="EJ28" s="66"/>
      <c r="EK28" s="66"/>
    </row>
    <row r="29" spans="1:141" ht="14" x14ac:dyDescent="0.15">
      <c r="A29" s="63" t="str">
        <f>'Tariff Jul 2017'!K17</f>
        <v>Alinta Energy</v>
      </c>
      <c r="B29" s="1" t="str">
        <f>'Tariff Jul 2017'!L17</f>
        <v>Fair Deal</v>
      </c>
      <c r="C29" s="102">
        <f>91*'Tariff Jul 2017'!M17/100</f>
        <v>88.433800000000005</v>
      </c>
      <c r="D29" s="102">
        <f>IF($H$5&gt;='Tariff Jul 2017'!P17,('Tariff Jul 2017'!P17*'Tariff Jul 2017'!N17/100),(($H$5)*'Tariff Jul 2017'!N17/100))</f>
        <v>117.09</v>
      </c>
      <c r="E29" s="102">
        <f>IF($H$5&lt;'Tariff Jul 2017'!P17,0,IF(($H$5-'Tariff Jul 2017'!P17)&lt;='Tariff Jul 2017'!R17,(($H$5-'Tariff Jul 2017'!P17)*'Tariff Jul 2017'!Q17/100),(('Tariff Jul 2017'!R17-'Tariff Jul 2017'!P17)*'Tariff Jul 2017'!Q17/100)))</f>
        <v>168.20189568000001</v>
      </c>
      <c r="F29" s="102">
        <f>IF($H$5&lt;'Tariff Jul 2017'!R17,0,IF(($H$5-'Tariff Jul 2017'!R17)&lt;='Tariff Jul 2017'!T17,(($H$5-'Tariff Jul 2017'!R17)*'Tariff Jul 2017'!S17/100),(('Tariff Jul 2017'!T17-'Tariff Jul 2017'!R17)*'Tariff Jul 2017'!S17/100)))</f>
        <v>0</v>
      </c>
      <c r="G29" s="102">
        <f>IF(($H$5&lt;'Tariff Jul 2017'!T17),(0),($H$5-'Tariff Jul 2017'!T17)*'Tariff Jul 2017'!U17/100)</f>
        <v>0</v>
      </c>
      <c r="H29" s="102">
        <f>IF($I$5&gt;='Tariff Jul 2017'!AF17,('Tariff Jul 2017'!AF17*'Tariff Jul 2017'!AE17/100),(($I$5)*'Tariff Jul 2017'!AE17/100))</f>
        <v>39.328308480000004</v>
      </c>
      <c r="I29" s="102">
        <f>IF((I5&lt;'Tariff Jul 2017'!AF17),(0),(I5-'Tariff Jul 2017'!AF17)*'Tariff Jul 2017'!AG17/100)</f>
        <v>0</v>
      </c>
      <c r="J29" s="102">
        <f t="shared" ref="J29:J41" si="8">SUM(C29:I29)</f>
        <v>413.05400415999998</v>
      </c>
      <c r="K29" s="298">
        <f>(J29-C29)*4</f>
        <v>1298.4808166399998</v>
      </c>
      <c r="L29" s="86">
        <f t="shared" ref="L29:L41" si="9">J29*4</f>
        <v>1652.2160166399999</v>
      </c>
      <c r="M29" s="86">
        <f t="shared" ref="M29:M41" si="10">L29*1.1</f>
        <v>1817.4376183040001</v>
      </c>
      <c r="N29" s="1">
        <f>'Tariff Jul 2017'!AW17</f>
        <v>0</v>
      </c>
      <c r="O29" s="1">
        <f>'Tariff Jul 2017'!AX17</f>
        <v>0</v>
      </c>
      <c r="P29" s="1">
        <f>'Tariff Jul 2017'!AY17</f>
        <v>0</v>
      </c>
      <c r="Q29" s="1">
        <f>'Tariff Jul 2017'!AZ17</f>
        <v>25</v>
      </c>
      <c r="R29" s="87">
        <f>($F$6*'Tariff Jul 2017'!AT17/100)*4</f>
        <v>217.22137600000002</v>
      </c>
      <c r="S29" s="298">
        <f t="shared" ref="S29:S36" si="11">L29</f>
        <v>1652.2160166399999</v>
      </c>
      <c r="T29" s="298">
        <f>S29-(K29*Q29/100)</f>
        <v>1327.5958124799999</v>
      </c>
      <c r="U29" s="298">
        <f t="shared" ref="U29:U41" si="12">S29-R29</f>
        <v>1434.9946406399999</v>
      </c>
      <c r="V29" s="298">
        <f t="shared" ref="V29:V41" si="13">T29-R29</f>
        <v>1110.37443648</v>
      </c>
      <c r="W29" s="300">
        <f t="shared" ref="W29:X41" si="14">U29*1.1</f>
        <v>1578.4941047040002</v>
      </c>
      <c r="X29" s="300">
        <f t="shared" si="14"/>
        <v>1221.4118801280001</v>
      </c>
      <c r="Y29" s="88">
        <f>'Tariff Jul 2017'!AT17</f>
        <v>6.8</v>
      </c>
      <c r="Z29" s="89">
        <f>'Tariff Jul 2017'!BG17</f>
        <v>0</v>
      </c>
      <c r="AA29" s="89" t="str">
        <f>'Tariff Jul 2017'!BH17</f>
        <v>n</v>
      </c>
      <c r="AB29" s="90">
        <f>'Tariff Jul 2017'!G17</f>
        <v>41449</v>
      </c>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66"/>
      <c r="EG29" s="66"/>
      <c r="EH29" s="66"/>
      <c r="EI29" s="66"/>
      <c r="EJ29" s="66"/>
      <c r="EK29" s="66"/>
    </row>
    <row r="30" spans="1:141" ht="14" x14ac:dyDescent="0.15">
      <c r="A30" s="63" t="str">
        <f>'Tariff Jul 2017'!K18</f>
        <v>Click Energy</v>
      </c>
      <c r="B30" s="1" t="str">
        <f>'Tariff Jul 2017'!L18</f>
        <v>Shine Plus</v>
      </c>
      <c r="C30" s="102">
        <f>91*'Tariff Jul 2017'!M18/100</f>
        <v>76.674779999999998</v>
      </c>
      <c r="D30" s="102">
        <f>IF($H$5&gt;='Tariff Jul 2017'!P18,('Tariff Jul 2017'!P18*'Tariff Jul 2017'!N18/100),(($H$5)*'Tariff Jul 2017'!N18/100))</f>
        <v>317.43996825600004</v>
      </c>
      <c r="E30" s="102">
        <v>0</v>
      </c>
      <c r="F30" s="102">
        <v>0</v>
      </c>
      <c r="G30" s="102">
        <f>IF(($H$5&lt;'Tariff Jul 2017'!T18),(0),($H$5-'Tariff Jul 2017'!T18)*'Tariff Jul 2017'!U18/100)</f>
        <v>0</v>
      </c>
      <c r="H30" s="102">
        <f>($I$5)*'Tariff Jul 2017'!AE18/100</f>
        <v>65.081834496000013</v>
      </c>
      <c r="I30" s="102">
        <v>0</v>
      </c>
      <c r="J30" s="102">
        <f t="shared" si="8"/>
        <v>459.19658275200004</v>
      </c>
      <c r="K30" s="298">
        <f t="shared" ref="K30:K41" si="15">(J30-C30)*4</f>
        <v>1530.0872110080002</v>
      </c>
      <c r="L30" s="86">
        <f t="shared" si="9"/>
        <v>1836.7863310080002</v>
      </c>
      <c r="M30" s="86">
        <f t="shared" si="10"/>
        <v>2020.4649641088004</v>
      </c>
      <c r="N30" s="1">
        <f>'Tariff Jul 2017'!AW18</f>
        <v>0</v>
      </c>
      <c r="O30" s="1">
        <f>'Tariff Jul 2017'!AX18</f>
        <v>0</v>
      </c>
      <c r="P30" s="1">
        <f>'Tariff Jul 2017'!AY18</f>
        <v>5</v>
      </c>
      <c r="Q30" s="1">
        <f>'Tariff Jul 2017'!AZ18</f>
        <v>0</v>
      </c>
      <c r="R30" s="87">
        <f>($F$6*'Tariff Jul 2017'!AT18/100)*4</f>
        <v>702.77503999999999</v>
      </c>
      <c r="S30" s="298">
        <f t="shared" si="11"/>
        <v>1836.7863310080002</v>
      </c>
      <c r="T30" s="298">
        <f>S30-(S30*P30/100)</f>
        <v>1744.9470144576001</v>
      </c>
      <c r="U30" s="298">
        <f t="shared" si="12"/>
        <v>1134.0112910080002</v>
      </c>
      <c r="V30" s="298">
        <f t="shared" si="13"/>
        <v>1042.1719744576001</v>
      </c>
      <c r="W30" s="300">
        <f t="shared" si="14"/>
        <v>1247.4124201088002</v>
      </c>
      <c r="X30" s="300">
        <f t="shared" si="14"/>
        <v>1146.3891719033602</v>
      </c>
      <c r="Y30" s="88">
        <f>'Tariff Jul 2017'!AT18</f>
        <v>22</v>
      </c>
      <c r="Z30" s="89">
        <f>'Tariff Jul 2017'!BG18</f>
        <v>0</v>
      </c>
      <c r="AA30" s="89" t="str">
        <f>'Tariff Jul 2017'!BH18</f>
        <v>n</v>
      </c>
      <c r="AB30" s="90">
        <f>'Tariff Jul 2017'!G18</f>
        <v>41455</v>
      </c>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66"/>
      <c r="EG30" s="66"/>
      <c r="EH30" s="66"/>
      <c r="EI30" s="66"/>
      <c r="EJ30" s="66"/>
      <c r="EK30" s="66"/>
    </row>
    <row r="31" spans="1:141" ht="14" x14ac:dyDescent="0.15">
      <c r="A31" s="63" t="str">
        <f>'Tariff Jul 2017'!K19</f>
        <v>Commander</v>
      </c>
      <c r="B31" s="1" t="str">
        <f>'Tariff Jul 2017'!L19</f>
        <v>Market offer</v>
      </c>
      <c r="C31" s="102">
        <f>91*'Tariff Jul 2017'!M19/100</f>
        <v>73.664500000000004</v>
      </c>
      <c r="D31" s="102">
        <f>IF($H$5&gt;='Tariff Jul 2017'!P19,('Tariff Jul 2017'!P19*'Tariff Jul 2017'!N19/100),(($H$5)*'Tariff Jul 2017'!N19/100))</f>
        <v>292.0613376</v>
      </c>
      <c r="E31" s="102">
        <v>0</v>
      </c>
      <c r="F31" s="102">
        <v>0</v>
      </c>
      <c r="G31" s="102">
        <f>IF(($H$5&lt;'Tariff Jul 2017'!T19),(0),($H$5-'Tariff Jul 2017'!T19)*'Tariff Jul 2017'!U19/100)</f>
        <v>0</v>
      </c>
      <c r="H31" s="102">
        <f>($I$5)*'Tariff Jul 2017'!AE19/100</f>
        <v>40.149507839999998</v>
      </c>
      <c r="I31" s="102">
        <v>0</v>
      </c>
      <c r="J31" s="102">
        <f t="shared" si="8"/>
        <v>405.87534543999999</v>
      </c>
      <c r="K31" s="298">
        <f t="shared" si="15"/>
        <v>1328.8433817599998</v>
      </c>
      <c r="L31" s="86">
        <f t="shared" si="9"/>
        <v>1623.50138176</v>
      </c>
      <c r="M31" s="86">
        <f t="shared" si="10"/>
        <v>1785.8515199360002</v>
      </c>
      <c r="N31" s="1">
        <f>'Tariff Jul 2017'!AW19</f>
        <v>0</v>
      </c>
      <c r="O31" s="1">
        <f>'Tariff Jul 2017'!AX19</f>
        <v>0</v>
      </c>
      <c r="P31" s="1">
        <f>'Tariff Jul 2017'!AY19</f>
        <v>0</v>
      </c>
      <c r="Q31" s="1">
        <f>'Tariff Jul 2017'!AZ19</f>
        <v>20</v>
      </c>
      <c r="R31" s="87">
        <f>($F$6*'Tariff Jul 2017'!AT19/100)*4</f>
        <v>370.55411200000003</v>
      </c>
      <c r="S31" s="298">
        <f t="shared" si="11"/>
        <v>1623.50138176</v>
      </c>
      <c r="T31" s="298">
        <f>S31-(K31*Q31/100)</f>
        <v>1357.7327054080001</v>
      </c>
      <c r="U31" s="298">
        <f t="shared" si="12"/>
        <v>1252.9472697599999</v>
      </c>
      <c r="V31" s="298">
        <f t="shared" si="13"/>
        <v>987.1785934080001</v>
      </c>
      <c r="W31" s="300">
        <f t="shared" si="14"/>
        <v>1378.2419967359999</v>
      </c>
      <c r="X31" s="300">
        <f t="shared" si="14"/>
        <v>1085.8964527488001</v>
      </c>
      <c r="Y31" s="88">
        <f>'Tariff Jul 2017'!AT19</f>
        <v>11.6</v>
      </c>
      <c r="Z31" s="89">
        <f>'Tariff Jul 2017'!BG19</f>
        <v>0</v>
      </c>
      <c r="AA31" s="89" t="str">
        <f>'Tariff Jul 2017'!BH19</f>
        <v>n</v>
      </c>
      <c r="AB31" s="90">
        <f>'Tariff Jul 2017'!G19</f>
        <v>41495</v>
      </c>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66"/>
      <c r="EG31" s="66"/>
      <c r="EH31" s="66"/>
      <c r="EI31" s="66"/>
      <c r="EJ31" s="66"/>
      <c r="EK31" s="66"/>
    </row>
    <row r="32" spans="1:141" ht="14" x14ac:dyDescent="0.15">
      <c r="A32" s="63" t="str">
        <f>'Tariff Jul 2017'!K20</f>
        <v>Diamond Energy</v>
      </c>
      <c r="B32" s="1" t="str">
        <f>'Tariff Jul 2017'!L20</f>
        <v>Pay on time discount</v>
      </c>
      <c r="C32" s="102">
        <f>91*'Tariff Jul 2017'!M20/100</f>
        <v>79.124499999999998</v>
      </c>
      <c r="D32" s="102">
        <f>IF($H$5&gt;='Tariff Jul 2017'!P20,('Tariff Jul 2017'!P20*'Tariff Jul 2017'!N20/100),(($H$5)*'Tariff Jul 2017'!N20/100))</f>
        <v>99.78</v>
      </c>
      <c r="E32" s="102">
        <f>IF($H$5&lt;'Tariff Jul 2017'!P20,0,IF(($H$5-'Tariff Jul 2017'!P20)&lt;='Tariff Jul 2017'!R20,(($H$5-'Tariff Jul 2017'!P20)*'Tariff Jul 2017'!Q20/100),(('Tariff Jul 2017'!R20-'Tariff Jul 2017'!P20)*'Tariff Jul 2017'!Q20/100)))</f>
        <v>148.61560896</v>
      </c>
      <c r="F32" s="102">
        <f>IF($H$5&lt;'Tariff Jul 2017'!R20,0,IF(($H$5-'Tariff Jul 2017'!R20)&lt;='Tariff Jul 2017'!T20,(($H$5-'Tariff Jul 2017'!R20)*'Tariff Jul 2017'!S20/100),(('Tariff Jul 2017'!T20-'Tariff Jul 2017'!R20)*'Tariff Jul 2017'!S20/100)))</f>
        <v>0</v>
      </c>
      <c r="G32" s="102">
        <f>IF(($H$5&lt;'Tariff Jul 2017'!T20),(0),($H$5-'Tariff Jul 2017'!T20)*'Tariff Jul 2017'!U20/100)</f>
        <v>0</v>
      </c>
      <c r="H32" s="102">
        <f>($I$5)*'Tariff Jul 2017'!AE20/100</f>
        <v>35.615059199999997</v>
      </c>
      <c r="I32" s="102">
        <v>0</v>
      </c>
      <c r="J32" s="102">
        <f t="shared" si="8"/>
        <v>363.13516816000003</v>
      </c>
      <c r="K32" s="298">
        <f t="shared" si="15"/>
        <v>1136.0426726400001</v>
      </c>
      <c r="L32" s="86">
        <f t="shared" si="9"/>
        <v>1452.5406726400001</v>
      </c>
      <c r="M32" s="86">
        <f t="shared" si="10"/>
        <v>1597.7947399040004</v>
      </c>
      <c r="N32" s="1">
        <f>'Tariff Jul 2017'!AW20</f>
        <v>0</v>
      </c>
      <c r="O32" s="1">
        <f>'Tariff Jul 2017'!AX20</f>
        <v>0</v>
      </c>
      <c r="P32" s="1">
        <f>'Tariff Jul 2017'!AY20</f>
        <v>7</v>
      </c>
      <c r="Q32" s="1">
        <f>'Tariff Jul 2017'!AZ20</f>
        <v>0</v>
      </c>
      <c r="R32" s="87">
        <f>($F$6*'Tariff Jul 2017'!AT20/100)*4</f>
        <v>383.33184</v>
      </c>
      <c r="S32" s="298">
        <f t="shared" si="11"/>
        <v>1452.5406726400001</v>
      </c>
      <c r="T32" s="298">
        <f>S32-(S32*P32/100)</f>
        <v>1350.8628255552001</v>
      </c>
      <c r="U32" s="298">
        <f t="shared" si="12"/>
        <v>1069.2088326400001</v>
      </c>
      <c r="V32" s="298">
        <f t="shared" si="13"/>
        <v>967.5309855552</v>
      </c>
      <c r="W32" s="300">
        <f t="shared" si="14"/>
        <v>1176.1297159040002</v>
      </c>
      <c r="X32" s="300">
        <f t="shared" si="14"/>
        <v>1064.2840841107202</v>
      </c>
      <c r="Y32" s="88">
        <f>'Tariff Jul 2017'!AT20</f>
        <v>12</v>
      </c>
      <c r="Z32" s="89">
        <f>'Tariff Jul 2017'!BG20</f>
        <v>24</v>
      </c>
      <c r="AA32" s="89" t="str">
        <f>'Tariff Jul 2017'!BH20</f>
        <v>y</v>
      </c>
      <c r="AB32" s="90">
        <f>'Tariff Jul 2017'!G20</f>
        <v>41455</v>
      </c>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66"/>
      <c r="EG32" s="66"/>
      <c r="EH32" s="66"/>
      <c r="EI32" s="66"/>
      <c r="EJ32" s="66"/>
      <c r="EK32" s="66"/>
    </row>
    <row r="33" spans="1:141" ht="14" x14ac:dyDescent="0.15">
      <c r="A33" s="63" t="str">
        <f>'Tariff Jul 2017'!K21</f>
        <v>Dodo Power &amp; Gas</v>
      </c>
      <c r="B33" s="1" t="str">
        <f>'Tariff Jul 2017'!L21</f>
        <v>Market offer</v>
      </c>
      <c r="C33" s="102">
        <f>91*'Tariff Jul 2017'!M21/100</f>
        <v>73.664500000000004</v>
      </c>
      <c r="D33" s="102">
        <f>IF($H$5&gt;='Tariff Jul 2017'!P21,('Tariff Jul 2017'!P21*'Tariff Jul 2017'!N21/100),(($H$5)*'Tariff Jul 2017'!N21/100))</f>
        <v>304.5578496</v>
      </c>
      <c r="E33" s="102">
        <v>0</v>
      </c>
      <c r="F33" s="102">
        <v>0</v>
      </c>
      <c r="G33" s="102">
        <f>IF(($H$5&lt;'Tariff Jul 2017'!T21),(0),($H$5-'Tariff Jul 2017'!T21)*'Tariff Jul 2017'!U21/100)</f>
        <v>0</v>
      </c>
      <c r="H33" s="102">
        <f>($I$5)*'Tariff Jul 2017'!AE21/100</f>
        <v>41.863315199999995</v>
      </c>
      <c r="I33" s="102">
        <v>0</v>
      </c>
      <c r="J33" s="102">
        <f t="shared" si="8"/>
        <v>420.08566480000002</v>
      </c>
      <c r="K33" s="298">
        <f t="shared" si="15"/>
        <v>1385.6846592000002</v>
      </c>
      <c r="L33" s="86">
        <f t="shared" si="9"/>
        <v>1680.3426592000001</v>
      </c>
      <c r="M33" s="86">
        <f t="shared" si="10"/>
        <v>1848.3769251200001</v>
      </c>
      <c r="N33" s="1">
        <f>'Tariff Jul 2017'!AW21</f>
        <v>0</v>
      </c>
      <c r="O33" s="1">
        <f>'Tariff Jul 2017'!AX21</f>
        <v>0</v>
      </c>
      <c r="P33" s="1">
        <f>'Tariff Jul 2017'!AY21</f>
        <v>0</v>
      </c>
      <c r="Q33" s="1">
        <f>'Tariff Jul 2017'!AZ21</f>
        <v>0</v>
      </c>
      <c r="R33" s="87">
        <f>($F$6*'Tariff Jul 2017'!AT21/100)*4</f>
        <v>370.55411200000003</v>
      </c>
      <c r="S33" s="298">
        <f t="shared" si="11"/>
        <v>1680.3426592000001</v>
      </c>
      <c r="T33" s="298">
        <f>S33-(K33*Q33/100)</f>
        <v>1680.3426592000001</v>
      </c>
      <c r="U33" s="298">
        <f t="shared" si="12"/>
        <v>1309.7885472</v>
      </c>
      <c r="V33" s="298">
        <f t="shared" si="13"/>
        <v>1309.7885472</v>
      </c>
      <c r="W33" s="300">
        <f t="shared" si="14"/>
        <v>1440.7674019200001</v>
      </c>
      <c r="X33" s="300">
        <f t="shared" si="14"/>
        <v>1440.7674019200001</v>
      </c>
      <c r="Y33" s="88">
        <f>'Tariff Jul 2017'!AT21</f>
        <v>11.6</v>
      </c>
      <c r="Z33" s="89">
        <f>'Tariff Jul 2017'!BG21</f>
        <v>0</v>
      </c>
      <c r="AA33" s="89" t="str">
        <f>'Tariff Jul 2017'!BH21</f>
        <v>n</v>
      </c>
      <c r="AB33" s="90">
        <f>'Tariff Jul 2017'!G21</f>
        <v>41495</v>
      </c>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66"/>
      <c r="EG33" s="66"/>
      <c r="EH33" s="66"/>
      <c r="EI33" s="66"/>
      <c r="EJ33" s="66"/>
      <c r="EK33" s="66"/>
    </row>
    <row r="34" spans="1:141" ht="14" x14ac:dyDescent="0.15">
      <c r="A34" s="63" t="str">
        <f>'Tariff Jul 2017'!K22</f>
        <v>EnergyAustralia</v>
      </c>
      <c r="B34" s="1" t="str">
        <f>'Tariff Jul 2017'!L22</f>
        <v xml:space="preserve">Flexi Saver </v>
      </c>
      <c r="C34" s="102">
        <f>91*'Tariff Jul 2017'!M22/100</f>
        <v>81.536000000000001</v>
      </c>
      <c r="D34" s="102">
        <f>IF($H$5&gt;='Tariff Jul 2017'!P22,('Tariff Jul 2017'!P22*'Tariff Jul 2017'!N22/100),(($H$5)*'Tariff Jul 2017'!N22/100))</f>
        <v>301.84432128000003</v>
      </c>
      <c r="E34" s="102">
        <v>0</v>
      </c>
      <c r="F34" s="102">
        <v>0</v>
      </c>
      <c r="G34" s="102">
        <f>IF(($H$5&lt;'Tariff Jul 2017'!T22),(0),($H$5-'Tariff Jul 2017'!T22)*'Tariff Jul 2017'!U22/100)</f>
        <v>0</v>
      </c>
      <c r="H34" s="102">
        <f>($I$5)*'Tariff Jul 2017'!AE22/100</f>
        <v>30.188002560000001</v>
      </c>
      <c r="I34" s="102">
        <v>0</v>
      </c>
      <c r="J34" s="102">
        <f t="shared" si="8"/>
        <v>413.56832384000006</v>
      </c>
      <c r="K34" s="298">
        <f t="shared" si="15"/>
        <v>1328.1292953600002</v>
      </c>
      <c r="L34" s="86">
        <f t="shared" si="9"/>
        <v>1654.2732953600002</v>
      </c>
      <c r="M34" s="86">
        <f t="shared" si="10"/>
        <v>1819.7006248960004</v>
      </c>
      <c r="N34" s="1">
        <f>'Tariff Jul 2017'!AW22</f>
        <v>0</v>
      </c>
      <c r="O34" s="1">
        <f>'Tariff Jul 2017'!AX22</f>
        <v>0</v>
      </c>
      <c r="P34" s="1">
        <f>'Tariff Jul 2017'!AY22</f>
        <v>0</v>
      </c>
      <c r="Q34" s="1">
        <f>'Tariff Jul 2017'!AZ22</f>
        <v>18</v>
      </c>
      <c r="R34" s="87">
        <f>($F$6*'Tariff Jul 2017'!AT22/100)*4</f>
        <v>479.16480000000001</v>
      </c>
      <c r="S34" s="298">
        <f t="shared" si="11"/>
        <v>1654.2732953600002</v>
      </c>
      <c r="T34" s="298">
        <f>S34-(K34*Q34/100)</f>
        <v>1415.2100221952003</v>
      </c>
      <c r="U34" s="298">
        <f t="shared" si="12"/>
        <v>1175.1084953600002</v>
      </c>
      <c r="V34" s="298">
        <f t="shared" si="13"/>
        <v>936.04522219520027</v>
      </c>
      <c r="W34" s="300">
        <f t="shared" si="14"/>
        <v>1292.6193448960003</v>
      </c>
      <c r="X34" s="300">
        <f t="shared" si="14"/>
        <v>1029.6497444147203</v>
      </c>
      <c r="Y34" s="88">
        <f>'Tariff Jul 2017'!AT22</f>
        <v>15</v>
      </c>
      <c r="Z34" s="89">
        <f>'Tariff Jul 2017'!BG22</f>
        <v>0</v>
      </c>
      <c r="AA34" s="89" t="str">
        <f>'Tariff Jul 2017'!BH22</f>
        <v>n</v>
      </c>
      <c r="AB34" s="90">
        <f>'Tariff Jul 2017'!G22</f>
        <v>41467</v>
      </c>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c r="DO34" s="109"/>
      <c r="DP34" s="109"/>
      <c r="DQ34" s="109"/>
      <c r="DR34" s="109"/>
      <c r="DS34" s="109"/>
      <c r="DT34" s="109"/>
      <c r="DU34" s="109"/>
      <c r="DV34" s="109"/>
      <c r="DW34" s="109"/>
      <c r="DX34" s="109"/>
      <c r="DY34" s="109"/>
      <c r="DZ34" s="109"/>
      <c r="EA34" s="109"/>
      <c r="EB34" s="109"/>
      <c r="EC34" s="109"/>
      <c r="ED34" s="109"/>
      <c r="EE34" s="109"/>
      <c r="EF34" s="66"/>
      <c r="EG34" s="66"/>
      <c r="EH34" s="66"/>
      <c r="EI34" s="66"/>
      <c r="EJ34" s="66"/>
      <c r="EK34" s="66"/>
    </row>
    <row r="35" spans="1:141" ht="14" x14ac:dyDescent="0.15">
      <c r="A35" s="63" t="str">
        <f>'Tariff Jul 2017'!K23</f>
        <v>Lumo Energy</v>
      </c>
      <c r="B35" s="1" t="str">
        <f>'Tariff Jul 2017'!L23</f>
        <v>Advantage</v>
      </c>
      <c r="C35" s="102">
        <f>91*'Tariff Jul 2017'!M23/100</f>
        <v>78.123499999999993</v>
      </c>
      <c r="D35" s="102">
        <f>IF($H$5&gt;='Tariff Jul 2017'!P23,('Tariff Jul 2017'!P23*'Tariff Jul 2017'!N23/100),(($H$5)*'Tariff Jul 2017'!N23/100))</f>
        <v>269.21057280000002</v>
      </c>
      <c r="E35" s="102">
        <v>0</v>
      </c>
      <c r="F35" s="102">
        <v>0</v>
      </c>
      <c r="G35" s="102">
        <f>IF(($H$5&lt;'Tariff Jul 2017'!T23),(0),($H$5-'Tariff Jul 2017'!T23)*'Tariff Jul 2017'!U23/100)</f>
        <v>0</v>
      </c>
      <c r="H35" s="102">
        <f>($I$5)*'Tariff Jul 2017'!AE23/100</f>
        <v>34.633190399999997</v>
      </c>
      <c r="I35" s="102">
        <v>0</v>
      </c>
      <c r="J35" s="102">
        <f t="shared" si="8"/>
        <v>381.96726319999999</v>
      </c>
      <c r="K35" s="298">
        <f t="shared" si="15"/>
        <v>1215.3750528</v>
      </c>
      <c r="L35" s="86">
        <f t="shared" si="9"/>
        <v>1527.8690528</v>
      </c>
      <c r="M35" s="86">
        <f t="shared" si="10"/>
        <v>1680.6559580800001</v>
      </c>
      <c r="N35" s="1">
        <f>'Tariff Jul 2017'!AW23</f>
        <v>0</v>
      </c>
      <c r="O35" s="1">
        <f>'Tariff Jul 2017'!AX23</f>
        <v>0</v>
      </c>
      <c r="P35" s="1">
        <f>'Tariff Jul 2017'!AY23</f>
        <v>10</v>
      </c>
      <c r="Q35" s="1">
        <f>'Tariff Jul 2017'!AZ23</f>
        <v>0</v>
      </c>
      <c r="R35" s="87">
        <f>($F$6*'Tariff Jul 2017'!AT23/100)*4</f>
        <v>511.10912000000002</v>
      </c>
      <c r="S35" s="298">
        <f t="shared" si="11"/>
        <v>1527.8690528</v>
      </c>
      <c r="T35" s="298">
        <f>S35-(S35*P35/100)</f>
        <v>1375.08214752</v>
      </c>
      <c r="U35" s="298">
        <f t="shared" si="12"/>
        <v>1016.7599327999999</v>
      </c>
      <c r="V35" s="298">
        <f t="shared" si="13"/>
        <v>863.97302751999996</v>
      </c>
      <c r="W35" s="300">
        <f t="shared" si="14"/>
        <v>1118.4359260799999</v>
      </c>
      <c r="X35" s="300">
        <f t="shared" si="14"/>
        <v>950.37033027200005</v>
      </c>
      <c r="Y35" s="88">
        <f>'Tariff Jul 2017'!AT23</f>
        <v>16</v>
      </c>
      <c r="Z35" s="89">
        <f>'Tariff Jul 2017'!BG23</f>
        <v>0</v>
      </c>
      <c r="AA35" s="89" t="str">
        <f>'Tariff Jul 2017'!BH23</f>
        <v>n</v>
      </c>
      <c r="AB35" s="90">
        <f>'Tariff Jul 2017'!G23</f>
        <v>41468</v>
      </c>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66"/>
      <c r="EG35" s="66"/>
      <c r="EH35" s="66"/>
      <c r="EI35" s="66"/>
      <c r="EJ35" s="66"/>
      <c r="EK35" s="66"/>
    </row>
    <row r="36" spans="1:141" ht="14" x14ac:dyDescent="0.15">
      <c r="A36" s="63" t="str">
        <f>'Tariff Jul 2017'!K24</f>
        <v>Momentum Energy</v>
      </c>
      <c r="B36" s="1" t="str">
        <f>'Tariff Jul 2017'!L24</f>
        <v>SmilePower</v>
      </c>
      <c r="C36" s="102">
        <f>91*'Tariff Jul 2017'!M24/100</f>
        <v>75.156900000000007</v>
      </c>
      <c r="D36" s="102">
        <f>IF($H$5&gt;='Tariff Jul 2017'!P24,('Tariff Jul 2017'!P24*'Tariff Jul 2017'!N24/100),(($H$5)*'Tariff Jul 2017'!N24/100))</f>
        <v>240.24</v>
      </c>
      <c r="E36" s="102">
        <v>0</v>
      </c>
      <c r="F36" s="102">
        <v>0</v>
      </c>
      <c r="G36" s="102">
        <f>IF(($H$5&lt;'Tariff Jul 2017'!T24),(0),($H$5-'Tariff Jul 2017'!T24)*'Tariff Jul 2017'!U24/100)</f>
        <v>44.767503360000006</v>
      </c>
      <c r="H36" s="102">
        <f>($I$5)*'Tariff Jul 2017'!AE24/100</f>
        <v>38.489256959999999</v>
      </c>
      <c r="I36" s="102">
        <v>0</v>
      </c>
      <c r="J36" s="102">
        <f t="shared" si="8"/>
        <v>398.65366032000003</v>
      </c>
      <c r="K36" s="298">
        <f t="shared" si="15"/>
        <v>1293.9870412800001</v>
      </c>
      <c r="L36" s="86">
        <f t="shared" si="9"/>
        <v>1594.6146412800001</v>
      </c>
      <c r="M36" s="86">
        <f t="shared" si="10"/>
        <v>1754.0761054080003</v>
      </c>
      <c r="N36" s="1">
        <f>'Tariff Jul 2017'!AW24</f>
        <v>0</v>
      </c>
      <c r="O36" s="1">
        <f>'Tariff Jul 2017'!AX24</f>
        <v>0</v>
      </c>
      <c r="P36" s="1">
        <f>'Tariff Jul 2017'!AY24</f>
        <v>0</v>
      </c>
      <c r="Q36" s="1">
        <f>'Tariff Jul 2017'!AZ24</f>
        <v>0</v>
      </c>
      <c r="R36" s="87">
        <f>($F$6*'Tariff Jul 2017'!AT24/100)*4</f>
        <v>217.22137600000002</v>
      </c>
      <c r="S36" s="298">
        <f t="shared" si="11"/>
        <v>1594.6146412800001</v>
      </c>
      <c r="T36" s="298">
        <f>S36</f>
        <v>1594.6146412800001</v>
      </c>
      <c r="U36" s="298">
        <f t="shared" si="12"/>
        <v>1377.3932652800002</v>
      </c>
      <c r="V36" s="298">
        <f t="shared" si="13"/>
        <v>1377.3932652800002</v>
      </c>
      <c r="W36" s="300">
        <f t="shared" si="14"/>
        <v>1515.1325918080004</v>
      </c>
      <c r="X36" s="300">
        <f t="shared" si="14"/>
        <v>1515.1325918080004</v>
      </c>
      <c r="Y36" s="88">
        <f>'Tariff Jul 2017'!AT24</f>
        <v>6.8</v>
      </c>
      <c r="Z36" s="89">
        <f>'Tariff Jul 2017'!BG24</f>
        <v>12</v>
      </c>
      <c r="AA36" s="89" t="str">
        <f>'Tariff Jul 2017'!BH24</f>
        <v>y</v>
      </c>
      <c r="AB36" s="90">
        <f>'Tariff Jul 2017'!G24</f>
        <v>41469</v>
      </c>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66"/>
      <c r="EG36" s="66"/>
      <c r="EH36" s="66"/>
      <c r="EI36" s="66"/>
      <c r="EJ36" s="66"/>
      <c r="EK36" s="66"/>
    </row>
    <row r="37" spans="1:141" ht="14" x14ac:dyDescent="0.15">
      <c r="A37" s="63" t="str">
        <f>'Tariff Jul 2017'!K25</f>
        <v>Origin Energy</v>
      </c>
      <c r="B37" s="1" t="str">
        <f>'Tariff Jul 2017'!L25</f>
        <v>Solar Boost Plus</v>
      </c>
      <c r="C37" s="102">
        <f>91*'Tariff Jul 2017'!M25/100</f>
        <v>75.484499999999997</v>
      </c>
      <c r="D37" s="102">
        <f>IF($H$5&gt;='Tariff Jul 2017'!P25,('Tariff Jul 2017'!P25*'Tariff Jul 2017'!N25/100),(($H$5)*'Tariff Jul 2017'!N25/100))</f>
        <v>262.42675200000002</v>
      </c>
      <c r="E37" s="102">
        <v>0</v>
      </c>
      <c r="F37" s="102">
        <v>0</v>
      </c>
      <c r="G37" s="102">
        <f>IF(($H$5&lt;'Tariff Jul 2017'!T25),(0),($H$5-'Tariff Jul 2017'!T25)*'Tariff Jul 2017'!U25/100)</f>
        <v>0</v>
      </c>
      <c r="H37" s="102">
        <f>($I$5)*'Tariff Jul 2017'!AE25/100</f>
        <v>34.365408000000002</v>
      </c>
      <c r="I37" s="102">
        <v>0</v>
      </c>
      <c r="J37" s="102">
        <f t="shared" si="8"/>
        <v>372.27665999999999</v>
      </c>
      <c r="K37" s="298">
        <f t="shared" si="15"/>
        <v>1187.1686399999999</v>
      </c>
      <c r="L37" s="86">
        <f t="shared" si="9"/>
        <v>1489.10664</v>
      </c>
      <c r="M37" s="86">
        <f t="shared" si="10"/>
        <v>1638.0173040000002</v>
      </c>
      <c r="N37" s="1">
        <f>'Tariff Jul 2017'!AW25</f>
        <v>0</v>
      </c>
      <c r="O37" s="1">
        <f>'Tariff Jul 2017'!AX25</f>
        <v>12</v>
      </c>
      <c r="P37" s="1">
        <f>'Tariff Jul 2017'!AY25</f>
        <v>0</v>
      </c>
      <c r="Q37" s="1">
        <f>'Tariff Jul 2017'!AZ25</f>
        <v>0</v>
      </c>
      <c r="R37" s="87">
        <f>($F$6*'Tariff Jul 2017'!AT25/100)*4</f>
        <v>638.88640000000009</v>
      </c>
      <c r="S37" s="298">
        <f>L37-(K37*O37/100)</f>
        <v>1346.6464031999999</v>
      </c>
      <c r="T37" s="298">
        <f>S37</f>
        <v>1346.6464031999999</v>
      </c>
      <c r="U37" s="298">
        <f t="shared" si="12"/>
        <v>707.7600031999998</v>
      </c>
      <c r="V37" s="298">
        <f t="shared" si="13"/>
        <v>707.7600031999998</v>
      </c>
      <c r="W37" s="300">
        <f t="shared" si="14"/>
        <v>778.53600351999989</v>
      </c>
      <c r="X37" s="300">
        <f t="shared" si="14"/>
        <v>778.53600351999989</v>
      </c>
      <c r="Y37" s="88">
        <f>'Tariff Jul 2017'!AT25</f>
        <v>20</v>
      </c>
      <c r="Z37" s="89">
        <f>'Tariff Jul 2017'!BG25</f>
        <v>0</v>
      </c>
      <c r="AA37" s="89" t="str">
        <f>'Tariff Jul 2017'!BH25</f>
        <v>n</v>
      </c>
      <c r="AB37" s="90">
        <f>'Tariff Jul 2017'!G25</f>
        <v>41455</v>
      </c>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66"/>
      <c r="EG37" s="66"/>
      <c r="EH37" s="66"/>
      <c r="EI37" s="66"/>
      <c r="EJ37" s="66"/>
      <c r="EK37" s="66"/>
    </row>
    <row r="38" spans="1:141" ht="14" x14ac:dyDescent="0.15">
      <c r="A38" s="63" t="str">
        <f>'Tariff Jul 2017'!K26</f>
        <v>Powerdirect</v>
      </c>
      <c r="B38" s="1" t="str">
        <f>'Tariff Jul 2017'!L26</f>
        <v>Market offer</v>
      </c>
      <c r="C38" s="102">
        <f>91*'Tariff Jul 2017'!M26/100</f>
        <v>75.53</v>
      </c>
      <c r="D38" s="102">
        <f>$H$5*'Tariff Jul 2017'!N26/100</f>
        <v>271.35283200000003</v>
      </c>
      <c r="E38" s="102">
        <v>0</v>
      </c>
      <c r="F38" s="102">
        <v>0</v>
      </c>
      <c r="G38" s="102">
        <v>0</v>
      </c>
      <c r="H38" s="102">
        <f>($I$5)*'Tariff Jul 2017'!AE26/100</f>
        <v>49.986048000000004</v>
      </c>
      <c r="I38" s="102">
        <v>0</v>
      </c>
      <c r="J38" s="102">
        <f t="shared" si="8"/>
        <v>396.86887999999999</v>
      </c>
      <c r="K38" s="298">
        <f t="shared" si="15"/>
        <v>1285.3555200000001</v>
      </c>
      <c r="L38" s="86">
        <f t="shared" si="9"/>
        <v>1587.47552</v>
      </c>
      <c r="M38" s="86">
        <f t="shared" si="10"/>
        <v>1746.223072</v>
      </c>
      <c r="N38" s="1">
        <f>'Tariff Jul 2017'!AW26</f>
        <v>0</v>
      </c>
      <c r="O38" s="1">
        <f>'Tariff Jul 2017'!AX26</f>
        <v>0</v>
      </c>
      <c r="P38" s="1">
        <f>'Tariff Jul 2017'!AY26</f>
        <v>0</v>
      </c>
      <c r="Q38" s="1">
        <f>'Tariff Jul 2017'!AZ26</f>
        <v>14</v>
      </c>
      <c r="R38" s="87">
        <f>($F$6*'Tariff Jul 2017'!AT26/100)*4</f>
        <v>520.69241600000009</v>
      </c>
      <c r="S38" s="298">
        <f t="shared" ref="S38:S41" si="16">L38</f>
        <v>1587.47552</v>
      </c>
      <c r="T38" s="298">
        <f>S38-(K38*Q38/100)</f>
        <v>1407.5257471999998</v>
      </c>
      <c r="U38" s="298">
        <f t="shared" si="12"/>
        <v>1066.7831039999999</v>
      </c>
      <c r="V38" s="298">
        <f t="shared" si="13"/>
        <v>886.83333119999975</v>
      </c>
      <c r="W38" s="300">
        <f t="shared" si="14"/>
        <v>1173.4614144</v>
      </c>
      <c r="X38" s="300">
        <f t="shared" si="14"/>
        <v>975.51666431999979</v>
      </c>
      <c r="Y38" s="88">
        <f>'Tariff Jul 2017'!AT26</f>
        <v>16.3</v>
      </c>
      <c r="Z38" s="89">
        <f>'Tariff Jul 2017'!BG26</f>
        <v>24</v>
      </c>
      <c r="AA38" s="89" t="str">
        <f>'Tariff Jul 2017'!BH26</f>
        <v>n</v>
      </c>
      <c r="AB38" s="90">
        <f>'Tariff Jul 2017'!G26</f>
        <v>41455</v>
      </c>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66"/>
      <c r="EG38" s="66"/>
      <c r="EH38" s="66"/>
      <c r="EI38" s="66"/>
      <c r="EJ38" s="66"/>
      <c r="EK38" s="66"/>
    </row>
    <row r="39" spans="1:141" ht="14" x14ac:dyDescent="0.15">
      <c r="A39" s="63" t="str">
        <f>'Tariff Jul 2017'!K27</f>
        <v>Sanctuary Energy</v>
      </c>
      <c r="B39" s="1" t="str">
        <f>'Tariff Jul 2017'!L27</f>
        <v>Negotiated contract</v>
      </c>
      <c r="C39" s="102">
        <f>91*'Tariff Jul 2017'!M27/100</f>
        <v>68.692260000000005</v>
      </c>
      <c r="D39" s="102">
        <f>IF($H$5&gt;='Tariff Jul 2017'!P27,('Tariff Jul 2017'!P27*'Tariff Jul 2017'!N27/100),(($H$5)*'Tariff Jul 2017'!N27/100))</f>
        <v>100.49849999999998</v>
      </c>
      <c r="E39" s="102">
        <f>IF($H$5&lt;'Tariff Jul 2017'!P27,0,IF(($H$5-'Tariff Jul 2017'!P27)&lt;='Tariff Jul 2017'!R27,(($H$5-'Tariff Jul 2017'!P27)*'Tariff Jul 2017'!Q27/100),(('Tariff Jul 2017'!R27-'Tariff Jul 2017'!P27)*'Tariff Jul 2017'!Q27/100)))</f>
        <v>141.33597004800001</v>
      </c>
      <c r="F39" s="102">
        <f>IF($H$5&lt;'Tariff Jul 2017'!R27,0,IF(($H$5-'Tariff Jul 2017'!R27)&lt;='Tariff Jul 2017'!T27,(($H$5-'Tariff Jul 2017'!R27)*'Tariff Jul 2017'!S27/100),(('Tariff Jul 2017'!T27-'Tariff Jul 2017'!R27)*'Tariff Jul 2017'!S27/100)))</f>
        <v>0</v>
      </c>
      <c r="G39" s="102">
        <f>IF(($H$5&lt;'Tariff Jul 2017'!T27),(0),($H$5-'Tariff Jul 2017'!T27)*'Tariff Jul 2017'!U27/100)</f>
        <v>0</v>
      </c>
      <c r="H39" s="102">
        <f>IF($I$5&gt;='Tariff Jul 2017'!AF27,('Tariff Jul 2017'!AF27*'Tariff Jul 2017'!AE27/100),(($I$5)*'Tariff Jul 2017'!AE27/100))</f>
        <v>28.926747455999998</v>
      </c>
      <c r="I39" s="102">
        <f>IF((I15&lt;'Tariff Jul 2017'!AF27),(0),(I15-'Tariff Jul 2017'!AF27)*'Tariff Jul 2017'!AG27/100)</f>
        <v>0</v>
      </c>
      <c r="J39" s="102">
        <f t="shared" si="8"/>
        <v>339.45347750399998</v>
      </c>
      <c r="K39" s="298">
        <f t="shared" si="15"/>
        <v>1083.044870016</v>
      </c>
      <c r="L39" s="86">
        <f t="shared" si="9"/>
        <v>1357.8139100159999</v>
      </c>
      <c r="M39" s="86">
        <f t="shared" si="10"/>
        <v>1493.5953010175999</v>
      </c>
      <c r="N39" s="1">
        <f>'Tariff Jul 2017'!AW27</f>
        <v>0</v>
      </c>
      <c r="O39" s="1">
        <f>'Tariff Jul 2017'!AX27</f>
        <v>0</v>
      </c>
      <c r="P39" s="1">
        <f>'Tariff Jul 2017'!AY27</f>
        <v>0</v>
      </c>
      <c r="Q39" s="1">
        <f>'Tariff Jul 2017'!AZ27</f>
        <v>0</v>
      </c>
      <c r="R39" s="87">
        <f>($F$6*'Tariff Jul 2017'!AT27/100)*4</f>
        <v>217.22137600000002</v>
      </c>
      <c r="S39" s="298">
        <f t="shared" si="16"/>
        <v>1357.8139100159999</v>
      </c>
      <c r="T39" s="298">
        <f>S39</f>
        <v>1357.8139100159999</v>
      </c>
      <c r="U39" s="298">
        <f t="shared" si="12"/>
        <v>1140.5925340159999</v>
      </c>
      <c r="V39" s="298">
        <f t="shared" si="13"/>
        <v>1140.5925340159999</v>
      </c>
      <c r="W39" s="300">
        <f t="shared" si="14"/>
        <v>1254.6517874176</v>
      </c>
      <c r="X39" s="300">
        <f t="shared" si="14"/>
        <v>1254.6517874176</v>
      </c>
      <c r="Y39" s="88">
        <f>'Tariff Jul 2017'!AT27</f>
        <v>6.8</v>
      </c>
      <c r="Z39" s="89">
        <f>'Tariff Jul 2017'!BG27</f>
        <v>36</v>
      </c>
      <c r="AA39" s="89" t="str">
        <f>'Tariff Jul 2017'!BH27</f>
        <v>n</v>
      </c>
      <c r="AB39" s="90">
        <f>'Tariff Jul 2017'!G27</f>
        <v>41455</v>
      </c>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66"/>
      <c r="EG39" s="66"/>
      <c r="EH39" s="66"/>
      <c r="EI39" s="66"/>
      <c r="EJ39" s="66"/>
      <c r="EK39" s="66"/>
    </row>
    <row r="40" spans="1:141" ht="14" x14ac:dyDescent="0.15">
      <c r="A40" s="63" t="str">
        <f>'Tariff Jul 2017'!K28</f>
        <v>Simply Energy</v>
      </c>
      <c r="B40" s="1" t="str">
        <f>'Tariff Jul 2017'!L28</f>
        <v>Plus</v>
      </c>
      <c r="C40" s="102">
        <f>91*'Tariff Jul 2017'!M28/100</f>
        <v>57.921499999999995</v>
      </c>
      <c r="D40" s="102">
        <f>IF($H$5&gt;='Tariff Jul 2017'!P28,('Tariff Jul 2017'!P28*'Tariff Jul 2017'!N28/100),(($H$5)*'Tariff Jul 2017'!N28/100))</f>
        <v>231.64962815999999</v>
      </c>
      <c r="E40" s="102">
        <v>0</v>
      </c>
      <c r="F40" s="102">
        <v>0</v>
      </c>
      <c r="G40" s="102">
        <f>IF(($H$5&lt;'Tariff Jul 2017'!T28),(0),($H$5-'Tariff Jul 2017'!T28)*'Tariff Jul 2017'!U28/100)</f>
        <v>0</v>
      </c>
      <c r="H40" s="102">
        <f>($I$5)*'Tariff Jul 2017'!AE28/100</f>
        <v>36.989675519999999</v>
      </c>
      <c r="I40" s="102">
        <v>0</v>
      </c>
      <c r="J40" s="102">
        <f t="shared" si="8"/>
        <v>326.56080367999999</v>
      </c>
      <c r="K40" s="298">
        <f t="shared" si="15"/>
        <v>1074.55721472</v>
      </c>
      <c r="L40" s="86">
        <f t="shared" si="9"/>
        <v>1306.24321472</v>
      </c>
      <c r="M40" s="86">
        <f t="shared" si="10"/>
        <v>1436.867536192</v>
      </c>
      <c r="N40" s="1">
        <f>'Tariff Jul 2017'!AW28</f>
        <v>0</v>
      </c>
      <c r="O40" s="1">
        <f>'Tariff Jul 2017'!AX28</f>
        <v>0</v>
      </c>
      <c r="P40" s="1">
        <f>'Tariff Jul 2017'!AY28</f>
        <v>0</v>
      </c>
      <c r="Q40" s="1">
        <f>'Tariff Jul 2017'!AZ28</f>
        <v>15</v>
      </c>
      <c r="R40" s="87">
        <f>($F$6*'Tariff Jul 2017'!AT28/100)*4</f>
        <v>217.22137600000002</v>
      </c>
      <c r="S40" s="298">
        <f t="shared" si="16"/>
        <v>1306.24321472</v>
      </c>
      <c r="T40" s="298">
        <f>S40-(K40*Q40/100)</f>
        <v>1145.059632512</v>
      </c>
      <c r="U40" s="298">
        <f t="shared" si="12"/>
        <v>1089.02183872</v>
      </c>
      <c r="V40" s="298">
        <f t="shared" si="13"/>
        <v>927.83825651200004</v>
      </c>
      <c r="W40" s="300">
        <f t="shared" si="14"/>
        <v>1197.924022592</v>
      </c>
      <c r="X40" s="300">
        <f t="shared" si="14"/>
        <v>1020.6220821632002</v>
      </c>
      <c r="Y40" s="88">
        <f>'Tariff Jul 2017'!AT28</f>
        <v>6.8</v>
      </c>
      <c r="Z40" s="89">
        <f>'Tariff Jul 2017'!BG28</f>
        <v>24</v>
      </c>
      <c r="AA40" s="89" t="str">
        <f>'Tariff Jul 2017'!BH28</f>
        <v>y</v>
      </c>
      <c r="AB40" s="90">
        <f>'Tariff Jul 2017'!G28</f>
        <v>41459</v>
      </c>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66"/>
      <c r="EG40" s="66"/>
      <c r="EH40" s="66"/>
      <c r="EI40" s="66"/>
      <c r="EJ40" s="66"/>
      <c r="EK40" s="66"/>
    </row>
    <row r="41" spans="1:141" ht="15" thickBot="1" x14ac:dyDescent="0.2">
      <c r="A41" s="91" t="str">
        <f>'Tariff Jul 2017'!K29</f>
        <v>Red Energy</v>
      </c>
      <c r="B41" s="92" t="str">
        <f>'Tariff Jul 2017'!L29</f>
        <v>No exit fee saver</v>
      </c>
      <c r="C41" s="103">
        <f>91*'Tariff Jul 2017'!M29/100</f>
        <v>78.123499999999993</v>
      </c>
      <c r="D41" s="103">
        <f>IF($H$5&gt;='Tariff Jul 2017'!P29,('Tariff Jul 2017'!P29*'Tariff Jul 2017'!N29/100),(($H$5)*'Tariff Jul 2017'!N29/100))</f>
        <v>269.21057280000002</v>
      </c>
      <c r="E41" s="103">
        <v>0</v>
      </c>
      <c r="F41" s="103">
        <v>0</v>
      </c>
      <c r="G41" s="103">
        <f>IF(($H$5&lt;'Tariff Jul 2017'!T29),(0),($H$5-'Tariff Jul 2017'!T29)*'Tariff Jul 2017'!U29/100)</f>
        <v>0</v>
      </c>
      <c r="H41" s="103">
        <f>($I$5)*'Tariff Jul 2017'!AE29/100</f>
        <v>34.633190399999997</v>
      </c>
      <c r="I41" s="103">
        <v>0</v>
      </c>
      <c r="J41" s="103">
        <f t="shared" si="8"/>
        <v>381.96726319999999</v>
      </c>
      <c r="K41" s="299">
        <f t="shared" si="15"/>
        <v>1215.3750528</v>
      </c>
      <c r="L41" s="95">
        <f t="shared" si="9"/>
        <v>1527.8690528</v>
      </c>
      <c r="M41" s="95">
        <f t="shared" si="10"/>
        <v>1680.6559580800001</v>
      </c>
      <c r="N41" s="92">
        <f>'Tariff Jul 2017'!AW29</f>
        <v>0</v>
      </c>
      <c r="O41" s="92">
        <f>'Tariff Jul 2017'!AX29</f>
        <v>0</v>
      </c>
      <c r="P41" s="92">
        <f>'Tariff Jul 2017'!AY29</f>
        <v>10</v>
      </c>
      <c r="Q41" s="92">
        <f>'Tariff Jul 2017'!AZ29</f>
        <v>0</v>
      </c>
      <c r="R41" s="96">
        <f>($F$6*'Tariff Jul 2017'!AT29/100)*4</f>
        <v>511.10912000000002</v>
      </c>
      <c r="S41" s="299">
        <f t="shared" si="16"/>
        <v>1527.8690528</v>
      </c>
      <c r="T41" s="299">
        <f>S41-(L41*P41/100)</f>
        <v>1375.08214752</v>
      </c>
      <c r="U41" s="299">
        <f t="shared" si="12"/>
        <v>1016.7599327999999</v>
      </c>
      <c r="V41" s="299">
        <f t="shared" si="13"/>
        <v>863.97302751999996</v>
      </c>
      <c r="W41" s="301">
        <f t="shared" si="14"/>
        <v>1118.4359260799999</v>
      </c>
      <c r="X41" s="301">
        <f t="shared" si="14"/>
        <v>950.37033027200005</v>
      </c>
      <c r="Y41" s="97">
        <f>'Tariff Jul 2017'!AT29</f>
        <v>16</v>
      </c>
      <c r="Z41" s="98">
        <f>'Tariff Jul 2017'!BG29</f>
        <v>0</v>
      </c>
      <c r="AA41" s="98" t="str">
        <f>'Tariff Jul 2017'!BH29</f>
        <v>n</v>
      </c>
      <c r="AB41" s="99">
        <f>'Tariff Jul 2017'!G29</f>
        <v>41479</v>
      </c>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66"/>
      <c r="EG41" s="66"/>
      <c r="EH41" s="66"/>
      <c r="EI41" s="66"/>
      <c r="EJ41" s="66"/>
      <c r="EK41" s="66"/>
    </row>
    <row r="42" spans="1:141" s="110" customFormat="1" ht="14" x14ac:dyDescent="0.15">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row>
    <row r="43" spans="1:141" s="110" customFormat="1" ht="14" x14ac:dyDescent="0.15">
      <c r="AC43" s="109"/>
      <c r="AD43" s="109"/>
    </row>
    <row r="44" spans="1:141" s="110" customFormat="1" ht="14" x14ac:dyDescent="0.15">
      <c r="AC44" s="109"/>
      <c r="AD44" s="109"/>
    </row>
    <row r="45" spans="1:141" s="110" customFormat="1" ht="14" x14ac:dyDescent="0.15">
      <c r="AC45" s="109"/>
      <c r="AD45" s="109"/>
    </row>
    <row r="46" spans="1:141" s="110" customFormat="1" ht="14" x14ac:dyDescent="0.15">
      <c r="AC46" s="109"/>
      <c r="AD46" s="109"/>
    </row>
    <row r="47" spans="1:141" s="110" customFormat="1" ht="14" x14ac:dyDescent="0.15">
      <c r="AC47" s="109"/>
      <c r="AD47" s="109"/>
    </row>
    <row r="48" spans="1:141" s="110" customFormat="1" ht="14" x14ac:dyDescent="0.15">
      <c r="AC48" s="109"/>
      <c r="AD48" s="109"/>
    </row>
    <row r="49" spans="29:30" s="110" customFormat="1" ht="14" x14ac:dyDescent="0.15">
      <c r="AC49" s="109"/>
      <c r="AD49" s="109"/>
    </row>
    <row r="50" spans="29:30" s="110" customFormat="1" x14ac:dyDescent="0.15"/>
    <row r="51" spans="29:30" s="110" customFormat="1" x14ac:dyDescent="0.15"/>
    <row r="52" spans="29:30" s="110" customFormat="1" x14ac:dyDescent="0.15"/>
    <row r="53" spans="29:30" s="110" customFormat="1" x14ac:dyDescent="0.15"/>
    <row r="54" spans="29:30" s="110" customFormat="1" x14ac:dyDescent="0.15"/>
    <row r="55" spans="29:30" s="110" customFormat="1" x14ac:dyDescent="0.15"/>
    <row r="56" spans="29:30" s="110" customFormat="1" x14ac:dyDescent="0.15"/>
    <row r="57" spans="29:30" s="110" customFormat="1" x14ac:dyDescent="0.15"/>
    <row r="58" spans="29:30" s="110" customFormat="1" x14ac:dyDescent="0.15"/>
    <row r="59" spans="29:30" s="110" customFormat="1" x14ac:dyDescent="0.15"/>
    <row r="60" spans="29:30" s="110" customFormat="1" x14ac:dyDescent="0.15"/>
    <row r="61" spans="29:30" s="110" customFormat="1" x14ac:dyDescent="0.15"/>
    <row r="62" spans="29:30" s="110" customFormat="1" x14ac:dyDescent="0.15"/>
    <row r="63" spans="29:30" s="110" customFormat="1" x14ac:dyDescent="0.15"/>
    <row r="64" spans="29:30" s="110" customFormat="1" x14ac:dyDescent="0.15"/>
    <row r="65" s="110" customFormat="1" x14ac:dyDescent="0.15"/>
    <row r="66" s="110" customFormat="1" x14ac:dyDescent="0.15"/>
    <row r="67" s="110" customFormat="1" x14ac:dyDescent="0.15"/>
    <row r="68" s="110" customFormat="1" x14ac:dyDescent="0.15"/>
    <row r="69" s="110" customFormat="1" x14ac:dyDescent="0.15"/>
    <row r="70" s="110" customFormat="1" x14ac:dyDescent="0.15"/>
    <row r="71" s="110" customFormat="1" x14ac:dyDescent="0.15"/>
    <row r="72" s="110" customFormat="1" x14ac:dyDescent="0.15"/>
    <row r="73" s="110" customFormat="1" x14ac:dyDescent="0.15"/>
    <row r="74" s="110" customFormat="1" x14ac:dyDescent="0.15"/>
    <row r="75" s="110" customFormat="1" x14ac:dyDescent="0.15"/>
    <row r="76" s="110" customFormat="1" x14ac:dyDescent="0.15"/>
    <row r="77" s="110" customFormat="1" x14ac:dyDescent="0.15"/>
    <row r="78" s="110" customFormat="1" x14ac:dyDescent="0.15"/>
    <row r="79" s="110" customFormat="1" x14ac:dyDescent="0.15"/>
    <row r="80" s="110" customFormat="1" x14ac:dyDescent="0.15"/>
    <row r="81" s="110" customFormat="1" x14ac:dyDescent="0.15"/>
    <row r="82" s="110" customFormat="1" x14ac:dyDescent="0.15"/>
    <row r="83" s="110" customFormat="1" x14ac:dyDescent="0.15"/>
    <row r="84" s="110" customFormat="1" x14ac:dyDescent="0.15"/>
    <row r="85" s="110" customFormat="1" x14ac:dyDescent="0.15"/>
    <row r="86" s="110" customFormat="1" x14ac:dyDescent="0.15"/>
    <row r="87" s="110" customFormat="1" x14ac:dyDescent="0.15"/>
    <row r="88" s="110" customFormat="1" x14ac:dyDescent="0.15"/>
    <row r="89" s="110" customFormat="1" x14ac:dyDescent="0.15"/>
    <row r="90" s="110" customFormat="1" x14ac:dyDescent="0.15"/>
    <row r="91" s="110" customFormat="1" x14ac:dyDescent="0.15"/>
    <row r="92" s="110" customFormat="1" x14ac:dyDescent="0.15"/>
    <row r="93" s="110" customFormat="1" x14ac:dyDescent="0.15"/>
    <row r="94" s="110" customFormat="1" x14ac:dyDescent="0.15"/>
    <row r="95" s="110" customFormat="1" x14ac:dyDescent="0.15"/>
    <row r="96" s="110" customFormat="1" x14ac:dyDescent="0.15"/>
    <row r="97" s="110" customFormat="1" x14ac:dyDescent="0.15"/>
    <row r="98" s="110" customFormat="1" x14ac:dyDescent="0.15"/>
    <row r="99" s="110" customFormat="1" x14ac:dyDescent="0.15"/>
    <row r="100" s="110" customFormat="1" x14ac:dyDescent="0.15"/>
    <row r="101" s="110" customFormat="1" x14ac:dyDescent="0.15"/>
    <row r="102" s="110" customFormat="1" x14ac:dyDescent="0.15"/>
    <row r="103" s="110" customFormat="1" x14ac:dyDescent="0.15"/>
    <row r="104" s="110" customFormat="1" x14ac:dyDescent="0.15"/>
    <row r="105" s="110" customFormat="1" x14ac:dyDescent="0.15"/>
    <row r="106" s="110" customFormat="1" x14ac:dyDescent="0.15"/>
    <row r="107" s="110" customFormat="1" x14ac:dyDescent="0.15"/>
    <row r="108" s="110" customFormat="1" x14ac:dyDescent="0.15"/>
    <row r="109" s="110" customFormat="1" x14ac:dyDescent="0.15"/>
    <row r="110" s="110" customFormat="1" x14ac:dyDescent="0.15"/>
    <row r="111" s="110" customFormat="1" x14ac:dyDescent="0.15"/>
    <row r="112" s="110" customFormat="1" x14ac:dyDescent="0.15"/>
    <row r="113" s="110" customFormat="1" x14ac:dyDescent="0.15"/>
    <row r="114" s="110" customFormat="1" x14ac:dyDescent="0.15"/>
    <row r="115" s="110" customFormat="1" x14ac:dyDescent="0.15"/>
    <row r="116" s="110" customFormat="1" x14ac:dyDescent="0.15"/>
    <row r="117" s="110" customFormat="1" x14ac:dyDescent="0.15"/>
    <row r="118" s="110" customFormat="1" x14ac:dyDescent="0.15"/>
    <row r="119" s="110" customFormat="1" x14ac:dyDescent="0.15"/>
    <row r="120" s="110" customFormat="1" x14ac:dyDescent="0.15"/>
    <row r="121" s="110" customFormat="1" x14ac:dyDescent="0.15"/>
    <row r="122" s="110" customFormat="1" x14ac:dyDescent="0.15"/>
    <row r="123" s="110" customFormat="1" x14ac:dyDescent="0.15"/>
    <row r="124" s="110" customFormat="1" x14ac:dyDescent="0.15"/>
    <row r="125" s="110" customFormat="1" x14ac:dyDescent="0.15"/>
    <row r="126" s="110" customFormat="1" x14ac:dyDescent="0.15"/>
    <row r="127" s="110" customFormat="1" x14ac:dyDescent="0.15"/>
    <row r="128" s="110" customFormat="1" x14ac:dyDescent="0.15"/>
    <row r="129" s="110" customFormat="1" x14ac:dyDescent="0.15"/>
    <row r="130" s="110" customFormat="1" x14ac:dyDescent="0.15"/>
    <row r="131" s="110" customFormat="1" x14ac:dyDescent="0.15"/>
    <row r="132" s="110" customFormat="1" x14ac:dyDescent="0.15"/>
    <row r="133" s="110" customFormat="1" x14ac:dyDescent="0.15"/>
    <row r="134" s="110" customFormat="1" x14ac:dyDescent="0.15"/>
    <row r="135" s="110" customFormat="1" x14ac:dyDescent="0.15"/>
    <row r="136" s="110" customFormat="1" x14ac:dyDescent="0.15"/>
    <row r="137" s="110" customFormat="1" x14ac:dyDescent="0.15"/>
  </sheetData>
  <sheetProtection algorithmName="SHA-512" hashValue="fbyNjRyEAOHUTKjhVq/nn/5LkkWhbTNzjHpE49PLm6Obxz+f286ryK/sfw62VAjKG29nXQckJcbKPY2p+G7xaA==" saltValue="Uvcdui2XK7a19MaWdqxFSQ==" spinCount="100000" sheet="1" objects="1" scenarios="1"/>
  <phoneticPr fontId="8" type="noConversion"/>
  <dataValidations count="2">
    <dataValidation type="whole" showInputMessage="1" showErrorMessage="1" errorTitle="Incorrect number" error="Please enter quarterly consumption between 700-4000kWh" sqref="C5" xr:uid="{00000000-0002-0000-0200-000000000000}">
      <formula1>700</formula1>
      <formula2>4000</formula2>
    </dataValidation>
    <dataValidation type="decimal" showInputMessage="1" showErrorMessage="1" errorTitle="Incorrect entry" error="Enter 1.5 or 3.0 only" sqref="C4" xr:uid="{00000000-0002-0000-0200-000001000000}">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CJ111"/>
  <sheetViews>
    <sheetView zoomScale="90" zoomScaleNormal="90" workbookViewId="0">
      <selection activeCell="C4" sqref="C4:C5"/>
    </sheetView>
  </sheetViews>
  <sheetFormatPr baseColWidth="10" defaultRowHeight="13" x14ac:dyDescent="0.15"/>
  <cols>
    <col min="1" max="1" width="18.83203125" style="1" customWidth="1"/>
    <col min="2" max="2" width="28" style="1" customWidth="1"/>
    <col min="3" max="10" width="13.83203125" style="1" customWidth="1"/>
    <col min="11" max="12" width="13.83203125" style="1" hidden="1" customWidth="1"/>
    <col min="13" max="18" width="13.83203125" style="1" customWidth="1"/>
    <col min="19" max="22" width="13.83203125" style="1" hidden="1" customWidth="1"/>
    <col min="23" max="28" width="13.83203125" style="1" customWidth="1"/>
    <col min="29" max="16384" width="10.83203125" style="1"/>
  </cols>
  <sheetData>
    <row r="1" spans="1:88" ht="14" x14ac:dyDescent="0.15">
      <c r="A1" s="66" t="s">
        <v>340</v>
      </c>
      <c r="B1" s="66"/>
      <c r="C1" s="66"/>
      <c r="D1" s="66"/>
      <c r="E1" s="66"/>
      <c r="F1" s="66"/>
      <c r="G1" s="66"/>
      <c r="H1" s="66"/>
      <c r="I1" s="66"/>
      <c r="J1" s="66"/>
      <c r="K1" s="66">
        <v>3</v>
      </c>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row>
    <row r="2" spans="1:88" ht="14" x14ac:dyDescent="0.15">
      <c r="A2" s="67" t="s">
        <v>152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row>
    <row r="3" spans="1:88" ht="14" x14ac:dyDescent="0.15">
      <c r="A3" s="67"/>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row>
    <row r="4" spans="1:88" ht="14" x14ac:dyDescent="0.15">
      <c r="A4" s="68" t="s">
        <v>341</v>
      </c>
      <c r="B4" s="69"/>
      <c r="C4" s="104">
        <v>3</v>
      </c>
      <c r="D4" s="66"/>
      <c r="E4" s="70" t="s">
        <v>366</v>
      </c>
      <c r="F4" s="71">
        <f>IF(C4&lt;K1,(630),(1260))</f>
        <v>1260</v>
      </c>
      <c r="G4" s="72"/>
      <c r="H4" s="73" t="s">
        <v>367</v>
      </c>
      <c r="I4" s="74" t="s">
        <v>368</v>
      </c>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row>
    <row r="5" spans="1:88" ht="14" x14ac:dyDescent="0.15">
      <c r="A5" s="75" t="s">
        <v>369</v>
      </c>
      <c r="B5" s="76"/>
      <c r="C5" s="105">
        <v>1500</v>
      </c>
      <c r="D5" s="66"/>
      <c r="E5" s="77" t="s">
        <v>370</v>
      </c>
      <c r="F5" s="78">
        <f>C5-(F4-F6)</f>
        <v>892.68</v>
      </c>
      <c r="G5" s="20" t="s">
        <v>371</v>
      </c>
      <c r="H5" s="79">
        <f>F5*80/100</f>
        <v>714.14399999999989</v>
      </c>
      <c r="I5" s="80">
        <f>F5*20/100</f>
        <v>178.53599999999997</v>
      </c>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row>
    <row r="6" spans="1:88" ht="14" x14ac:dyDescent="0.15">
      <c r="A6" s="81"/>
      <c r="B6" s="81"/>
      <c r="C6" s="81"/>
      <c r="D6" s="66"/>
      <c r="E6" s="77" t="s">
        <v>372</v>
      </c>
      <c r="F6" s="78">
        <f>IF(C4&lt;K1,(F4*22.1/100),(F4*51.8/100))</f>
        <v>652.67999999999995</v>
      </c>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row>
    <row r="7" spans="1:88" ht="15" thickBot="1" x14ac:dyDescent="0.2">
      <c r="A7" s="66"/>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row>
    <row r="8" spans="1:88" ht="14" x14ac:dyDescent="0.15">
      <c r="A8" s="82" t="s">
        <v>356</v>
      </c>
      <c r="B8" s="83"/>
      <c r="C8" s="83"/>
      <c r="D8" s="83"/>
      <c r="E8" s="83"/>
      <c r="F8" s="83"/>
      <c r="G8" s="83"/>
      <c r="H8" s="83"/>
      <c r="I8" s="83"/>
      <c r="J8" s="83"/>
      <c r="K8" s="83"/>
      <c r="L8" s="83"/>
      <c r="M8" s="83"/>
      <c r="N8" s="83"/>
      <c r="O8" s="83"/>
      <c r="P8" s="83"/>
      <c r="Q8" s="83"/>
      <c r="R8" s="83"/>
      <c r="S8" s="83"/>
      <c r="T8" s="83"/>
      <c r="U8" s="83"/>
      <c r="V8" s="83"/>
      <c r="W8" s="83"/>
      <c r="X8" s="83"/>
      <c r="Y8" s="83"/>
      <c r="Z8" s="83"/>
      <c r="AA8" s="83"/>
      <c r="AB8" s="18"/>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row>
    <row r="9" spans="1:88" ht="90" x14ac:dyDescent="0.15">
      <c r="A9" s="287" t="s">
        <v>231</v>
      </c>
      <c r="B9" s="290" t="s">
        <v>243</v>
      </c>
      <c r="C9" s="290" t="s">
        <v>244</v>
      </c>
      <c r="D9" s="289" t="s">
        <v>227</v>
      </c>
      <c r="E9" s="290" t="s">
        <v>357</v>
      </c>
      <c r="F9" s="290" t="s">
        <v>358</v>
      </c>
      <c r="G9" s="290" t="s">
        <v>321</v>
      </c>
      <c r="H9" s="290" t="s">
        <v>328</v>
      </c>
      <c r="I9" s="290" t="s">
        <v>329</v>
      </c>
      <c r="J9" s="290" t="s">
        <v>799</v>
      </c>
      <c r="K9" s="296" t="s">
        <v>433</v>
      </c>
      <c r="L9" s="296" t="s">
        <v>247</v>
      </c>
      <c r="M9" s="291" t="s">
        <v>434</v>
      </c>
      <c r="N9" s="292" t="s">
        <v>249</v>
      </c>
      <c r="O9" s="292" t="s">
        <v>250</v>
      </c>
      <c r="P9" s="292" t="s">
        <v>251</v>
      </c>
      <c r="Q9" s="292" t="s">
        <v>365</v>
      </c>
      <c r="R9" s="293" t="s">
        <v>373</v>
      </c>
      <c r="S9" s="297" t="s">
        <v>263</v>
      </c>
      <c r="T9" s="297" t="s">
        <v>264</v>
      </c>
      <c r="U9" s="297" t="s">
        <v>374</v>
      </c>
      <c r="V9" s="297" t="s">
        <v>375</v>
      </c>
      <c r="W9" s="293" t="s">
        <v>376</v>
      </c>
      <c r="X9" s="293" t="s">
        <v>436</v>
      </c>
      <c r="Y9" s="292" t="s">
        <v>155</v>
      </c>
      <c r="Z9" s="292" t="s">
        <v>225</v>
      </c>
      <c r="AA9" s="292" t="s">
        <v>226</v>
      </c>
      <c r="AB9" s="294" t="s">
        <v>437</v>
      </c>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row>
    <row r="10" spans="1:88" ht="14" x14ac:dyDescent="0.15">
      <c r="A10" s="63" t="str">
        <f>'Tariff Jul 2016'!K2</f>
        <v>AGL</v>
      </c>
      <c r="B10" s="1" t="str">
        <f>'Tariff Jul 2016'!L2</f>
        <v>Savers (solar)</v>
      </c>
      <c r="C10" s="84">
        <f>91*'Tariff Jul 2016'!M2/100</f>
        <v>64.519000000000005</v>
      </c>
      <c r="D10" s="84">
        <f>IF($F$5&gt;='Tariff Jul 2016'!P2,('Tariff Jul 2016'!P2*25%)*'Tariff Jul 2016'!N2/100+('Tariff Jul 2016'!P2*75%)*'Tariff Jul 2016'!W2/100,($F$5*25%)*'Tariff Jul 2016'!N2/100+($F$5*75%)*'Tariff Jul 2016'!W2/100)</f>
        <v>280.12298399999997</v>
      </c>
      <c r="E10" s="84">
        <v>0</v>
      </c>
      <c r="F10" s="85">
        <v>0</v>
      </c>
      <c r="G10" s="84">
        <v>0</v>
      </c>
      <c r="H10" s="84">
        <v>0</v>
      </c>
      <c r="I10" s="84">
        <f>IF(($F$5&lt;'Tariff Jul 2016'!T2),(0),(($F$5-'Tariff Jul 2016'!T2)*25%)*'Tariff Jul 2016'!U2/100+(($F$5-'Tariff Jul 2016'!T2)*75%)*'Tariff Jul 2016'!AC2/100)</f>
        <v>0</v>
      </c>
      <c r="J10" s="84">
        <f>SUM(C10:I10)</f>
        <v>344.64198399999998</v>
      </c>
      <c r="K10" s="298">
        <f>(J10-C10)*4</f>
        <v>1120.4919359999999</v>
      </c>
      <c r="L10" s="86">
        <f>J10*4</f>
        <v>1378.5679359999999</v>
      </c>
      <c r="M10" s="86">
        <f>L10*1.1</f>
        <v>1516.4247296000001</v>
      </c>
      <c r="N10" s="1">
        <f>'Tariff Jul 2016'!AT2</f>
        <v>0</v>
      </c>
      <c r="O10" s="1">
        <f>'Tariff Jul 2016'!AU2</f>
        <v>0</v>
      </c>
      <c r="P10" s="1">
        <f>'Tariff Jul 2016'!AV2</f>
        <v>0</v>
      </c>
      <c r="Q10" s="1">
        <f>'Tariff Jul 2016'!AW2</f>
        <v>15</v>
      </c>
      <c r="R10" s="87">
        <f>($F$6*'Tariff Jul 2016'!AQ2/100)*4</f>
        <v>177.52895999999998</v>
      </c>
      <c r="S10" s="298">
        <f>L10</f>
        <v>1378.5679359999999</v>
      </c>
      <c r="T10" s="298">
        <f>S10-(K10*Q10/100)</f>
        <v>1210.4941455999999</v>
      </c>
      <c r="U10" s="298">
        <f>S10-R10</f>
        <v>1201.0389759999998</v>
      </c>
      <c r="V10" s="298">
        <f>T10-R10</f>
        <v>1032.9651856</v>
      </c>
      <c r="W10" s="300">
        <f>U10*1.1</f>
        <v>1321.1428735999998</v>
      </c>
      <c r="X10" s="300">
        <f>V10*1.1</f>
        <v>1136.2617041600001</v>
      </c>
      <c r="Y10" s="88">
        <f>'Tariff Jul 2016'!AQ2</f>
        <v>6.8</v>
      </c>
      <c r="Z10" s="89">
        <f>'Tariff Jul 2016'!BD2</f>
        <v>0</v>
      </c>
      <c r="AA10" s="89" t="str">
        <f>'Tariff Jul 2016'!BE2</f>
        <v>n</v>
      </c>
      <c r="AB10" s="90">
        <f>'Tariff Jul 2016'!G2</f>
        <v>41102</v>
      </c>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row>
    <row r="11" spans="1:88" ht="14" x14ac:dyDescent="0.15">
      <c r="A11" s="63" t="str">
        <f>'Tariff Jul 2016'!K3</f>
        <v>Alinta Energy</v>
      </c>
      <c r="B11" s="1" t="str">
        <f>'Tariff Jul 2016'!L3</f>
        <v>Harvey Norman</v>
      </c>
      <c r="C11" s="84">
        <f>91*'Tariff Jul 2016'!M3/100</f>
        <v>71.962800000000001</v>
      </c>
      <c r="D11" s="84">
        <f>IF($F$5&gt;='Tariff Jul 2016'!P3,('Tariff Jul 2016'!P3*'Tariff Jul 2016'!N3/100),($F$5*'Tariff Jul 2016'!N3/100))</f>
        <v>95.28</v>
      </c>
      <c r="E11" s="84">
        <f>IF($F$5&lt;'Tariff Jul 2016'!P3,0,IF(($F$5-'Tariff Jul 2016'!P3)&lt;='Tariff Jul 2016'!R3,(($F$5-'Tariff Jul 2016'!P3)*'Tariff Jul 2016'!Q3/100),(('Tariff Jul 2016'!R3-'Tariff Jul 2016'!P3)*'Tariff Jul 2016'!Q3/100)))</f>
        <v>195.88073999999997</v>
      </c>
      <c r="F11" s="85">
        <f>IF($F$5&lt;'Tariff Jul 2016'!R3,0,IF(($F$5-'Tariff Jul 2016'!R3)&lt;='Tariff Jul 2016'!T3,(($F$5-'Tariff Jul 2016'!R3)*'Tariff Jul 2016'!S3/100),(('Tariff Jul 2016'!T3-'Tariff Jul 2016'!R3)*'Tariff Jul 2016'!S3/100)))</f>
        <v>0</v>
      </c>
      <c r="G11" s="84">
        <v>0</v>
      </c>
      <c r="H11" s="84">
        <v>0</v>
      </c>
      <c r="I11" s="84">
        <f>IF(($F$5&lt;'Tariff Jul 2016'!T3),(0),($F$5-'Tariff Jul 2016'!T3)*'Tariff Jul 2016'!U3/100)</f>
        <v>0</v>
      </c>
      <c r="J11" s="84">
        <f t="shared" ref="J11:J23" si="0">SUM(C11:I11)</f>
        <v>363.12353999999993</v>
      </c>
      <c r="K11" s="298">
        <f>(J11-C11)*4</f>
        <v>1164.6429599999997</v>
      </c>
      <c r="L11" s="86">
        <f t="shared" ref="L11:L23" si="1">J11*4</f>
        <v>1452.4941599999997</v>
      </c>
      <c r="M11" s="86">
        <f t="shared" ref="M11:M23" si="2">L11*1.1</f>
        <v>1597.7435759999998</v>
      </c>
      <c r="N11" s="1">
        <f>'Tariff Jul 2016'!AT3</f>
        <v>0</v>
      </c>
      <c r="O11" s="1">
        <f>'Tariff Jul 2016'!AU3</f>
        <v>0</v>
      </c>
      <c r="P11" s="1">
        <f>'Tariff Jul 2016'!AV3</f>
        <v>0</v>
      </c>
      <c r="Q11" s="1">
        <f>'Tariff Jul 2016'!AW3</f>
        <v>20</v>
      </c>
      <c r="R11" s="87">
        <f>($F$6*'Tariff Jul 2016'!AQ3/100)*4</f>
        <v>177.52895999999998</v>
      </c>
      <c r="S11" s="298">
        <f t="shared" ref="S11:S23" si="3">L11</f>
        <v>1452.4941599999997</v>
      </c>
      <c r="T11" s="298">
        <f>S11-(K11*Q11/100)</f>
        <v>1219.5655679999998</v>
      </c>
      <c r="U11" s="298">
        <f t="shared" ref="U11:U23" si="4">S11-R11</f>
        <v>1274.9651999999996</v>
      </c>
      <c r="V11" s="298">
        <f t="shared" ref="V11:V23" si="5">T11-R11</f>
        <v>1042.0366079999999</v>
      </c>
      <c r="W11" s="300">
        <f t="shared" ref="W11:W23" si="6">U11*1.1</f>
        <v>1402.4617199999998</v>
      </c>
      <c r="X11" s="300">
        <f t="shared" ref="X11:X23" si="7">V11*1.1</f>
        <v>1146.2402688</v>
      </c>
      <c r="Y11" s="88">
        <f>'Tariff Jul 2016'!AQ3</f>
        <v>6.8</v>
      </c>
      <c r="Z11" s="89">
        <f>'Tariff Jul 2016'!BD3</f>
        <v>0</v>
      </c>
      <c r="AA11" s="89" t="str">
        <f>'Tariff Jul 2016'!BE3</f>
        <v>n</v>
      </c>
      <c r="AB11" s="90">
        <f>'Tariff Jul 2016'!G3</f>
        <v>41111</v>
      </c>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row>
    <row r="12" spans="1:88" ht="14" x14ac:dyDescent="0.15">
      <c r="A12" s="63" t="str">
        <f>'Tariff Jul 2016'!K4</f>
        <v>Click Energy</v>
      </c>
      <c r="B12" s="1" t="str">
        <f>'Tariff Jul 2016'!L4</f>
        <v>Shine Plus</v>
      </c>
      <c r="C12" s="84">
        <f>91*'Tariff Jul 2016'!M4/100</f>
        <v>76.794899999999998</v>
      </c>
      <c r="D12" s="84">
        <f>IF($F$5&gt;='Tariff Jul 2016'!P4,('Tariff Jul 2016'!P4*'Tariff Jul 2016'!N4/100),($F$5*'Tariff Jul 2016'!N4/100))</f>
        <v>305.66255879999994</v>
      </c>
      <c r="E12" s="84">
        <v>0</v>
      </c>
      <c r="F12" s="85">
        <v>0</v>
      </c>
      <c r="G12" s="84">
        <v>0</v>
      </c>
      <c r="H12" s="84">
        <v>0</v>
      </c>
      <c r="I12" s="84">
        <f>IF(($F$5&lt;'Tariff Jul 2016'!T4),(0),($F$5-'Tariff Jul 2016'!T4)*'Tariff Jul 2016'!U4/100)</f>
        <v>0</v>
      </c>
      <c r="J12" s="84">
        <f t="shared" si="0"/>
        <v>382.45745879999993</v>
      </c>
      <c r="K12" s="298">
        <f t="shared" ref="K12:K23" si="8">(J12-C12)*4</f>
        <v>1222.6502351999998</v>
      </c>
      <c r="L12" s="86">
        <f t="shared" si="1"/>
        <v>1529.8298351999997</v>
      </c>
      <c r="M12" s="86">
        <f t="shared" si="2"/>
        <v>1682.8128187199998</v>
      </c>
      <c r="N12" s="1">
        <f>'Tariff Jul 2016'!AT4</f>
        <v>0</v>
      </c>
      <c r="O12" s="1">
        <f>'Tariff Jul 2016'!AU4</f>
        <v>0</v>
      </c>
      <c r="P12" s="1">
        <f>'Tariff Jul 2016'!AV4</f>
        <v>5</v>
      </c>
      <c r="Q12" s="1">
        <f>'Tariff Jul 2016'!AW4</f>
        <v>0</v>
      </c>
      <c r="R12" s="87">
        <f>($F$6*'Tariff Jul 2016'!AQ4/100)*4</f>
        <v>313.28640000000001</v>
      </c>
      <c r="S12" s="298">
        <f t="shared" si="3"/>
        <v>1529.8298351999997</v>
      </c>
      <c r="T12" s="298">
        <f>S12-(S12*P12/100)</f>
        <v>1453.3383434399998</v>
      </c>
      <c r="U12" s="298">
        <f t="shared" si="4"/>
        <v>1216.5434351999997</v>
      </c>
      <c r="V12" s="298">
        <f t="shared" si="5"/>
        <v>1140.0519434399998</v>
      </c>
      <c r="W12" s="300">
        <f t="shared" si="6"/>
        <v>1338.1977787199999</v>
      </c>
      <c r="X12" s="300">
        <f t="shared" si="7"/>
        <v>1254.0571377839999</v>
      </c>
      <c r="Y12" s="88">
        <f>'Tariff Jul 2016'!AQ4</f>
        <v>12</v>
      </c>
      <c r="Z12" s="89">
        <f>'Tariff Jul 2016'!BD4</f>
        <v>0</v>
      </c>
      <c r="AA12" s="89" t="str">
        <f>'Tariff Jul 2016'!BE4</f>
        <v>n</v>
      </c>
      <c r="AB12" s="90">
        <f>'Tariff Jul 2016'!G4</f>
        <v>41090</v>
      </c>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row>
    <row r="13" spans="1:88" ht="14" x14ac:dyDescent="0.15">
      <c r="A13" s="63" t="str">
        <f>'Tariff Jul 2016'!K5</f>
        <v>Commander</v>
      </c>
      <c r="B13" s="1" t="str">
        <f>'Tariff Jul 2016'!L5</f>
        <v>Market offer</v>
      </c>
      <c r="C13" s="84">
        <f>91*'Tariff Jul 2016'!M5/100</f>
        <v>64.200500000000005</v>
      </c>
      <c r="D13" s="84">
        <f>IF($F$5&gt;='Tariff Jul 2016'!P5,('Tariff Jul 2016'!P5*'Tariff Jul 2016'!N5/100),($F$5*'Tariff Jul 2016'!N5/100))</f>
        <v>95.85</v>
      </c>
      <c r="E13" s="84">
        <f>IF($F$5&lt;'Tariff Jul 2016'!P5,0,IF(($F$5-'Tariff Jul 2016'!P5)&lt;='Tariff Jul 2016'!R5,(($F$5-'Tariff Jul 2016'!P5)*'Tariff Jul 2016'!Q5/100),(('Tariff Jul 2016'!R5-'Tariff Jul 2016'!P5)*'Tariff Jul 2016'!Q5/100)))</f>
        <v>189.36125999999996</v>
      </c>
      <c r="F13" s="85">
        <f>IF($F$5&lt;'Tariff Jul 2016'!R5,0,IF(($F$5-'Tariff Jul 2016'!R5)&lt;='Tariff Jul 2016'!T5,(($F$5-'Tariff Jul 2016'!R5)*'Tariff Jul 2016'!S5/100),(('Tariff Jul 2016'!T5-'Tariff Jul 2016'!R5)*'Tariff Jul 2016'!S5/100)))</f>
        <v>0</v>
      </c>
      <c r="G13" s="84">
        <v>0</v>
      </c>
      <c r="H13" s="84">
        <v>0</v>
      </c>
      <c r="I13" s="84">
        <f>IF(($F$5&lt;'Tariff Jul 2016'!T5),(0),($F$5-'Tariff Jul 2016'!T5)*'Tariff Jul 2016'!U5/100)</f>
        <v>0</v>
      </c>
      <c r="J13" s="84">
        <f t="shared" si="0"/>
        <v>349.41175999999996</v>
      </c>
      <c r="K13" s="298">
        <f t="shared" si="8"/>
        <v>1140.8450399999997</v>
      </c>
      <c r="L13" s="86">
        <f t="shared" si="1"/>
        <v>1397.6470399999998</v>
      </c>
      <c r="M13" s="86">
        <f t="shared" si="2"/>
        <v>1537.411744</v>
      </c>
      <c r="N13" s="1">
        <f>'Tariff Jul 2016'!AT5</f>
        <v>0</v>
      </c>
      <c r="O13" s="1">
        <f>'Tariff Jul 2016'!AU5</f>
        <v>0</v>
      </c>
      <c r="P13" s="1">
        <f>'Tariff Jul 2016'!AV5</f>
        <v>0</v>
      </c>
      <c r="Q13" s="1">
        <f>'Tariff Jul 2016'!AW5</f>
        <v>20</v>
      </c>
      <c r="R13" s="87">
        <f>($F$6*'Tariff Jul 2016'!AQ5/100)*4</f>
        <v>182.75039999999998</v>
      </c>
      <c r="S13" s="298">
        <f t="shared" si="3"/>
        <v>1397.6470399999998</v>
      </c>
      <c r="T13" s="298">
        <f>S13-(K13*Q13/100)</f>
        <v>1169.478032</v>
      </c>
      <c r="U13" s="298">
        <f t="shared" si="4"/>
        <v>1214.8966399999999</v>
      </c>
      <c r="V13" s="298">
        <f t="shared" si="5"/>
        <v>986.72763199999997</v>
      </c>
      <c r="W13" s="300">
        <f t="shared" si="6"/>
        <v>1336.3863040000001</v>
      </c>
      <c r="X13" s="300">
        <f t="shared" si="7"/>
        <v>1085.4003952</v>
      </c>
      <c r="Y13" s="88">
        <f>'Tariff Jul 2016'!AQ5</f>
        <v>7</v>
      </c>
      <c r="Z13" s="89">
        <f>'Tariff Jul 2016'!BD5</f>
        <v>0</v>
      </c>
      <c r="AA13" s="89" t="str">
        <f>'Tariff Jul 2016'!BE5</f>
        <v>n</v>
      </c>
      <c r="AB13" s="90">
        <f>'Tariff Jul 2016'!G5</f>
        <v>41181</v>
      </c>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row>
    <row r="14" spans="1:88" ht="14" x14ac:dyDescent="0.15">
      <c r="A14" s="63" t="str">
        <f>'Tariff Jul 2016'!K6</f>
        <v>Diamond Energy</v>
      </c>
      <c r="B14" s="1" t="str">
        <f>'Tariff Jul 2016'!L6</f>
        <v>Pay on time discount</v>
      </c>
      <c r="C14" s="84">
        <f>91*'Tariff Jul 2016'!M6/100</f>
        <v>71.389499999999998</v>
      </c>
      <c r="D14" s="84">
        <f>IF($F$5&gt;='Tariff Jul 2016'!P6,('Tariff Jul 2016'!P6*'Tariff Jul 2016'!N6/100),($F$5*'Tariff Jul 2016'!N6/100))</f>
        <v>89.43</v>
      </c>
      <c r="E14" s="84">
        <f>IF($F$5&lt;'Tariff Jul 2016'!P6,0,IF(($F$5-'Tariff Jul 2016'!P6)&lt;='Tariff Jul 2016'!R6,(($F$5-'Tariff Jul 2016'!P6)*'Tariff Jul 2016'!Q6/100),(('Tariff Jul 2016'!R6-'Tariff Jul 2016'!P6)*'Tariff Jul 2016'!Q6/100)))</f>
        <v>189.36125999999996</v>
      </c>
      <c r="F14" s="85">
        <f>IF($F$5&lt;'Tariff Jul 2016'!R6,0,IF(($F$5-'Tariff Jul 2016'!R6)&lt;='Tariff Jul 2016'!T6,(($F$5-'Tariff Jul 2016'!R6)*'Tariff Jul 2016'!S6/100),(('Tariff Jul 2016'!T6-'Tariff Jul 2016'!R6)*'Tariff Jul 2016'!S6/100)))</f>
        <v>0</v>
      </c>
      <c r="G14" s="84">
        <v>0</v>
      </c>
      <c r="H14" s="84">
        <v>0</v>
      </c>
      <c r="I14" s="84">
        <f>IF(($F$5&lt;'Tariff Jul 2016'!T6),(0),($F$5-'Tariff Jul 2016'!T6)*'Tariff Jul 2016'!U6/100)</f>
        <v>0</v>
      </c>
      <c r="J14" s="84">
        <f t="shared" si="0"/>
        <v>350.18075999999996</v>
      </c>
      <c r="K14" s="298">
        <f t="shared" si="8"/>
        <v>1115.1650399999999</v>
      </c>
      <c r="L14" s="86">
        <f t="shared" si="1"/>
        <v>1400.7230399999999</v>
      </c>
      <c r="M14" s="86">
        <f t="shared" si="2"/>
        <v>1540.7953439999999</v>
      </c>
      <c r="N14" s="1">
        <f>'Tariff Jul 2016'!AT6</f>
        <v>0</v>
      </c>
      <c r="O14" s="1">
        <f>'Tariff Jul 2016'!AU6</f>
        <v>0</v>
      </c>
      <c r="P14" s="1">
        <f>'Tariff Jul 2016'!AV6</f>
        <v>7</v>
      </c>
      <c r="Q14" s="1">
        <f>'Tariff Jul 2016'!AW6</f>
        <v>0</v>
      </c>
      <c r="R14" s="87">
        <f>($F$6*'Tariff Jul 2016'!AQ6/100)*4</f>
        <v>208.85759999999999</v>
      </c>
      <c r="S14" s="298">
        <f t="shared" si="3"/>
        <v>1400.7230399999999</v>
      </c>
      <c r="T14" s="298">
        <f>S14-(S14*P14/100)</f>
        <v>1302.6724271999999</v>
      </c>
      <c r="U14" s="298">
        <f t="shared" si="4"/>
        <v>1191.8654399999998</v>
      </c>
      <c r="V14" s="298">
        <f t="shared" si="5"/>
        <v>1093.8148271999999</v>
      </c>
      <c r="W14" s="300">
        <f t="shared" si="6"/>
        <v>1311.0519839999999</v>
      </c>
      <c r="X14" s="300">
        <f t="shared" si="7"/>
        <v>1203.19630992</v>
      </c>
      <c r="Y14" s="88">
        <f>'Tariff Jul 2016'!AQ6</f>
        <v>8</v>
      </c>
      <c r="Z14" s="89">
        <f>'Tariff Jul 2016'!BD6</f>
        <v>24</v>
      </c>
      <c r="AA14" s="89" t="str">
        <f>'Tariff Jul 2016'!BE6</f>
        <v>y</v>
      </c>
      <c r="AB14" s="90">
        <f>'Tariff Jul 2016'!G6</f>
        <v>41121</v>
      </c>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row>
    <row r="15" spans="1:88" ht="14" x14ac:dyDescent="0.15">
      <c r="A15" s="63" t="str">
        <f>'Tariff Jul 2016'!K7</f>
        <v>Dodo Power &amp; Gas</v>
      </c>
      <c r="B15" s="1" t="str">
        <f>'Tariff Jul 2016'!L7</f>
        <v>Market offer</v>
      </c>
      <c r="C15" s="84">
        <f>91*'Tariff Jul 2016'!M7/100</f>
        <v>64.200500000000005</v>
      </c>
      <c r="D15" s="84">
        <f>IF($F$5&gt;='Tariff Jul 2016'!P7,('Tariff Jul 2016'!P7*'Tariff Jul 2016'!N7/100),($F$5*'Tariff Jul 2016'!N7/100))</f>
        <v>100.5</v>
      </c>
      <c r="E15" s="84">
        <f>IF($F$5&lt;'Tariff Jul 2016'!P7,0,IF(($F$5-'Tariff Jul 2016'!P7)&lt;='Tariff Jul 2016'!R7,(($F$5-'Tariff Jul 2016'!P7)*'Tariff Jul 2016'!Q7/100),(('Tariff Jul 2016'!R7-'Tariff Jul 2016'!P7)*'Tariff Jul 2016'!Q7/100)))</f>
        <v>198.5478</v>
      </c>
      <c r="F15" s="85">
        <f>IF($F$5&lt;'Tariff Jul 2016'!R7,0,IF(($F$5-'Tariff Jul 2016'!R7)&lt;='Tariff Jul 2016'!T7,(($F$5-'Tariff Jul 2016'!R7)*'Tariff Jul 2016'!S7/100),(('Tariff Jul 2016'!T7-'Tariff Jul 2016'!R7)*'Tariff Jul 2016'!S7/100)))</f>
        <v>0</v>
      </c>
      <c r="G15" s="84">
        <v>0</v>
      </c>
      <c r="H15" s="84">
        <v>0</v>
      </c>
      <c r="I15" s="84">
        <f>IF(($F$5&lt;'Tariff Jul 2016'!T7),(0),($F$5-'Tariff Jul 2016'!T7)*'Tariff Jul 2016'!U7/100)</f>
        <v>0</v>
      </c>
      <c r="J15" s="84">
        <f t="shared" si="0"/>
        <v>363.24829999999997</v>
      </c>
      <c r="K15" s="298">
        <f t="shared" si="8"/>
        <v>1196.1911999999998</v>
      </c>
      <c r="L15" s="86">
        <f t="shared" si="1"/>
        <v>1452.9931999999999</v>
      </c>
      <c r="M15" s="86">
        <f t="shared" si="2"/>
        <v>1598.29252</v>
      </c>
      <c r="N15" s="1">
        <f>'Tariff Jul 2016'!AT7</f>
        <v>0</v>
      </c>
      <c r="O15" s="1">
        <f>'Tariff Jul 2016'!AU7</f>
        <v>0</v>
      </c>
      <c r="P15" s="1">
        <f>'Tariff Jul 2016'!AV7</f>
        <v>0</v>
      </c>
      <c r="Q15" s="1">
        <f>'Tariff Jul 2016'!AW7</f>
        <v>25</v>
      </c>
      <c r="R15" s="87">
        <f>($F$6*'Tariff Jul 2016'!AQ7/100)*4</f>
        <v>182.75039999999998</v>
      </c>
      <c r="S15" s="298">
        <f t="shared" si="3"/>
        <v>1452.9931999999999</v>
      </c>
      <c r="T15" s="298">
        <f>S15-(K15*Q15/100)</f>
        <v>1153.9454000000001</v>
      </c>
      <c r="U15" s="298">
        <f t="shared" si="4"/>
        <v>1270.2428</v>
      </c>
      <c r="V15" s="298">
        <f t="shared" si="5"/>
        <v>971.19500000000005</v>
      </c>
      <c r="W15" s="300">
        <f t="shared" si="6"/>
        <v>1397.2670800000001</v>
      </c>
      <c r="X15" s="300">
        <f t="shared" si="7"/>
        <v>1068.3145000000002</v>
      </c>
      <c r="Y15" s="88">
        <f>'Tariff Jul 2016'!AQ7</f>
        <v>7</v>
      </c>
      <c r="Z15" s="89">
        <f>'Tariff Jul 2016'!BD7</f>
        <v>0</v>
      </c>
      <c r="AA15" s="89" t="str">
        <f>'Tariff Jul 2016'!BE7</f>
        <v>n</v>
      </c>
      <c r="AB15" s="90">
        <f>'Tariff Jul 2016'!G7</f>
        <v>41055</v>
      </c>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row>
    <row r="16" spans="1:88" ht="14" x14ac:dyDescent="0.15">
      <c r="A16" s="63" t="str">
        <f>'Tariff Jul 2016'!K8</f>
        <v>EnergyAustralia</v>
      </c>
      <c r="B16" s="1" t="str">
        <f>'Tariff Jul 2016'!L8</f>
        <v xml:space="preserve">Flexi Saver </v>
      </c>
      <c r="C16" s="84">
        <f>91*'Tariff Jul 2016'!M8/100</f>
        <v>72.6999</v>
      </c>
      <c r="D16" s="84">
        <f>IF($F$5&gt;='Tariff Jul 2016'!P8,('Tariff Jul 2016'!P8*'Tariff Jul 2016'!N8/100),($F$5*'Tariff Jul 2016'!N8/100))</f>
        <v>303.22018631999998</v>
      </c>
      <c r="E16" s="84">
        <f>IF($F$5&lt;'Tariff Jul 2016'!P8,0,IF(($F$5-'Tariff Jul 2016'!P8)&lt;='Tariff Jul 2016'!R8,(($F$5-'Tariff Jul 2016'!P8)*'Tariff Jul 2016'!Q8/100),(('Tariff Jul 2016'!R8-'Tariff Jul 2016'!P8)*'Tariff Jul 2016'!Q8/100)))</f>
        <v>0</v>
      </c>
      <c r="F16" s="85">
        <v>0</v>
      </c>
      <c r="G16" s="84">
        <v>0</v>
      </c>
      <c r="H16" s="84">
        <v>0</v>
      </c>
      <c r="I16" s="84">
        <f>IF(($F$5&lt;'Tariff Jul 2016'!T8),(0),($F$5-'Tariff Jul 2016'!T8)*'Tariff Jul 2016'!U8/100)</f>
        <v>0</v>
      </c>
      <c r="J16" s="84">
        <f t="shared" si="0"/>
        <v>375.92008632</v>
      </c>
      <c r="K16" s="298">
        <f t="shared" si="8"/>
        <v>1212.8807452799999</v>
      </c>
      <c r="L16" s="86">
        <f t="shared" si="1"/>
        <v>1503.68034528</v>
      </c>
      <c r="M16" s="86">
        <f t="shared" si="2"/>
        <v>1654.0483798080002</v>
      </c>
      <c r="N16" s="1">
        <f>'Tariff Jul 2016'!AT8</f>
        <v>0</v>
      </c>
      <c r="O16" s="1">
        <f>'Tariff Jul 2016'!AU8</f>
        <v>0</v>
      </c>
      <c r="P16" s="1">
        <f>'Tariff Jul 2016'!AV8</f>
        <v>0</v>
      </c>
      <c r="Q16" s="1">
        <f>'Tariff Jul 2016'!AW8</f>
        <v>18</v>
      </c>
      <c r="R16" s="87">
        <f>($F$6*'Tariff Jul 2016'!AQ8/100)*4</f>
        <v>214.07903999999996</v>
      </c>
      <c r="S16" s="298">
        <f t="shared" si="3"/>
        <v>1503.68034528</v>
      </c>
      <c r="T16" s="298">
        <f>S16-(K16*Q16/100)</f>
        <v>1285.3618111296</v>
      </c>
      <c r="U16" s="298">
        <f t="shared" si="4"/>
        <v>1289.6013052799999</v>
      </c>
      <c r="V16" s="298">
        <f t="shared" si="5"/>
        <v>1071.2827711296</v>
      </c>
      <c r="W16" s="300">
        <f t="shared" si="6"/>
        <v>1418.5614358079999</v>
      </c>
      <c r="X16" s="300">
        <f t="shared" si="7"/>
        <v>1178.4110482425601</v>
      </c>
      <c r="Y16" s="88">
        <f>'Tariff Jul 2016'!AQ8</f>
        <v>8.1999999999999993</v>
      </c>
      <c r="Z16" s="89">
        <f>'Tariff Jul 2016'!BD8</f>
        <v>0</v>
      </c>
      <c r="AA16" s="89" t="str">
        <f>'Tariff Jul 2016'!BE8</f>
        <v>n</v>
      </c>
      <c r="AB16" s="90">
        <f>'Tariff Jul 2016'!G8</f>
        <v>41117</v>
      </c>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row>
    <row r="17" spans="1:88" ht="14" x14ac:dyDescent="0.15">
      <c r="A17" s="63" t="str">
        <f>'Tariff Jul 2016'!K9</f>
        <v>Lumo Energy</v>
      </c>
      <c r="B17" s="1" t="str">
        <f>'Tariff Jul 2016'!L9</f>
        <v>Advantage</v>
      </c>
      <c r="C17" s="84">
        <f>91*'Tariff Jul 2016'!M9/100</f>
        <v>72.408699999999996</v>
      </c>
      <c r="D17" s="84">
        <f>IF($F$5&gt;='Tariff Jul 2016'!P9,('Tariff Jul 2016'!P9*'Tariff Jul 2016'!N9/100),($F$5*'Tariff Jul 2016'!N9/100))</f>
        <v>276.46299599999998</v>
      </c>
      <c r="E17" s="84">
        <v>0</v>
      </c>
      <c r="F17" s="85">
        <v>0</v>
      </c>
      <c r="G17" s="84">
        <v>0</v>
      </c>
      <c r="H17" s="84">
        <v>0</v>
      </c>
      <c r="I17" s="84">
        <f>IF(($F$5&lt;'Tariff Jul 2016'!T9),(0),($F$5-'Tariff Jul 2016'!T9)*'Tariff Jul 2016'!U9/100)</f>
        <v>0</v>
      </c>
      <c r="J17" s="84">
        <f t="shared" si="0"/>
        <v>348.87169599999999</v>
      </c>
      <c r="K17" s="298">
        <f t="shared" si="8"/>
        <v>1105.8519839999999</v>
      </c>
      <c r="L17" s="86">
        <f t="shared" si="1"/>
        <v>1395.4867839999999</v>
      </c>
      <c r="M17" s="86">
        <f t="shared" si="2"/>
        <v>1535.0354624000001</v>
      </c>
      <c r="N17" s="1">
        <f>'Tariff Jul 2016'!AT9</f>
        <v>0</v>
      </c>
      <c r="O17" s="1">
        <f>'Tariff Jul 2016'!AU9</f>
        <v>0</v>
      </c>
      <c r="P17" s="1">
        <f>'Tariff Jul 2016'!AV9</f>
        <v>12</v>
      </c>
      <c r="Q17" s="1">
        <f>'Tariff Jul 2016'!AW9</f>
        <v>0</v>
      </c>
      <c r="R17" s="87">
        <f>($F$6*'Tariff Jul 2016'!AQ9/100)*4</f>
        <v>182.75039999999998</v>
      </c>
      <c r="S17" s="298">
        <f t="shared" si="3"/>
        <v>1395.4867839999999</v>
      </c>
      <c r="T17" s="298">
        <f>S17-(S17*P17/100)</f>
        <v>1228.0283699199999</v>
      </c>
      <c r="U17" s="298">
        <f t="shared" si="4"/>
        <v>1212.736384</v>
      </c>
      <c r="V17" s="298">
        <f t="shared" si="5"/>
        <v>1045.27796992</v>
      </c>
      <c r="W17" s="300">
        <f t="shared" si="6"/>
        <v>1334.0100224000003</v>
      </c>
      <c r="X17" s="300">
        <f t="shared" si="7"/>
        <v>1149.8057669120001</v>
      </c>
      <c r="Y17" s="88">
        <f>'Tariff Jul 2016'!AQ9</f>
        <v>7</v>
      </c>
      <c r="Z17" s="89">
        <f>'Tariff Jul 2016'!BD9</f>
        <v>24</v>
      </c>
      <c r="AA17" s="89" t="str">
        <f>'Tariff Jul 2016'!BE9</f>
        <v>n</v>
      </c>
      <c r="AB17" s="90">
        <f>'Tariff Jul 2016'!G9</f>
        <v>41090</v>
      </c>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row>
    <row r="18" spans="1:88" ht="14" x14ac:dyDescent="0.15">
      <c r="A18" s="63" t="str">
        <f>'Tariff Jul 2016'!K10</f>
        <v>Momentum Energy</v>
      </c>
      <c r="B18" s="1" t="str">
        <f>'Tariff Jul 2016'!L10</f>
        <v>SmilePower</v>
      </c>
      <c r="C18" s="84">
        <f>91*'Tariff Jul 2016'!M10/100</f>
        <v>68.377399999999994</v>
      </c>
      <c r="D18" s="84">
        <f>IF($F$5&gt;='Tariff Jul 2016'!P10,('Tariff Jul 2016'!P10*'Tariff Jul 2016'!N10/100),($F$5*'Tariff Jul 2016'!N10/100))</f>
        <v>186.18</v>
      </c>
      <c r="E18" s="84">
        <v>0</v>
      </c>
      <c r="F18" s="85">
        <v>0</v>
      </c>
      <c r="G18" s="84">
        <v>0</v>
      </c>
      <c r="H18" s="84">
        <v>0</v>
      </c>
      <c r="I18" s="84">
        <f>IF(($F$5&lt;'Tariff Jul 2016'!T10),(0),($F$5-'Tariff Jul 2016'!T10)*'Tariff Jul 2016'!U10/100)</f>
        <v>92.691755999999984</v>
      </c>
      <c r="J18" s="84">
        <f t="shared" si="0"/>
        <v>347.24915599999997</v>
      </c>
      <c r="K18" s="298">
        <f t="shared" si="8"/>
        <v>1115.487024</v>
      </c>
      <c r="L18" s="86">
        <f t="shared" si="1"/>
        <v>1388.9966239999999</v>
      </c>
      <c r="M18" s="86">
        <f t="shared" si="2"/>
        <v>1527.8962864</v>
      </c>
      <c r="N18" s="1">
        <f>'Tariff Jul 2016'!AT10</f>
        <v>0</v>
      </c>
      <c r="O18" s="1">
        <f>'Tariff Jul 2016'!AU10</f>
        <v>0</v>
      </c>
      <c r="P18" s="1">
        <f>'Tariff Jul 2016'!AV10</f>
        <v>0</v>
      </c>
      <c r="Q18" s="1">
        <f>'Tariff Jul 2016'!AW10</f>
        <v>0</v>
      </c>
      <c r="R18" s="87">
        <f>($F$6*'Tariff Jul 2016'!AQ10/100)*4</f>
        <v>177.52895999999998</v>
      </c>
      <c r="S18" s="298">
        <f t="shared" si="3"/>
        <v>1388.9966239999999</v>
      </c>
      <c r="T18" s="298">
        <f>S18</f>
        <v>1388.9966239999999</v>
      </c>
      <c r="U18" s="298">
        <f t="shared" si="4"/>
        <v>1211.4676639999998</v>
      </c>
      <c r="V18" s="298">
        <f t="shared" si="5"/>
        <v>1211.4676639999998</v>
      </c>
      <c r="W18" s="300">
        <f t="shared" si="6"/>
        <v>1332.6144303999999</v>
      </c>
      <c r="X18" s="300">
        <f t="shared" si="7"/>
        <v>1332.6144303999999</v>
      </c>
      <c r="Y18" s="88">
        <f>'Tariff Jul 2016'!AQ10</f>
        <v>6.8</v>
      </c>
      <c r="Z18" s="89">
        <f>'Tariff Jul 2016'!BD10</f>
        <v>12</v>
      </c>
      <c r="AA18" s="89" t="str">
        <f>'Tariff Jul 2016'!BE10</f>
        <v>y</v>
      </c>
      <c r="AB18" s="90">
        <f>'Tariff Jul 2016'!G10</f>
        <v>41121</v>
      </c>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row>
    <row r="19" spans="1:88" ht="14" x14ac:dyDescent="0.15">
      <c r="A19" s="63" t="str">
        <f>'Tariff Jul 2016'!K11</f>
        <v>Origin Energy</v>
      </c>
      <c r="B19" s="1" t="str">
        <f>'Tariff Jul 2016'!L11</f>
        <v>Saver</v>
      </c>
      <c r="C19" s="84">
        <f>91*'Tariff Jul 2016'!M11/100</f>
        <v>64.255099999999999</v>
      </c>
      <c r="D19" s="84">
        <f>IF($F$5&gt;='Tariff Jul 2016'!P11,('Tariff Jul 2016'!P11*'Tariff Jul 2016'!N11/100),($F$5*'Tariff Jul 2016'!N11/100))</f>
        <v>279.58737600000001</v>
      </c>
      <c r="E19" s="84">
        <v>0</v>
      </c>
      <c r="F19" s="85">
        <v>0</v>
      </c>
      <c r="G19" s="84">
        <v>0</v>
      </c>
      <c r="H19" s="84">
        <v>0</v>
      </c>
      <c r="I19" s="84">
        <f>IF(($F$5&lt;'Tariff Jul 2016'!T11),(0),($F$5-'Tariff Jul 2016'!T11)*'Tariff Jul 2016'!U11/100)</f>
        <v>0</v>
      </c>
      <c r="J19" s="84">
        <f t="shared" si="0"/>
        <v>343.84247600000003</v>
      </c>
      <c r="K19" s="298">
        <f t="shared" si="8"/>
        <v>1118.3495040000003</v>
      </c>
      <c r="L19" s="86">
        <f t="shared" si="1"/>
        <v>1375.3699040000001</v>
      </c>
      <c r="M19" s="86">
        <f t="shared" si="2"/>
        <v>1512.9068944000003</v>
      </c>
      <c r="N19" s="1">
        <f>'Tariff Jul 2016'!AT11</f>
        <v>0</v>
      </c>
      <c r="O19" s="1">
        <f>'Tariff Jul 2016'!AU11</f>
        <v>0</v>
      </c>
      <c r="P19" s="1">
        <f>'Tariff Jul 2016'!AV11</f>
        <v>0</v>
      </c>
      <c r="Q19" s="1">
        <f>'Tariff Jul 2016'!AW11</f>
        <v>16</v>
      </c>
      <c r="R19" s="87">
        <f>($F$6*'Tariff Jul 2016'!AQ11/100)*4</f>
        <v>177.52895999999998</v>
      </c>
      <c r="S19" s="298">
        <f t="shared" si="3"/>
        <v>1375.3699040000001</v>
      </c>
      <c r="T19" s="298">
        <f>S19-(K19*Q19/100)</f>
        <v>1196.4339833600002</v>
      </c>
      <c r="U19" s="298">
        <f t="shared" si="4"/>
        <v>1197.840944</v>
      </c>
      <c r="V19" s="298">
        <f t="shared" si="5"/>
        <v>1018.9050233600002</v>
      </c>
      <c r="W19" s="300">
        <f t="shared" si="6"/>
        <v>1317.6250384000002</v>
      </c>
      <c r="X19" s="300">
        <f t="shared" si="7"/>
        <v>1120.7955256960004</v>
      </c>
      <c r="Y19" s="88">
        <f>'Tariff Jul 2016'!AQ11</f>
        <v>6.8</v>
      </c>
      <c r="Z19" s="89">
        <f>'Tariff Jul 2016'!BD11</f>
        <v>0</v>
      </c>
      <c r="AA19" s="89" t="str">
        <f>'Tariff Jul 2016'!BE11</f>
        <v>n</v>
      </c>
      <c r="AB19" s="90">
        <f>'Tariff Jul 2016'!G11</f>
        <v>41096</v>
      </c>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4" x14ac:dyDescent="0.15">
      <c r="A20" s="63" t="str">
        <f>'Tariff Jul 2016'!K12</f>
        <v>Powerdirect</v>
      </c>
      <c r="B20" s="1" t="str">
        <f>'Tariff Jul 2016'!L12</f>
        <v>18 percent</v>
      </c>
      <c r="C20" s="84">
        <f>91*'Tariff Jul 2016'!M12/100</f>
        <v>69.460300000000004</v>
      </c>
      <c r="D20" s="84">
        <f>IF($F$5&gt;='Tariff Jul 2016'!P12,('Tariff Jul 2016'!P12*'Tariff Jul 2016'!N12/100),($F5*'Tariff Jul 2016'!N12/100))</f>
        <v>278.159088</v>
      </c>
      <c r="E20" s="84">
        <v>0</v>
      </c>
      <c r="F20" s="85">
        <v>0</v>
      </c>
      <c r="G20" s="84">
        <v>0</v>
      </c>
      <c r="H20" s="84">
        <v>0</v>
      </c>
      <c r="I20" s="84">
        <f>IF(($F$5&lt;'Tariff Jul 2016'!T12),(0),($F$5-'Tariff Jul 2016'!T12)*'Tariff Jul 2016'!U12/100)</f>
        <v>0</v>
      </c>
      <c r="J20" s="84">
        <f t="shared" si="0"/>
        <v>347.61938800000001</v>
      </c>
      <c r="K20" s="298">
        <f t="shared" si="8"/>
        <v>1112.636352</v>
      </c>
      <c r="L20" s="86">
        <f t="shared" si="1"/>
        <v>1390.4775520000001</v>
      </c>
      <c r="M20" s="86">
        <f t="shared" si="2"/>
        <v>1529.5253072000003</v>
      </c>
      <c r="N20" s="1">
        <f>'Tariff Jul 2016'!AT12</f>
        <v>0</v>
      </c>
      <c r="O20" s="1">
        <f>'Tariff Jul 2016'!AU12</f>
        <v>0</v>
      </c>
      <c r="P20" s="1">
        <f>'Tariff Jul 2016'!AV12</f>
        <v>0</v>
      </c>
      <c r="Q20" s="1">
        <f>'Tariff Jul 2016'!AW12</f>
        <v>18</v>
      </c>
      <c r="R20" s="87">
        <f>($F$6*'Tariff Jul 2016'!AQ12/100)*4</f>
        <v>177.52895999999998</v>
      </c>
      <c r="S20" s="298">
        <f t="shared" si="3"/>
        <v>1390.4775520000001</v>
      </c>
      <c r="T20" s="298">
        <f>S20-(K20*Q20/100)</f>
        <v>1190.20300864</v>
      </c>
      <c r="U20" s="298">
        <f t="shared" si="4"/>
        <v>1212.9485920000002</v>
      </c>
      <c r="V20" s="298">
        <f t="shared" si="5"/>
        <v>1012.67404864</v>
      </c>
      <c r="W20" s="300">
        <f t="shared" si="6"/>
        <v>1334.2434512000002</v>
      </c>
      <c r="X20" s="300">
        <f t="shared" si="7"/>
        <v>1113.941453504</v>
      </c>
      <c r="Y20" s="88">
        <f>'Tariff Jul 2016'!AQ12</f>
        <v>6.8</v>
      </c>
      <c r="Z20" s="89">
        <f>'Tariff Jul 2016'!BD12</f>
        <v>24</v>
      </c>
      <c r="AA20" s="89" t="str">
        <f>'Tariff Jul 2016'!BE12</f>
        <v>n</v>
      </c>
      <c r="AB20" s="90">
        <f>'Tariff Jul 2016'!G12</f>
        <v>41121</v>
      </c>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row>
    <row r="21" spans="1:88" ht="14" x14ac:dyDescent="0.15">
      <c r="A21" s="63" t="str">
        <f>'Tariff Jul 2016'!K13</f>
        <v>Sanctuary Energy</v>
      </c>
      <c r="B21" s="1" t="str">
        <f>'Tariff Jul 2016'!L13</f>
        <v>Supplementary FIT</v>
      </c>
      <c r="C21" s="84">
        <f>91*'Tariff Jul 2016'!M13/100</f>
        <v>64.000299999999996</v>
      </c>
      <c r="D21" s="84">
        <f>IF($F$5&gt;='Tariff Jul 2016'!P13,('Tariff Jul 2016'!P13*'Tariff Jul 2016'!N13/100),($F$5*'Tariff Jul 2016'!N13/100))</f>
        <v>86.4</v>
      </c>
      <c r="E21" s="84">
        <f>IF($F$5&lt;'Tariff Jul 2016'!P13,0,IF(($F$5-'Tariff Jul 2016'!P13)&lt;='Tariff Jul 2016'!R13,(($F$5-'Tariff Jul 2016'!P13)*'Tariff Jul 2016'!Q13/100),(('Tariff Jul 2016'!R13-'Tariff Jul 2016'!P13)*'Tariff Jul 2016'!Q13/100)))</f>
        <v>0</v>
      </c>
      <c r="F21" s="85">
        <f>IF($F$5&lt;'Tariff Jul 2016'!R13,0,IF(($F$5-'Tariff Jul 2016'!R13)&lt;='Tariff Jul 2016'!T13,(($F$5-'Tariff Jul 2016'!R13)*'Tariff Jul 2016'!S13/100),(('Tariff Jul 2016'!T13-'Tariff Jul 2016'!R13)*'Tariff Jul 2016'!S13/100)))</f>
        <v>0</v>
      </c>
      <c r="G21" s="84">
        <v>0</v>
      </c>
      <c r="H21" s="84">
        <v>0</v>
      </c>
      <c r="I21" s="84">
        <f>IF(($F$5&lt;'Tariff Jul 2016'!T13),(0),($F$5-'Tariff Jul 2016'!T13)*'Tariff Jul 2016'!U13/100)</f>
        <v>197.89585199999999</v>
      </c>
      <c r="J21" s="84">
        <f t="shared" si="0"/>
        <v>348.29615200000001</v>
      </c>
      <c r="K21" s="298">
        <f t="shared" si="8"/>
        <v>1137.1834080000001</v>
      </c>
      <c r="L21" s="86">
        <f t="shared" si="1"/>
        <v>1393.184608</v>
      </c>
      <c r="M21" s="86">
        <f t="shared" si="2"/>
        <v>1532.5030688000002</v>
      </c>
      <c r="N21" s="1">
        <f>'Tariff Jul 2016'!AT13</f>
        <v>0</v>
      </c>
      <c r="O21" s="1">
        <f>'Tariff Jul 2016'!AU13</f>
        <v>0</v>
      </c>
      <c r="P21" s="1">
        <f>'Tariff Jul 2016'!AV13</f>
        <v>0</v>
      </c>
      <c r="Q21" s="1">
        <f>'Tariff Jul 2016'!AW13</f>
        <v>0</v>
      </c>
      <c r="R21" s="87">
        <f>($F$6*'Tariff Jul 2016'!AQ13/100)*4</f>
        <v>261.07199999999995</v>
      </c>
      <c r="S21" s="298">
        <f t="shared" si="3"/>
        <v>1393.184608</v>
      </c>
      <c r="T21" s="298">
        <f>S21</f>
        <v>1393.184608</v>
      </c>
      <c r="U21" s="298">
        <f t="shared" si="4"/>
        <v>1132.1126080000001</v>
      </c>
      <c r="V21" s="298">
        <f t="shared" si="5"/>
        <v>1132.1126080000001</v>
      </c>
      <c r="W21" s="300">
        <f t="shared" si="6"/>
        <v>1245.3238688000004</v>
      </c>
      <c r="X21" s="300">
        <f t="shared" si="7"/>
        <v>1245.3238688000004</v>
      </c>
      <c r="Y21" s="88">
        <f>'Tariff Jul 2016'!AQ13</f>
        <v>10</v>
      </c>
      <c r="Z21" s="89">
        <f>'Tariff Jul 2016'!BD13</f>
        <v>0</v>
      </c>
      <c r="AA21" s="89" t="str">
        <f>'Tariff Jul 2016'!BE13</f>
        <v>n</v>
      </c>
      <c r="AB21" s="90">
        <f>'Tariff Jul 2016'!G13</f>
        <v>40841</v>
      </c>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row>
    <row r="22" spans="1:88" ht="14" x14ac:dyDescent="0.15">
      <c r="A22" s="63" t="str">
        <f>'Tariff Jul 2016'!K14</f>
        <v>Simply Energy</v>
      </c>
      <c r="B22" s="1" t="str">
        <f>'Tariff Jul 2016'!L14</f>
        <v xml:space="preserve">Autumn Sale </v>
      </c>
      <c r="C22" s="84">
        <f>91*'Tariff Jul 2016'!M14/100</f>
        <v>57.684899999999999</v>
      </c>
      <c r="D22" s="84">
        <f>IF($F$5&gt;='Tariff Jul 2016'!P14,('Tariff Jul 2016'!P14*'Tariff Jul 2016'!N14/100),($F$5*'Tariff Jul 2016'!N14/100))</f>
        <v>272.26739999999995</v>
      </c>
      <c r="E22" s="84">
        <v>0</v>
      </c>
      <c r="F22" s="85">
        <v>0</v>
      </c>
      <c r="G22" s="84">
        <v>0</v>
      </c>
      <c r="H22" s="84">
        <v>0</v>
      </c>
      <c r="I22" s="84">
        <f>IF(($F$5&lt;'Tariff Jul 2016'!T14),(0),($F$5-'Tariff Jul 2016'!T14)*'Tariff Jul 2016'!U14/100)</f>
        <v>0</v>
      </c>
      <c r="J22" s="84">
        <f t="shared" si="0"/>
        <v>329.95229999999992</v>
      </c>
      <c r="K22" s="298">
        <f>(J22-C22)*4</f>
        <v>1089.0695999999998</v>
      </c>
      <c r="L22" s="86">
        <f t="shared" si="1"/>
        <v>1319.8091999999997</v>
      </c>
      <c r="M22" s="86">
        <f t="shared" si="2"/>
        <v>1451.7901199999999</v>
      </c>
      <c r="N22" s="1">
        <f>'Tariff Jul 2016'!AT14</f>
        <v>0</v>
      </c>
      <c r="O22" s="1">
        <f>'Tariff Jul 2016'!AU14</f>
        <v>0</v>
      </c>
      <c r="P22" s="1">
        <f>'Tariff Jul 2016'!AV14</f>
        <v>0</v>
      </c>
      <c r="Q22" s="1">
        <f>'Tariff Jul 2016'!AW14</f>
        <v>28</v>
      </c>
      <c r="R22" s="87">
        <f>($F$6*'Tariff Jul 2016'!AQ14/100)*4</f>
        <v>177.52895999999998</v>
      </c>
      <c r="S22" s="298">
        <f t="shared" si="3"/>
        <v>1319.8091999999997</v>
      </c>
      <c r="T22" s="298">
        <f>S22-(K22*Q22/100)</f>
        <v>1014.8697119999997</v>
      </c>
      <c r="U22" s="298">
        <f t="shared" si="4"/>
        <v>1142.2802399999996</v>
      </c>
      <c r="V22" s="298">
        <f t="shared" si="5"/>
        <v>837.34075199999972</v>
      </c>
      <c r="W22" s="300">
        <f t="shared" si="6"/>
        <v>1256.5082639999996</v>
      </c>
      <c r="X22" s="300">
        <f t="shared" si="7"/>
        <v>921.07482719999973</v>
      </c>
      <c r="Y22" s="88">
        <f>'Tariff Jul 2016'!AQ14</f>
        <v>6.8</v>
      </c>
      <c r="Z22" s="89">
        <f>'Tariff Jul 2016'!BD14</f>
        <v>24</v>
      </c>
      <c r="AA22" s="89" t="str">
        <f>'Tariff Jul 2016'!BE14</f>
        <v>y</v>
      </c>
      <c r="AB22" s="90">
        <f>'Tariff Jul 2016'!G14</f>
        <v>41046</v>
      </c>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row>
    <row r="23" spans="1:88" ht="15" thickBot="1" x14ac:dyDescent="0.2">
      <c r="A23" s="91" t="str">
        <f>'Tariff Jul 2016'!K15</f>
        <v>Urth Energy</v>
      </c>
      <c r="B23" s="92" t="str">
        <f>'Tariff Jul 2016'!L15</f>
        <v>Market offer</v>
      </c>
      <c r="C23" s="93">
        <f>91*'Tariff Jul 2016'!M15/100</f>
        <v>64.255099999999999</v>
      </c>
      <c r="D23" s="93">
        <f>IF($F$5&gt;='Tariff Jul 2016'!P15,('Tariff Jul 2016'!P15*'Tariff Jul 2016'!N15/100),($F$5*'Tariff Jul 2016'!N15/100))</f>
        <v>279.40884</v>
      </c>
      <c r="E23" s="93">
        <v>0</v>
      </c>
      <c r="F23" s="94">
        <v>0</v>
      </c>
      <c r="G23" s="93">
        <v>0</v>
      </c>
      <c r="H23" s="93">
        <v>0</v>
      </c>
      <c r="I23" s="93">
        <f>IF(($F$5&lt;'Tariff Jul 2016'!T15),(0),($F$5-'Tariff Jul 2016'!T15)*'Tariff Jul 2016'!U15/100)</f>
        <v>0</v>
      </c>
      <c r="J23" s="93">
        <f t="shared" si="0"/>
        <v>343.66394000000003</v>
      </c>
      <c r="K23" s="299">
        <f t="shared" si="8"/>
        <v>1117.6353600000002</v>
      </c>
      <c r="L23" s="95">
        <f t="shared" si="1"/>
        <v>1374.6557600000001</v>
      </c>
      <c r="M23" s="95">
        <f t="shared" si="2"/>
        <v>1512.1213360000002</v>
      </c>
      <c r="N23" s="92">
        <f>'Tariff Jul 2016'!AT15</f>
        <v>0</v>
      </c>
      <c r="O23" s="92">
        <f>'Tariff Jul 2016'!AU15</f>
        <v>0</v>
      </c>
      <c r="P23" s="92">
        <f>'Tariff Jul 2016'!AV15</f>
        <v>0</v>
      </c>
      <c r="Q23" s="92">
        <f>'Tariff Jul 2016'!AW15</f>
        <v>10</v>
      </c>
      <c r="R23" s="96">
        <f>($F$6*'Tariff Jul 2016'!AQ15/100)*4</f>
        <v>261.07199999999995</v>
      </c>
      <c r="S23" s="299">
        <f t="shared" si="3"/>
        <v>1374.6557600000001</v>
      </c>
      <c r="T23" s="299">
        <f>S23-(K23*Q23/100)</f>
        <v>1262.8922240000002</v>
      </c>
      <c r="U23" s="299">
        <f t="shared" si="4"/>
        <v>1113.5837600000002</v>
      </c>
      <c r="V23" s="299">
        <f t="shared" si="5"/>
        <v>1001.8202240000003</v>
      </c>
      <c r="W23" s="301">
        <f t="shared" si="6"/>
        <v>1224.9421360000003</v>
      </c>
      <c r="X23" s="301">
        <f t="shared" si="7"/>
        <v>1102.0022464000003</v>
      </c>
      <c r="Y23" s="97">
        <f>'Tariff Jul 2016'!AQ15</f>
        <v>10</v>
      </c>
      <c r="Z23" s="98">
        <f>'Tariff Jul 2016'!BD15</f>
        <v>0</v>
      </c>
      <c r="AA23" s="98" t="str">
        <f>'Tariff Jul 2016'!BE15</f>
        <v>n</v>
      </c>
      <c r="AB23" s="99">
        <f>'Tariff Jul 2016'!G15</f>
        <v>41090</v>
      </c>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row>
    <row r="24" spans="1:88" ht="14" x14ac:dyDescent="0.15">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row>
    <row r="25" spans="1:88" ht="15" thickBot="1" x14ac:dyDescent="0.2">
      <c r="A25" s="81"/>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row>
    <row r="26" spans="1:88" ht="14" x14ac:dyDescent="0.15">
      <c r="A26" s="82" t="s">
        <v>154</v>
      </c>
      <c r="B26" s="83"/>
      <c r="C26" s="100"/>
      <c r="D26" s="100"/>
      <c r="E26" s="100"/>
      <c r="F26" s="100"/>
      <c r="G26" s="101"/>
      <c r="H26" s="101"/>
      <c r="I26" s="83"/>
      <c r="J26" s="83"/>
      <c r="K26" s="101"/>
      <c r="L26" s="83"/>
      <c r="M26" s="83"/>
      <c r="N26" s="83"/>
      <c r="O26" s="83"/>
      <c r="P26" s="83"/>
      <c r="Q26" s="83"/>
      <c r="R26" s="83"/>
      <c r="S26" s="83"/>
      <c r="T26" s="83"/>
      <c r="U26" s="83"/>
      <c r="V26" s="83"/>
      <c r="W26" s="83"/>
      <c r="X26" s="83"/>
      <c r="Y26" s="83"/>
      <c r="Z26" s="83"/>
      <c r="AA26" s="83"/>
      <c r="AB26" s="18"/>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row>
    <row r="27" spans="1:88" ht="90" x14ac:dyDescent="0.15">
      <c r="A27" s="287" t="s">
        <v>231</v>
      </c>
      <c r="B27" s="288" t="s">
        <v>243</v>
      </c>
      <c r="C27" s="289" t="s">
        <v>244</v>
      </c>
      <c r="D27" s="289" t="s">
        <v>245</v>
      </c>
      <c r="E27" s="290" t="s">
        <v>357</v>
      </c>
      <c r="F27" s="290" t="s">
        <v>358</v>
      </c>
      <c r="G27" s="290" t="s">
        <v>329</v>
      </c>
      <c r="H27" s="290" t="s">
        <v>222</v>
      </c>
      <c r="I27" s="290" t="s">
        <v>223</v>
      </c>
      <c r="J27" s="290" t="s">
        <v>799</v>
      </c>
      <c r="K27" s="296" t="s">
        <v>246</v>
      </c>
      <c r="L27" s="296" t="s">
        <v>247</v>
      </c>
      <c r="M27" s="291" t="s">
        <v>248</v>
      </c>
      <c r="N27" s="292" t="s">
        <v>249</v>
      </c>
      <c r="O27" s="292" t="s">
        <v>250</v>
      </c>
      <c r="P27" s="292" t="s">
        <v>251</v>
      </c>
      <c r="Q27" s="292" t="s">
        <v>365</v>
      </c>
      <c r="R27" s="293" t="s">
        <v>373</v>
      </c>
      <c r="S27" s="297" t="s">
        <v>255</v>
      </c>
      <c r="T27" s="297" t="s">
        <v>224</v>
      </c>
      <c r="U27" s="297" t="s">
        <v>374</v>
      </c>
      <c r="V27" s="297" t="s">
        <v>375</v>
      </c>
      <c r="W27" s="293" t="s">
        <v>376</v>
      </c>
      <c r="X27" s="293" t="s">
        <v>436</v>
      </c>
      <c r="Y27" s="292" t="s">
        <v>155</v>
      </c>
      <c r="Z27" s="295" t="s">
        <v>225</v>
      </c>
      <c r="AA27" s="292" t="s">
        <v>226</v>
      </c>
      <c r="AB27" s="294" t="s">
        <v>437</v>
      </c>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row>
    <row r="28" spans="1:88" ht="14" x14ac:dyDescent="0.15">
      <c r="A28" s="63" t="str">
        <f>'Tariff Jul 2016'!K16</f>
        <v>AGL</v>
      </c>
      <c r="B28" s="1" t="str">
        <f>'Tariff Jul 2016'!L16</f>
        <v>Savers (solar)</v>
      </c>
      <c r="C28" s="102">
        <f>91*'Tariff Jul 2016'!M16/100</f>
        <v>64.519000000000005</v>
      </c>
      <c r="D28" s="102">
        <f>IF($H5&gt;='Tariff Jul 2016'!P16,('Tariff Jul 2016'!P16*25%)*'Tariff Jul 2016'!N16/100+('Tariff Jul 2016'!P16*75%)*'Tariff Jul 2016'!W16/100,((H5)*25%)*'Tariff Jul 2016'!N16/100+((H5)*75%)*'Tariff Jul 2016'!W16/100)</f>
        <v>224.09838719999999</v>
      </c>
      <c r="E28" s="102">
        <v>0</v>
      </c>
      <c r="F28" s="102">
        <v>0</v>
      </c>
      <c r="G28" s="102">
        <f>IF(($H$5&lt;'Tariff Jul 2016'!T16),(0),(($H$5-'Tariff Jul 2016'!T16)*25%)*'Tariff Jul 2016'!U16/100+(($H$5-'Tariff Jul 2016'!T16)*75%)*'Tariff Jul 2016'!AC16/100)</f>
        <v>0</v>
      </c>
      <c r="H28" s="102">
        <f>($I$5)*'Tariff Jul 2016'!AE16/100</f>
        <v>27.405275999999994</v>
      </c>
      <c r="I28" s="102">
        <v>0</v>
      </c>
      <c r="J28" s="102">
        <f>SUM(C28:I28)</f>
        <v>316.02266320000001</v>
      </c>
      <c r="K28" s="298">
        <f>(J28-C28)*4</f>
        <v>1006.0146528</v>
      </c>
      <c r="L28" s="86">
        <f>J28*4</f>
        <v>1264.0906528</v>
      </c>
      <c r="M28" s="86">
        <f>L28*1.1</f>
        <v>1390.4997180800001</v>
      </c>
      <c r="N28" s="1">
        <f>'Tariff Jul 2016'!AT16</f>
        <v>0</v>
      </c>
      <c r="O28" s="1">
        <f>'Tariff Jul 2016'!AU16</f>
        <v>0</v>
      </c>
      <c r="P28" s="1">
        <f>'Tariff Jul 2016'!AV16</f>
        <v>0</v>
      </c>
      <c r="Q28" s="1">
        <f>'Tariff Jul 2016'!AW16</f>
        <v>15</v>
      </c>
      <c r="R28" s="87">
        <f>($F$6*'Tariff Jul 2016'!AQ16/100)*4</f>
        <v>177.52895999999998</v>
      </c>
      <c r="S28" s="298">
        <f>L28</f>
        <v>1264.0906528</v>
      </c>
      <c r="T28" s="298">
        <f>S28-(K28*Q28/100)</f>
        <v>1113.1884548800001</v>
      </c>
      <c r="U28" s="298">
        <f>S28-R28</f>
        <v>1086.5616927999999</v>
      </c>
      <c r="V28" s="298">
        <f>T28-R28</f>
        <v>935.65949488000012</v>
      </c>
      <c r="W28" s="300">
        <f>U28*1.1</f>
        <v>1195.21786208</v>
      </c>
      <c r="X28" s="300">
        <f>V28*1.1</f>
        <v>1029.2254443680001</v>
      </c>
      <c r="Y28" s="88">
        <f>'Tariff Jul 2016'!AQ15</f>
        <v>10</v>
      </c>
      <c r="Z28" s="89">
        <f>'Tariff Jul 2016'!BD16</f>
        <v>0</v>
      </c>
      <c r="AA28" s="89" t="str">
        <f>'Tariff Jul 2016'!BE16</f>
        <v>n</v>
      </c>
      <c r="AB28" s="90">
        <f>'Tariff Jul 2016'!G16</f>
        <v>41102</v>
      </c>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row>
    <row r="29" spans="1:88" ht="14" x14ac:dyDescent="0.15">
      <c r="A29" s="63" t="str">
        <f>'Tariff Jul 2016'!K17</f>
        <v>Alinta Energy</v>
      </c>
      <c r="B29" s="1" t="str">
        <f>'Tariff Jul 2016'!L17</f>
        <v>Harvey Norman</v>
      </c>
      <c r="C29" s="102">
        <f>91*'Tariff Jul 2016'!M17/100</f>
        <v>71.962800000000001</v>
      </c>
      <c r="D29" s="102">
        <f>IF($H$5&gt;='Tariff Jul 2016'!P17,('Tariff Jul 2016'!P17*'Tariff Jul 2016'!N17/100),(($H$5)*'Tariff Jul 2016'!N17/100))</f>
        <v>95.28</v>
      </c>
      <c r="E29" s="102">
        <f>IF($H$5&lt;'Tariff Jul 2016'!P17,0,IF(($H$5-'Tariff Jul 2016'!P17)&lt;='Tariff Jul 2016'!R17,(($H$5-'Tariff Jul 2016'!P17)*'Tariff Jul 2016'!Q17/100),(('Tariff Jul 2016'!R17-'Tariff Jul 2016'!P17)*'Tariff Jul 2016'!Q17/100)))</f>
        <v>136.87459199999995</v>
      </c>
      <c r="F29" s="102">
        <f>IF($H$5&lt;'Tariff Jul 2016'!R17,0,IF(($H$5-'Tariff Jul 2016'!R17)&lt;='Tariff Jul 2016'!T17,(($H$5-'Tariff Jul 2016'!R17)*'Tariff Jul 2016'!S17/100),(('Tariff Jul 2016'!T17-'Tariff Jul 2016'!R17)*'Tariff Jul 2016'!S17/100)))</f>
        <v>0</v>
      </c>
      <c r="G29" s="102">
        <f>IF(($H$5&lt;'Tariff Jul 2016'!T17),(0),($H$5-'Tariff Jul 2016'!T17)*'Tariff Jul 2016'!U17/100)</f>
        <v>0</v>
      </c>
      <c r="H29" s="102">
        <f>IF($I$5&gt;='Tariff Jul 2016'!AF17,('Tariff Jul 2016'!AF17*'Tariff Jul 2016'!AE17/100),(($I$5)*'Tariff Jul 2016'!AE17/100))</f>
        <v>32.01150479999999</v>
      </c>
      <c r="I29" s="102">
        <f>IF((I5&lt;'Tariff Jul 2016'!AF17),(0),(I5-'Tariff Jul 2016'!AF17)*'Tariff Jul 2016'!AG17/100)</f>
        <v>0</v>
      </c>
      <c r="J29" s="102">
        <f t="shared" ref="J29:J41" si="9">SUM(C29:I29)</f>
        <v>336.12889679999995</v>
      </c>
      <c r="K29" s="298">
        <f>(J29-C29)*4</f>
        <v>1056.6643871999997</v>
      </c>
      <c r="L29" s="86">
        <f t="shared" ref="L29:L41" si="10">J29*4</f>
        <v>1344.5155871999998</v>
      </c>
      <c r="M29" s="86">
        <f t="shared" ref="M29:M41" si="11">L29*1.1</f>
        <v>1478.9671459199999</v>
      </c>
      <c r="N29" s="1">
        <f>'Tariff Jul 2016'!AT17</f>
        <v>0</v>
      </c>
      <c r="O29" s="1">
        <f>'Tariff Jul 2016'!AU17</f>
        <v>0</v>
      </c>
      <c r="P29" s="1">
        <f>'Tariff Jul 2016'!AV17</f>
        <v>0</v>
      </c>
      <c r="Q29" s="1">
        <f>'Tariff Jul 2016'!AW17</f>
        <v>20</v>
      </c>
      <c r="R29" s="87">
        <f>($F$6*'Tariff Jul 2016'!AQ17/100)*4</f>
        <v>177.52895999999998</v>
      </c>
      <c r="S29" s="298">
        <f t="shared" ref="S29:S41" si="12">L29</f>
        <v>1344.5155871999998</v>
      </c>
      <c r="T29" s="298">
        <f>S29-(K29*Q29/100)</f>
        <v>1133.1827097599999</v>
      </c>
      <c r="U29" s="298">
        <f t="shared" ref="U29:U41" si="13">S29-R29</f>
        <v>1166.9866271999999</v>
      </c>
      <c r="V29" s="298">
        <f t="shared" ref="V29:V41" si="14">T29-R29</f>
        <v>955.65374975999987</v>
      </c>
      <c r="W29" s="300">
        <f t="shared" ref="W29:W41" si="15">U29*1.1</f>
        <v>1283.6852899200001</v>
      </c>
      <c r="X29" s="300">
        <f t="shared" ref="X29:X41" si="16">V29*1.1</f>
        <v>1051.2191247359999</v>
      </c>
      <c r="Y29" s="88">
        <f>'Tariff Jul 2016'!AQ16</f>
        <v>6.8</v>
      </c>
      <c r="Z29" s="89">
        <f>'Tariff Jul 2016'!BD17</f>
        <v>0</v>
      </c>
      <c r="AA29" s="89" t="str">
        <f>'Tariff Jul 2016'!BE17</f>
        <v>n</v>
      </c>
      <c r="AB29" s="90">
        <f>'Tariff Jul 2016'!G17</f>
        <v>41111</v>
      </c>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row>
    <row r="30" spans="1:88" ht="14" x14ac:dyDescent="0.15">
      <c r="A30" s="63" t="str">
        <f>'Tariff Jul 2016'!K18</f>
        <v>Click Energy</v>
      </c>
      <c r="B30" s="1" t="str">
        <f>'Tariff Jul 2016'!L18</f>
        <v>Shine Plus</v>
      </c>
      <c r="C30" s="102">
        <f>91*'Tariff Jul 2016'!M18/100</f>
        <v>76.794899999999998</v>
      </c>
      <c r="D30" s="102">
        <f>IF($H$5&gt;='Tariff Jul 2016'!P18,('Tariff Jul 2016'!P18*'Tariff Jul 2016'!N18/100),(($H$5)*'Tariff Jul 2016'!N18/100))</f>
        <v>244.53004703999994</v>
      </c>
      <c r="E30" s="102">
        <v>0</v>
      </c>
      <c r="F30" s="102">
        <v>0</v>
      </c>
      <c r="G30" s="102">
        <f>IF(($H$5&lt;'Tariff Jul 2016'!T18),(0),($H$5-'Tariff Jul 2016'!T18)*'Tariff Jul 2016'!U18/100)</f>
        <v>0</v>
      </c>
      <c r="H30" s="102">
        <f>($I$5)*'Tariff Jul 2016'!AE18/100</f>
        <v>44.33405951999999</v>
      </c>
      <c r="I30" s="102">
        <v>0</v>
      </c>
      <c r="J30" s="102">
        <f t="shared" si="9"/>
        <v>365.65900655999991</v>
      </c>
      <c r="K30" s="298">
        <f t="shared" ref="K30:K41" si="17">(J30-C30)*4</f>
        <v>1155.4564262399997</v>
      </c>
      <c r="L30" s="86">
        <f t="shared" si="10"/>
        <v>1462.6360262399996</v>
      </c>
      <c r="M30" s="86">
        <f t="shared" si="11"/>
        <v>1608.8996288639996</v>
      </c>
      <c r="N30" s="1">
        <f>'Tariff Jul 2016'!AT18</f>
        <v>0</v>
      </c>
      <c r="O30" s="1">
        <f>'Tariff Jul 2016'!AU18</f>
        <v>0</v>
      </c>
      <c r="P30" s="1">
        <f>'Tariff Jul 2016'!AV18</f>
        <v>5</v>
      </c>
      <c r="Q30" s="1">
        <f>'Tariff Jul 2016'!AW18</f>
        <v>0</v>
      </c>
      <c r="R30" s="87">
        <f>($F$6*'Tariff Jul 2016'!AQ18/100)*4</f>
        <v>313.28640000000001</v>
      </c>
      <c r="S30" s="298">
        <f t="shared" si="12"/>
        <v>1462.6360262399996</v>
      </c>
      <c r="T30" s="298">
        <f>S30-(S30*P30/100)</f>
        <v>1389.5042249279998</v>
      </c>
      <c r="U30" s="298">
        <f t="shared" si="13"/>
        <v>1149.3496262399997</v>
      </c>
      <c r="V30" s="298">
        <f t="shared" si="14"/>
        <v>1076.2178249279998</v>
      </c>
      <c r="W30" s="300">
        <f t="shared" si="15"/>
        <v>1264.2845888639997</v>
      </c>
      <c r="X30" s="300">
        <f t="shared" si="16"/>
        <v>1183.8396074207999</v>
      </c>
      <c r="Y30" s="88">
        <f>'Tariff Jul 2016'!AQ17</f>
        <v>6.8</v>
      </c>
      <c r="Z30" s="89">
        <f>'Tariff Jul 2016'!BD18</f>
        <v>0</v>
      </c>
      <c r="AA30" s="89" t="str">
        <f>'Tariff Jul 2016'!BE18</f>
        <v>n</v>
      </c>
      <c r="AB30" s="90">
        <f>'Tariff Jul 2016'!G18</f>
        <v>41090</v>
      </c>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4" x14ac:dyDescent="0.15">
      <c r="A31" s="63" t="str">
        <f>'Tariff Jul 2016'!K19</f>
        <v>Commander</v>
      </c>
      <c r="B31" s="1" t="str">
        <f>'Tariff Jul 2016'!L19</f>
        <v>Market offer</v>
      </c>
      <c r="C31" s="102">
        <f>91*'Tariff Jul 2016'!M19/100</f>
        <v>64.200500000000005</v>
      </c>
      <c r="D31" s="102">
        <f>IF($H$5&gt;='Tariff Jul 2016'!P19,('Tariff Jul 2016'!P19*'Tariff Jul 2016'!N19/100),(($H$5)*'Tariff Jul 2016'!N19/100))</f>
        <v>95.85</v>
      </c>
      <c r="E31" s="102">
        <f>IF($H$5&lt;'Tariff Jul 2016'!P19,0,IF(($H$5-'Tariff Jul 2016'!P19)&lt;='Tariff Jul 2016'!R19,(($H$5-'Tariff Jul 2016'!P19)*'Tariff Jul 2016'!Q19/100),(('Tariff Jul 2016'!R19-'Tariff Jul 2016'!P19)*'Tariff Jul 2016'!Q19/100)))</f>
        <v>132.31900799999997</v>
      </c>
      <c r="F31" s="102">
        <f>IF($H$5&lt;'Tariff Jul 2016'!R19,0,IF(($H$5-'Tariff Jul 2016'!R19)&lt;='Tariff Jul 2016'!T19,(($H$5-'Tariff Jul 2016'!R19)*'Tariff Jul 2016'!S19/100),(('Tariff Jul 2016'!T19-'Tariff Jul 2016'!R19)*'Tariff Jul 2016'!S19/100)))</f>
        <v>0</v>
      </c>
      <c r="G31" s="102">
        <f>IF(($H$5&lt;'Tariff Jul 2016'!T19),(0),($H$5-'Tariff Jul 2016'!T19)*'Tariff Jul 2016'!U19/100)</f>
        <v>0</v>
      </c>
      <c r="H31" s="102">
        <f>($I$5)*'Tariff Jul 2016'!AE19/100</f>
        <v>28.744295999999999</v>
      </c>
      <c r="I31" s="102">
        <v>0</v>
      </c>
      <c r="J31" s="102">
        <f t="shared" si="9"/>
        <v>321.11380400000002</v>
      </c>
      <c r="K31" s="298">
        <f t="shared" si="17"/>
        <v>1027.6532160000002</v>
      </c>
      <c r="L31" s="86">
        <f t="shared" si="10"/>
        <v>1284.4552160000001</v>
      </c>
      <c r="M31" s="86">
        <f t="shared" si="11"/>
        <v>1412.9007376000002</v>
      </c>
      <c r="N31" s="1">
        <f>'Tariff Jul 2016'!AT19</f>
        <v>0</v>
      </c>
      <c r="O31" s="1">
        <f>'Tariff Jul 2016'!AU19</f>
        <v>0</v>
      </c>
      <c r="P31" s="1">
        <f>'Tariff Jul 2016'!AV19</f>
        <v>0</v>
      </c>
      <c r="Q31" s="1">
        <f>'Tariff Jul 2016'!AW19</f>
        <v>20</v>
      </c>
      <c r="R31" s="87">
        <f>($F$6*'Tariff Jul 2016'!AQ19/100)*4</f>
        <v>182.75039999999998</v>
      </c>
      <c r="S31" s="298">
        <f t="shared" si="12"/>
        <v>1284.4552160000001</v>
      </c>
      <c r="T31" s="298">
        <f>S31-(K31*Q31/100)</f>
        <v>1078.9245728000001</v>
      </c>
      <c r="U31" s="298">
        <f t="shared" si="13"/>
        <v>1101.7048160000002</v>
      </c>
      <c r="V31" s="298">
        <f t="shared" si="14"/>
        <v>896.17417280000006</v>
      </c>
      <c r="W31" s="300">
        <f t="shared" si="15"/>
        <v>1211.8752976000003</v>
      </c>
      <c r="X31" s="300">
        <f t="shared" si="16"/>
        <v>985.79159008000011</v>
      </c>
      <c r="Y31" s="88">
        <f>'Tariff Jul 2016'!AQ18</f>
        <v>12</v>
      </c>
      <c r="Z31" s="89">
        <f>'Tariff Jul 2016'!BD19</f>
        <v>0</v>
      </c>
      <c r="AA31" s="89" t="str">
        <f>'Tariff Jul 2016'!BE19</f>
        <v>n</v>
      </c>
      <c r="AB31" s="90">
        <f>'Tariff Jul 2016'!G19</f>
        <v>41181</v>
      </c>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row>
    <row r="32" spans="1:88" ht="14" x14ac:dyDescent="0.15">
      <c r="A32" s="63" t="str">
        <f>'Tariff Jul 2016'!K20</f>
        <v>Diamond Energy</v>
      </c>
      <c r="B32" s="1" t="str">
        <f>'Tariff Jul 2016'!L20</f>
        <v>Pay on time discount</v>
      </c>
      <c r="C32" s="102">
        <f>91*'Tariff Jul 2016'!M20/100</f>
        <v>71.389499999999998</v>
      </c>
      <c r="D32" s="102">
        <f>IF($H$5&gt;='Tariff Jul 2016'!P20,('Tariff Jul 2016'!P20*'Tariff Jul 2016'!N20/100),(($H$5)*'Tariff Jul 2016'!N20/100))</f>
        <v>89.43</v>
      </c>
      <c r="E32" s="102">
        <f>IF($H$5&lt;'Tariff Jul 2016'!P20,0,IF(($H$5-'Tariff Jul 2016'!P20)&lt;='Tariff Jul 2016'!R20,(($H$5-'Tariff Jul 2016'!P20)*'Tariff Jul 2016'!Q20/100),(('Tariff Jul 2016'!R20-'Tariff Jul 2016'!P20)*'Tariff Jul 2016'!Q20/100)))</f>
        <v>132.31900799999997</v>
      </c>
      <c r="F32" s="102">
        <f>IF($H$5&lt;'Tariff Jul 2016'!R20,0,IF(($H$5-'Tariff Jul 2016'!R20)&lt;='Tariff Jul 2016'!T20,(($H$5-'Tariff Jul 2016'!R20)*'Tariff Jul 2016'!S20/100),(('Tariff Jul 2016'!T20-'Tariff Jul 2016'!R20)*'Tariff Jul 2016'!S20/100)))</f>
        <v>0</v>
      </c>
      <c r="G32" s="102">
        <f>IF(($H$5&lt;'Tariff Jul 2016'!T20),(0),($H$5-'Tariff Jul 2016'!T20)*'Tariff Jul 2016'!U20/100)</f>
        <v>0</v>
      </c>
      <c r="H32" s="102">
        <f>($I$5)*'Tariff Jul 2016'!AE20/100</f>
        <v>28.547906399999999</v>
      </c>
      <c r="I32" s="102">
        <v>0</v>
      </c>
      <c r="J32" s="102">
        <f t="shared" si="9"/>
        <v>321.68641439999999</v>
      </c>
      <c r="K32" s="298">
        <f t="shared" si="17"/>
        <v>1001.1876576</v>
      </c>
      <c r="L32" s="86">
        <f t="shared" si="10"/>
        <v>1286.7456576</v>
      </c>
      <c r="M32" s="86">
        <f t="shared" si="11"/>
        <v>1415.4202233600001</v>
      </c>
      <c r="N32" s="1">
        <f>'Tariff Jul 2016'!AT20</f>
        <v>0</v>
      </c>
      <c r="O32" s="1">
        <f>'Tariff Jul 2016'!AU20</f>
        <v>0</v>
      </c>
      <c r="P32" s="1">
        <f>'Tariff Jul 2016'!AV20</f>
        <v>7</v>
      </c>
      <c r="Q32" s="1">
        <f>'Tariff Jul 2016'!AW20</f>
        <v>0</v>
      </c>
      <c r="R32" s="87">
        <f>($F$6*'Tariff Jul 2016'!AQ20/100)*4</f>
        <v>208.85759999999999</v>
      </c>
      <c r="S32" s="298">
        <f t="shared" si="12"/>
        <v>1286.7456576</v>
      </c>
      <c r="T32" s="298">
        <f>S32-(S32*P32/100)</f>
        <v>1196.673461568</v>
      </c>
      <c r="U32" s="298">
        <f t="shared" si="13"/>
        <v>1077.8880575999999</v>
      </c>
      <c r="V32" s="298">
        <f t="shared" si="14"/>
        <v>987.81586156799995</v>
      </c>
      <c r="W32" s="300">
        <f t="shared" si="15"/>
        <v>1185.67686336</v>
      </c>
      <c r="X32" s="300">
        <f t="shared" si="16"/>
        <v>1086.5974477248001</v>
      </c>
      <c r="Y32" s="88">
        <f>'Tariff Jul 2016'!AQ19</f>
        <v>7</v>
      </c>
      <c r="Z32" s="89">
        <f>'Tariff Jul 2016'!BD20</f>
        <v>24</v>
      </c>
      <c r="AA32" s="89" t="str">
        <f>'Tariff Jul 2016'!BE20</f>
        <v>y</v>
      </c>
      <c r="AB32" s="90">
        <f>'Tariff Jul 2016'!G20</f>
        <v>41121</v>
      </c>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row>
    <row r="33" spans="1:88" ht="14" x14ac:dyDescent="0.15">
      <c r="A33" s="63" t="str">
        <f>'Tariff Jul 2016'!K21</f>
        <v>Dodo Power &amp; Gas</v>
      </c>
      <c r="B33" s="1" t="str">
        <f>'Tariff Jul 2016'!L21</f>
        <v>Market offer</v>
      </c>
      <c r="C33" s="102">
        <f>91*'Tariff Jul 2016'!M21/100</f>
        <v>64.200500000000005</v>
      </c>
      <c r="D33" s="102">
        <f>IF($H$5&gt;='Tariff Jul 2016'!P21,('Tariff Jul 2016'!P21*'Tariff Jul 2016'!N21/100),(($H$5)*'Tariff Jul 2016'!N21/100))</f>
        <v>100.5</v>
      </c>
      <c r="E33" s="102">
        <f>IF($H$5&lt;'Tariff Jul 2016'!P21,0,IF(($H$5-'Tariff Jul 2016'!P21)&lt;='Tariff Jul 2016'!R21,(($H$5-'Tariff Jul 2016'!P21)*'Tariff Jul 2016'!Q21/100),(('Tariff Jul 2016'!R21-'Tariff Jul 2016'!P21)*'Tariff Jul 2016'!Q21/100)))</f>
        <v>138.73823999999996</v>
      </c>
      <c r="F33" s="102">
        <f>IF($H$5&lt;'Tariff Jul 2016'!R21,0,IF(($H$5-'Tariff Jul 2016'!R21)&lt;='Tariff Jul 2016'!T21,(($H$5-'Tariff Jul 2016'!R21)*'Tariff Jul 2016'!S21/100),(('Tariff Jul 2016'!T21-'Tariff Jul 2016'!R21)*'Tariff Jul 2016'!S21/100)))</f>
        <v>0</v>
      </c>
      <c r="G33" s="102">
        <f>IF(($H$5&lt;'Tariff Jul 2016'!T21),(0),($H$5-'Tariff Jul 2016'!T21)*'Tariff Jul 2016'!U21/100)</f>
        <v>0</v>
      </c>
      <c r="H33" s="102">
        <f>($I$5)*'Tariff Jul 2016'!AE21/100</f>
        <v>28.922831999999993</v>
      </c>
      <c r="I33" s="102">
        <v>0</v>
      </c>
      <c r="J33" s="102">
        <f t="shared" si="9"/>
        <v>332.36157199999991</v>
      </c>
      <c r="K33" s="298">
        <f t="shared" si="17"/>
        <v>1072.6442879999995</v>
      </c>
      <c r="L33" s="86">
        <f t="shared" si="10"/>
        <v>1329.4462879999996</v>
      </c>
      <c r="M33" s="86">
        <f t="shared" si="11"/>
        <v>1462.3909167999998</v>
      </c>
      <c r="N33" s="1">
        <f>'Tariff Jul 2016'!AT21</f>
        <v>0</v>
      </c>
      <c r="O33" s="1">
        <f>'Tariff Jul 2016'!AU21</f>
        <v>0</v>
      </c>
      <c r="P33" s="1">
        <f>'Tariff Jul 2016'!AV21</f>
        <v>0</v>
      </c>
      <c r="Q33" s="1">
        <f>'Tariff Jul 2016'!AW21</f>
        <v>25</v>
      </c>
      <c r="R33" s="87">
        <f>($F$6*'Tariff Jul 2016'!AQ21/100)*4</f>
        <v>182.75039999999998</v>
      </c>
      <c r="S33" s="298">
        <f t="shared" si="12"/>
        <v>1329.4462879999996</v>
      </c>
      <c r="T33" s="298">
        <f>S33-(K33*Q33/100)</f>
        <v>1061.2852159999998</v>
      </c>
      <c r="U33" s="298">
        <f t="shared" si="13"/>
        <v>1146.6958879999997</v>
      </c>
      <c r="V33" s="298">
        <f t="shared" si="14"/>
        <v>878.53481599999975</v>
      </c>
      <c r="W33" s="300">
        <f t="shared" si="15"/>
        <v>1261.3654767999999</v>
      </c>
      <c r="X33" s="300">
        <f t="shared" si="16"/>
        <v>966.38829759999976</v>
      </c>
      <c r="Y33" s="88">
        <f>'Tariff Jul 2016'!AQ20</f>
        <v>8</v>
      </c>
      <c r="Z33" s="89">
        <f>'Tariff Jul 2016'!BD21</f>
        <v>0</v>
      </c>
      <c r="AA33" s="89" t="str">
        <f>'Tariff Jul 2016'!BE21</f>
        <v>n</v>
      </c>
      <c r="AB33" s="90">
        <f>'Tariff Jul 2016'!G21</f>
        <v>41055</v>
      </c>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row>
    <row r="34" spans="1:88" ht="14" x14ac:dyDescent="0.15">
      <c r="A34" s="63" t="str">
        <f>'Tariff Jul 2016'!K22</f>
        <v>EnergyAustralia</v>
      </c>
      <c r="B34" s="1" t="str">
        <f>'Tariff Jul 2016'!L22</f>
        <v xml:space="preserve">Flexi Saver </v>
      </c>
      <c r="C34" s="102">
        <f>91*'Tariff Jul 2016'!M22/100</f>
        <v>72.6999</v>
      </c>
      <c r="D34" s="102">
        <f>IF($H$5&gt;='Tariff Jul 2016'!P22,('Tariff Jul 2016'!P22*'Tariff Jul 2016'!N22/100),(($H$5)*'Tariff Jul 2016'!N22/100))</f>
        <v>242.57614905599996</v>
      </c>
      <c r="E34" s="102">
        <f>IF($H$5&lt;'Tariff Jul 2016'!P22,0,IF(($H$5-'Tariff Jul 2016'!P22)&lt;='Tariff Jul 2016'!R22,(($H$5-'Tariff Jul 2016'!P22)*'Tariff Jul 2016'!Q22/100),(('Tariff Jul 2016'!R22-'Tariff Jul 2016'!P22)*'Tariff Jul 2016'!Q22/100)))</f>
        <v>0</v>
      </c>
      <c r="F34" s="102">
        <v>0</v>
      </c>
      <c r="G34" s="102">
        <v>0</v>
      </c>
      <c r="H34" s="102">
        <f>($I$5)*'Tariff Jul 2016'!AE22/100</f>
        <v>25.864331783999997</v>
      </c>
      <c r="I34" s="102">
        <v>0</v>
      </c>
      <c r="J34" s="102">
        <f t="shared" si="9"/>
        <v>341.14038083999998</v>
      </c>
      <c r="K34" s="298">
        <f t="shared" si="17"/>
        <v>1073.7619233599999</v>
      </c>
      <c r="L34" s="86">
        <f t="shared" si="10"/>
        <v>1364.5615233599999</v>
      </c>
      <c r="M34" s="86">
        <f t="shared" si="11"/>
        <v>1501.017675696</v>
      </c>
      <c r="N34" s="1">
        <f>'Tariff Jul 2016'!AT22</f>
        <v>0</v>
      </c>
      <c r="O34" s="1">
        <f>'Tariff Jul 2016'!AU22</f>
        <v>0</v>
      </c>
      <c r="P34" s="1">
        <f>'Tariff Jul 2016'!AV22</f>
        <v>0</v>
      </c>
      <c r="Q34" s="1">
        <f>'Tariff Jul 2016'!AW22</f>
        <v>18</v>
      </c>
      <c r="R34" s="87">
        <f>($F$6*'Tariff Jul 2016'!AQ22/100)*4</f>
        <v>214.07903999999996</v>
      </c>
      <c r="S34" s="298">
        <f t="shared" si="12"/>
        <v>1364.5615233599999</v>
      </c>
      <c r="T34" s="298">
        <f>S34-(K34*Q34/100)</f>
        <v>1171.2843771552</v>
      </c>
      <c r="U34" s="298">
        <f t="shared" si="13"/>
        <v>1150.4824833600001</v>
      </c>
      <c r="V34" s="298">
        <f t="shared" si="14"/>
        <v>957.20533715520003</v>
      </c>
      <c r="W34" s="300">
        <f t="shared" si="15"/>
        <v>1265.5307316960002</v>
      </c>
      <c r="X34" s="300">
        <f t="shared" si="16"/>
        <v>1052.92587087072</v>
      </c>
      <c r="Y34" s="88">
        <f>'Tariff Jul 2016'!AQ21</f>
        <v>7</v>
      </c>
      <c r="Z34" s="89">
        <f>'Tariff Jul 2016'!BD22</f>
        <v>0</v>
      </c>
      <c r="AA34" s="89" t="str">
        <f>'Tariff Jul 2016'!BE22</f>
        <v>n</v>
      </c>
      <c r="AB34" s="90">
        <f>'Tariff Jul 2016'!G22</f>
        <v>41117</v>
      </c>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row>
    <row r="35" spans="1:88" ht="14" x14ac:dyDescent="0.15">
      <c r="A35" s="63" t="str">
        <f>'Tariff Jul 2016'!K23</f>
        <v>Lumo Energy</v>
      </c>
      <c r="B35" s="1" t="str">
        <f>'Tariff Jul 2016'!L23</f>
        <v>Advantage</v>
      </c>
      <c r="C35" s="102">
        <f>91*'Tariff Jul 2016'!M23/100</f>
        <v>72.408699999999996</v>
      </c>
      <c r="D35" s="102">
        <f>IF($H$5&gt;='Tariff Jul 2016'!P23,('Tariff Jul 2016'!P23*'Tariff Jul 2016'!N23/100),(($H$5)*'Tariff Jul 2016'!N23/100))</f>
        <v>221.17039679999993</v>
      </c>
      <c r="E35" s="102">
        <v>0</v>
      </c>
      <c r="F35" s="102">
        <v>0</v>
      </c>
      <c r="G35" s="102">
        <f>IF(($H$5&lt;'Tariff Jul 2016'!T23),(0),($H$5-'Tariff Jul 2016'!T23)*'Tariff Jul 2016'!U23/100)</f>
        <v>0</v>
      </c>
      <c r="H35" s="102">
        <f>($I$5)*'Tariff Jul 2016'!AE23/100</f>
        <v>27.494543999999998</v>
      </c>
      <c r="I35" s="102">
        <v>0</v>
      </c>
      <c r="J35" s="102">
        <f t="shared" si="9"/>
        <v>321.07364079999996</v>
      </c>
      <c r="K35" s="298">
        <f t="shared" si="17"/>
        <v>994.65976319999982</v>
      </c>
      <c r="L35" s="86">
        <f t="shared" si="10"/>
        <v>1284.2945631999999</v>
      </c>
      <c r="M35" s="86">
        <f t="shared" si="11"/>
        <v>1412.72401952</v>
      </c>
      <c r="N35" s="1">
        <f>'Tariff Jul 2016'!AT23</f>
        <v>0</v>
      </c>
      <c r="O35" s="1">
        <f>'Tariff Jul 2016'!AU23</f>
        <v>0</v>
      </c>
      <c r="P35" s="1">
        <f>'Tariff Jul 2016'!AV23</f>
        <v>12</v>
      </c>
      <c r="Q35" s="1">
        <f>'Tariff Jul 2016'!AW23</f>
        <v>0</v>
      </c>
      <c r="R35" s="87">
        <f>($F$6*'Tariff Jul 2016'!AQ23/100)*4</f>
        <v>182.75039999999998</v>
      </c>
      <c r="S35" s="298">
        <f t="shared" si="12"/>
        <v>1284.2945631999999</v>
      </c>
      <c r="T35" s="298">
        <f>S35-(S35*P35/100)</f>
        <v>1130.179215616</v>
      </c>
      <c r="U35" s="298">
        <f t="shared" si="13"/>
        <v>1101.5441632</v>
      </c>
      <c r="V35" s="298">
        <f t="shared" si="14"/>
        <v>947.42881561599995</v>
      </c>
      <c r="W35" s="300">
        <f t="shared" si="15"/>
        <v>1211.6985795200001</v>
      </c>
      <c r="X35" s="300">
        <f t="shared" si="16"/>
        <v>1042.1716971776</v>
      </c>
      <c r="Y35" s="88">
        <f>'Tariff Jul 2016'!AQ22</f>
        <v>8.1999999999999993</v>
      </c>
      <c r="Z35" s="89">
        <f>'Tariff Jul 2016'!BD23</f>
        <v>24</v>
      </c>
      <c r="AA35" s="89" t="str">
        <f>'Tariff Jul 2016'!BE23</f>
        <v>n</v>
      </c>
      <c r="AB35" s="90">
        <f>'Tariff Jul 2016'!G23</f>
        <v>41060</v>
      </c>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row>
    <row r="36" spans="1:88" ht="14" x14ac:dyDescent="0.15">
      <c r="A36" s="63" t="str">
        <f>'Tariff Jul 2016'!K24</f>
        <v>Momentum Energy</v>
      </c>
      <c r="B36" s="1" t="str">
        <f>'Tariff Jul 2016'!L24</f>
        <v>SmilePower</v>
      </c>
      <c r="C36" s="102">
        <f>91*'Tariff Jul 2016'!M24/100</f>
        <v>68.377399999999994</v>
      </c>
      <c r="D36" s="102">
        <f>IF($H$5&gt;='Tariff Jul 2016'!P24,('Tariff Jul 2016'!P24*'Tariff Jul 2016'!N24/100),(($H$5)*'Tariff Jul 2016'!N24/100))</f>
        <v>186.18</v>
      </c>
      <c r="E36" s="102">
        <v>0</v>
      </c>
      <c r="F36" s="102">
        <v>0</v>
      </c>
      <c r="G36" s="102">
        <f>IF(($H$5&lt;'Tariff Jul 2016'!T24),(0),($H$5-'Tariff Jul 2016'!T24)*'Tariff Jul 2016'!U24/100)</f>
        <v>36.149404799999964</v>
      </c>
      <c r="H36" s="102">
        <f>($I$5)*'Tariff Jul 2016'!AE24/100</f>
        <v>37.59968159999999</v>
      </c>
      <c r="I36" s="102">
        <v>0</v>
      </c>
      <c r="J36" s="102">
        <f t="shared" si="9"/>
        <v>328.30648639999998</v>
      </c>
      <c r="K36" s="298">
        <f t="shared" si="17"/>
        <v>1039.7163455999998</v>
      </c>
      <c r="L36" s="86">
        <f t="shared" si="10"/>
        <v>1313.2259455999999</v>
      </c>
      <c r="M36" s="86">
        <f t="shared" si="11"/>
        <v>1444.5485401600001</v>
      </c>
      <c r="N36" s="1">
        <f>'Tariff Jul 2016'!AT24</f>
        <v>0</v>
      </c>
      <c r="O36" s="1">
        <f>'Tariff Jul 2016'!AU24</f>
        <v>0</v>
      </c>
      <c r="P36" s="1">
        <f>'Tariff Jul 2016'!AV24</f>
        <v>0</v>
      </c>
      <c r="Q36" s="1">
        <f>'Tariff Jul 2016'!AW24</f>
        <v>0</v>
      </c>
      <c r="R36" s="87">
        <f>($F$6*'Tariff Jul 2016'!AQ24/100)*4</f>
        <v>177.52895999999998</v>
      </c>
      <c r="S36" s="298">
        <f t="shared" si="12"/>
        <v>1313.2259455999999</v>
      </c>
      <c r="T36" s="298">
        <f>S36</f>
        <v>1313.2259455999999</v>
      </c>
      <c r="U36" s="298">
        <f t="shared" si="13"/>
        <v>1135.6969856000001</v>
      </c>
      <c r="V36" s="298">
        <f t="shared" si="14"/>
        <v>1135.6969856000001</v>
      </c>
      <c r="W36" s="300">
        <f t="shared" si="15"/>
        <v>1249.2666841600001</v>
      </c>
      <c r="X36" s="300">
        <f t="shared" si="16"/>
        <v>1249.2666841600001</v>
      </c>
      <c r="Y36" s="88">
        <f>'Tariff Jul 2016'!AQ23</f>
        <v>7</v>
      </c>
      <c r="Z36" s="89">
        <f>'Tariff Jul 2016'!BD24</f>
        <v>12</v>
      </c>
      <c r="AA36" s="89" t="str">
        <f>'Tariff Jul 2016'!BE24</f>
        <v>y</v>
      </c>
      <c r="AB36" s="90">
        <f>'Tariff Jul 2016'!G24</f>
        <v>41121</v>
      </c>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row>
    <row r="37" spans="1:88" ht="14" x14ac:dyDescent="0.15">
      <c r="A37" s="63" t="str">
        <f>'Tariff Jul 2016'!K25</f>
        <v>Origin Energy</v>
      </c>
      <c r="B37" s="1" t="str">
        <f>'Tariff Jul 2016'!L25</f>
        <v>Saver</v>
      </c>
      <c r="C37" s="102">
        <f>91*'Tariff Jul 2016'!M25/100</f>
        <v>64.255099999999999</v>
      </c>
      <c r="D37" s="102">
        <f>IF($H$5&gt;='Tariff Jul 2016'!P25,('Tariff Jul 2016'!P25*'Tariff Jul 2016'!N25/100),(($H$5)*'Tariff Jul 2016'!N25/100))</f>
        <v>223.66990079999997</v>
      </c>
      <c r="E37" s="102">
        <v>0</v>
      </c>
      <c r="F37" s="102">
        <v>0</v>
      </c>
      <c r="G37" s="102">
        <f>IF(($H$5&lt;'Tariff Jul 2016'!T25),(0),($H$5-'Tariff Jul 2016'!T25)*'Tariff Jul 2016'!U25/100)</f>
        <v>0</v>
      </c>
      <c r="H37" s="102">
        <f>($I$5)*'Tariff Jul 2016'!AE25/100</f>
        <v>27.137471999999992</v>
      </c>
      <c r="I37" s="102">
        <v>0</v>
      </c>
      <c r="J37" s="102">
        <f t="shared" si="9"/>
        <v>315.06247279999997</v>
      </c>
      <c r="K37" s="298">
        <f t="shared" si="17"/>
        <v>1003.2294911999999</v>
      </c>
      <c r="L37" s="86">
        <f t="shared" si="10"/>
        <v>1260.2498911999999</v>
      </c>
      <c r="M37" s="86">
        <f t="shared" si="11"/>
        <v>1386.27488032</v>
      </c>
      <c r="N37" s="1">
        <f>'Tariff Jul 2016'!AT25</f>
        <v>0</v>
      </c>
      <c r="O37" s="1">
        <f>'Tariff Jul 2016'!AU25</f>
        <v>0</v>
      </c>
      <c r="P37" s="1">
        <f>'Tariff Jul 2016'!AV25</f>
        <v>0</v>
      </c>
      <c r="Q37" s="1">
        <f>'Tariff Jul 2016'!AW25</f>
        <v>16</v>
      </c>
      <c r="R37" s="87">
        <f>($F$6*'Tariff Jul 2016'!AQ25/100)*4</f>
        <v>177.52895999999998</v>
      </c>
      <c r="S37" s="298">
        <f t="shared" si="12"/>
        <v>1260.2498911999999</v>
      </c>
      <c r="T37" s="298">
        <f>S37-(K37*Q37/100)</f>
        <v>1099.7331726079999</v>
      </c>
      <c r="U37" s="298">
        <f t="shared" si="13"/>
        <v>1082.7209312</v>
      </c>
      <c r="V37" s="298">
        <f t="shared" si="14"/>
        <v>922.20421260799992</v>
      </c>
      <c r="W37" s="300">
        <f t="shared" si="15"/>
        <v>1190.9930243200001</v>
      </c>
      <c r="X37" s="300">
        <f t="shared" si="16"/>
        <v>1014.4246338688</v>
      </c>
      <c r="Y37" s="88">
        <f>'Tariff Jul 2016'!AQ24</f>
        <v>6.8</v>
      </c>
      <c r="Z37" s="89">
        <f>'Tariff Jul 2016'!BD25</f>
        <v>0</v>
      </c>
      <c r="AA37" s="89" t="str">
        <f>'Tariff Jul 2016'!BE25</f>
        <v>n</v>
      </c>
      <c r="AB37" s="90">
        <f>'Tariff Jul 2016'!G25</f>
        <v>41096</v>
      </c>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row>
    <row r="38" spans="1:88" ht="14" x14ac:dyDescent="0.15">
      <c r="A38" s="63" t="str">
        <f>'Tariff Jul 2016'!K26</f>
        <v>Powerdirect</v>
      </c>
      <c r="B38" s="1" t="str">
        <f>'Tariff Jul 2016'!L26</f>
        <v>18 percent</v>
      </c>
      <c r="C38" s="102">
        <f>91*'Tariff Jul 2016'!M26/100</f>
        <v>69.460300000000004</v>
      </c>
      <c r="D38" s="102">
        <f>IF($H$5&gt;='Tariff Jul 2016'!P26,('Tariff Jul 2016'!P26*'Tariff Jul 2016'!N26/100),(($H$5)*'Tariff Jul 2016'!N26/100))</f>
        <v>222.52727039999999</v>
      </c>
      <c r="E38" s="102">
        <v>0</v>
      </c>
      <c r="F38" s="102">
        <v>0</v>
      </c>
      <c r="G38" s="102">
        <f>IF(($H$5&lt;'Tariff Jul 2016'!T26),(0),($H$5-'Tariff Jul 2016'!T26)*'Tariff Jul 2016'!U26/100)</f>
        <v>0</v>
      </c>
      <c r="H38" s="102">
        <f>($I$5)*'Tariff Jul 2016'!AE26/100</f>
        <v>29.458439999999996</v>
      </c>
      <c r="I38" s="102">
        <v>0</v>
      </c>
      <c r="J38" s="102">
        <f t="shared" si="9"/>
        <v>321.44601039999998</v>
      </c>
      <c r="K38" s="298">
        <f t="shared" si="17"/>
        <v>1007.9428415999998</v>
      </c>
      <c r="L38" s="86">
        <f t="shared" si="10"/>
        <v>1285.7840415999999</v>
      </c>
      <c r="M38" s="86">
        <f t="shared" si="11"/>
        <v>1414.3624457600001</v>
      </c>
      <c r="N38" s="1">
        <f>'Tariff Jul 2016'!AT26</f>
        <v>0</v>
      </c>
      <c r="O38" s="1">
        <f>'Tariff Jul 2016'!AU26</f>
        <v>0</v>
      </c>
      <c r="P38" s="1">
        <f>'Tariff Jul 2016'!AV26</f>
        <v>0</v>
      </c>
      <c r="Q38" s="1">
        <f>'Tariff Jul 2016'!AW26</f>
        <v>18</v>
      </c>
      <c r="R38" s="87">
        <f>($F$6*'Tariff Jul 2016'!AQ26/100)*4</f>
        <v>177.52895999999998</v>
      </c>
      <c r="S38" s="298">
        <f t="shared" si="12"/>
        <v>1285.7840415999999</v>
      </c>
      <c r="T38" s="298">
        <f>S38-(K38*Q38/100)</f>
        <v>1104.3543301119998</v>
      </c>
      <c r="U38" s="298">
        <f t="shared" si="13"/>
        <v>1108.2550815999998</v>
      </c>
      <c r="V38" s="298">
        <f t="shared" si="14"/>
        <v>926.82537011199986</v>
      </c>
      <c r="W38" s="300">
        <f t="shared" si="15"/>
        <v>1219.0805897599998</v>
      </c>
      <c r="X38" s="300">
        <f t="shared" si="16"/>
        <v>1019.5079071232</v>
      </c>
      <c r="Y38" s="88">
        <f>'Tariff Jul 2016'!AQ25</f>
        <v>6.8</v>
      </c>
      <c r="Z38" s="89">
        <f>'Tariff Jul 2016'!BD26</f>
        <v>24</v>
      </c>
      <c r="AA38" s="89" t="str">
        <f>'Tariff Jul 2016'!BE26</f>
        <v>n</v>
      </c>
      <c r="AB38" s="90">
        <f>'Tariff Jul 2016'!G26</f>
        <v>41121</v>
      </c>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row>
    <row r="39" spans="1:88" ht="14" x14ac:dyDescent="0.15">
      <c r="A39" s="63" t="str">
        <f>'Tariff Jul 2016'!K27</f>
        <v>Sanctuary Energy</v>
      </c>
      <c r="B39" s="1" t="str">
        <f>'Tariff Jul 2016'!L27</f>
        <v>Supplementary FIT</v>
      </c>
      <c r="C39" s="102">
        <f>91*'Tariff Jul 2016'!M27/100</f>
        <v>64.000299999999996</v>
      </c>
      <c r="D39" s="102">
        <f>IF($H$5&gt;='Tariff Jul 2016'!P27,('Tariff Jul 2016'!P27*'Tariff Jul 2016'!N27/100),(($H$5)*'Tariff Jul 2016'!N27/100))</f>
        <v>86.4</v>
      </c>
      <c r="E39" s="102">
        <f>IF($H$5&lt;'Tariff Jul 2016'!P27,0,IF(($H$5-'Tariff Jul 2016'!P27)&lt;='Tariff Jul 2016'!R27,(($H$5-'Tariff Jul 2016'!P27)*'Tariff Jul 2016'!Q27/100),(('Tariff Jul 2016'!R27-'Tariff Jul 2016'!P27)*'Tariff Jul 2016'!Q27/100)))</f>
        <v>0</v>
      </c>
      <c r="F39" s="102">
        <f>IF($H$5&lt;'Tariff Jul 2016'!R27,0,IF(($H$5-'Tariff Jul 2016'!R27)&lt;='Tariff Jul 2016'!T27,(($H$5-'Tariff Jul 2016'!R27)*'Tariff Jul 2016'!S27/100),(('Tariff Jul 2016'!T27-'Tariff Jul 2016'!R27)*'Tariff Jul 2016'!S27/100)))</f>
        <v>0</v>
      </c>
      <c r="G39" s="102">
        <f>IF(($H$5&lt;'Tariff Jul 2016'!T27),(0),($H$5-'Tariff Jul 2016'!T27)*'Tariff Jul 2016'!U27/100)</f>
        <v>138.28268159999996</v>
      </c>
      <c r="H39" s="102">
        <f>($I$5)*'Tariff Jul 2016'!AE27/100</f>
        <v>25.405672799999998</v>
      </c>
      <c r="I39" s="102">
        <v>0</v>
      </c>
      <c r="J39" s="102">
        <f t="shared" si="9"/>
        <v>314.08865439999994</v>
      </c>
      <c r="K39" s="298">
        <f t="shared" si="17"/>
        <v>1000.3534175999998</v>
      </c>
      <c r="L39" s="86">
        <f t="shared" si="10"/>
        <v>1256.3546175999998</v>
      </c>
      <c r="M39" s="86">
        <f t="shared" si="11"/>
        <v>1381.9900793599998</v>
      </c>
      <c r="N39" s="1">
        <f>'Tariff Jul 2016'!AT27</f>
        <v>0</v>
      </c>
      <c r="O39" s="1">
        <f>'Tariff Jul 2016'!AU27</f>
        <v>0</v>
      </c>
      <c r="P39" s="1">
        <f>'Tariff Jul 2016'!AV27</f>
        <v>0</v>
      </c>
      <c r="Q39" s="1">
        <f>'Tariff Jul 2016'!AW27</f>
        <v>0</v>
      </c>
      <c r="R39" s="87">
        <f>($F$6*'Tariff Jul 2016'!AQ27/100)*4</f>
        <v>261.07199999999995</v>
      </c>
      <c r="S39" s="298">
        <f t="shared" si="12"/>
        <v>1256.3546175999998</v>
      </c>
      <c r="T39" s="298">
        <f>S39</f>
        <v>1256.3546175999998</v>
      </c>
      <c r="U39" s="298">
        <f t="shared" si="13"/>
        <v>995.28261759999987</v>
      </c>
      <c r="V39" s="298">
        <f t="shared" si="14"/>
        <v>995.28261759999987</v>
      </c>
      <c r="W39" s="300">
        <f t="shared" si="15"/>
        <v>1094.8108793599999</v>
      </c>
      <c r="X39" s="300">
        <f t="shared" si="16"/>
        <v>1094.8108793599999</v>
      </c>
      <c r="Y39" s="88">
        <f>'Tariff Jul 2016'!AQ26</f>
        <v>6.8</v>
      </c>
      <c r="Z39" s="89">
        <f>'Tariff Jul 2016'!BD27</f>
        <v>0</v>
      </c>
      <c r="AA39" s="89" t="str">
        <f>'Tariff Jul 2016'!BE27</f>
        <v>n</v>
      </c>
      <c r="AB39" s="90">
        <f>'Tariff Jul 2016'!G27</f>
        <v>40841</v>
      </c>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row>
    <row r="40" spans="1:88" ht="14" x14ac:dyDescent="0.15">
      <c r="A40" s="63" t="str">
        <f>'Tariff Jul 2016'!K28</f>
        <v>Simply Energy</v>
      </c>
      <c r="B40" s="1" t="str">
        <f>'Tariff Jul 2016'!L28</f>
        <v xml:space="preserve">Autumn Sale </v>
      </c>
      <c r="C40" s="102">
        <f>91*'Tariff Jul 2016'!M28/100</f>
        <v>57.684899999999999</v>
      </c>
      <c r="D40" s="102">
        <f>IF($H$5&gt;='Tariff Jul 2016'!P28,('Tariff Jul 2016'!P28*'Tariff Jul 2016'!N28/100),(($H$5)*'Tariff Jul 2016'!N28/100))</f>
        <v>217.81391999999997</v>
      </c>
      <c r="E40" s="102">
        <v>0</v>
      </c>
      <c r="F40" s="102">
        <v>0</v>
      </c>
      <c r="G40" s="102">
        <f>IF(($H$5&lt;'Tariff Jul 2016'!T28),(0),($H$5-'Tariff Jul 2016'!T28)*'Tariff Jul 2016'!U28/100)</f>
        <v>0</v>
      </c>
      <c r="H40" s="102">
        <f>($I$5)*'Tariff Jul 2016'!AE28/100</f>
        <v>31.190239199999994</v>
      </c>
      <c r="I40" s="102">
        <v>0</v>
      </c>
      <c r="J40" s="102">
        <f t="shared" si="9"/>
        <v>306.68905919999997</v>
      </c>
      <c r="K40" s="298">
        <f t="shared" si="17"/>
        <v>996.0166367999999</v>
      </c>
      <c r="L40" s="86">
        <f t="shared" si="10"/>
        <v>1226.7562367999999</v>
      </c>
      <c r="M40" s="86">
        <f t="shared" si="11"/>
        <v>1349.4318604800001</v>
      </c>
      <c r="N40" s="1">
        <f>'Tariff Jul 2016'!AT28</f>
        <v>0</v>
      </c>
      <c r="O40" s="1">
        <f>'Tariff Jul 2016'!AU28</f>
        <v>0</v>
      </c>
      <c r="P40" s="1">
        <f>'Tariff Jul 2016'!AV28</f>
        <v>0</v>
      </c>
      <c r="Q40" s="1">
        <f>'Tariff Jul 2016'!AW28</f>
        <v>28</v>
      </c>
      <c r="R40" s="87">
        <f>($F$6*'Tariff Jul 2016'!AQ28/100)*4</f>
        <v>177.52895999999998</v>
      </c>
      <c r="S40" s="298">
        <f t="shared" si="12"/>
        <v>1226.7562367999999</v>
      </c>
      <c r="T40" s="298">
        <f>S40-(K40*Q40/100)</f>
        <v>947.87157849599998</v>
      </c>
      <c r="U40" s="298">
        <f t="shared" si="13"/>
        <v>1049.2272767999998</v>
      </c>
      <c r="V40" s="298">
        <f t="shared" si="14"/>
        <v>770.342618496</v>
      </c>
      <c r="W40" s="300">
        <f t="shared" si="15"/>
        <v>1154.1500044799998</v>
      </c>
      <c r="X40" s="300">
        <f t="shared" si="16"/>
        <v>847.37688034560006</v>
      </c>
      <c r="Y40" s="88">
        <f>'Tariff Jul 2016'!AQ27</f>
        <v>10</v>
      </c>
      <c r="Z40" s="89">
        <f>'Tariff Jul 2016'!BD28</f>
        <v>24</v>
      </c>
      <c r="AA40" s="89" t="str">
        <f>'Tariff Jul 2016'!BE28</f>
        <v>y</v>
      </c>
      <c r="AB40" s="90">
        <f>'Tariff Jul 2016'!G28</f>
        <v>41046</v>
      </c>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row>
    <row r="41" spans="1:88" ht="15" thickBot="1" x14ac:dyDescent="0.2">
      <c r="A41" s="91" t="str">
        <f>'Tariff Jul 2016'!K29</f>
        <v>Urth Energy</v>
      </c>
      <c r="B41" s="92" t="str">
        <f>'Tariff Jul 2016'!L29</f>
        <v>Market offer</v>
      </c>
      <c r="C41" s="103">
        <f>91*'Tariff Jul 2016'!M29/100</f>
        <v>64.255099999999999</v>
      </c>
      <c r="D41" s="103">
        <f>IF($H$5&gt;='Tariff Jul 2016'!P29,('Tariff Jul 2016'!P29*'Tariff Jul 2016'!N29/100),(($H$5)*'Tariff Jul 2016'!N29/100))</f>
        <v>223.52707199999998</v>
      </c>
      <c r="E41" s="103">
        <v>0</v>
      </c>
      <c r="F41" s="103">
        <v>0</v>
      </c>
      <c r="G41" s="103">
        <f>IF(($H$5&lt;'Tariff Jul 2016'!T29),(0),($H$5-'Tariff Jul 2016'!T29)*'Tariff Jul 2016'!U29/100)</f>
        <v>0</v>
      </c>
      <c r="H41" s="103">
        <f>($I$5)*'Tariff Jul 2016'!AE29/100</f>
        <v>27.137471999999992</v>
      </c>
      <c r="I41" s="103">
        <v>0</v>
      </c>
      <c r="J41" s="103">
        <f t="shared" si="9"/>
        <v>314.91964399999995</v>
      </c>
      <c r="K41" s="299">
        <f t="shared" si="17"/>
        <v>1002.6581759999998</v>
      </c>
      <c r="L41" s="95">
        <f t="shared" si="10"/>
        <v>1259.6785759999998</v>
      </c>
      <c r="M41" s="95">
        <f t="shared" si="11"/>
        <v>1385.6464335999999</v>
      </c>
      <c r="N41" s="92">
        <f>'Tariff Jul 2016'!AT29</f>
        <v>0</v>
      </c>
      <c r="O41" s="92">
        <f>'Tariff Jul 2016'!AU29</f>
        <v>0</v>
      </c>
      <c r="P41" s="92">
        <f>'Tariff Jul 2016'!AV29</f>
        <v>0</v>
      </c>
      <c r="Q41" s="92">
        <f>'Tariff Jul 2016'!AW29</f>
        <v>10</v>
      </c>
      <c r="R41" s="96">
        <f>($F$6*'Tariff Jul 2016'!AQ29/100)*4</f>
        <v>261.07199999999995</v>
      </c>
      <c r="S41" s="299">
        <f t="shared" si="12"/>
        <v>1259.6785759999998</v>
      </c>
      <c r="T41" s="299">
        <f>S41-(K41*Q41/100)</f>
        <v>1159.4127583999998</v>
      </c>
      <c r="U41" s="299">
        <f t="shared" si="13"/>
        <v>998.6065759999999</v>
      </c>
      <c r="V41" s="299">
        <f t="shared" si="14"/>
        <v>898.34075839999991</v>
      </c>
      <c r="W41" s="301">
        <f t="shared" si="15"/>
        <v>1098.4672335999999</v>
      </c>
      <c r="X41" s="301">
        <f t="shared" si="16"/>
        <v>988.17483424</v>
      </c>
      <c r="Y41" s="97">
        <f>'Tariff Jul 2016'!AQ28</f>
        <v>6.8</v>
      </c>
      <c r="Z41" s="98">
        <f>'Tariff Jul 2016'!BD29</f>
        <v>0</v>
      </c>
      <c r="AA41" s="98" t="str">
        <f>'Tariff Jul 2016'!BE29</f>
        <v>n</v>
      </c>
      <c r="AB41" s="99">
        <f>'Tariff Jul 2016'!G29</f>
        <v>41090</v>
      </c>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x14ac:dyDescent="0.15">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row>
    <row r="43" spans="1:88" x14ac:dyDescent="0.15">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row>
    <row r="44" spans="1:88" x14ac:dyDescent="0.15">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row>
    <row r="45" spans="1:88" x14ac:dyDescent="0.15">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row>
    <row r="46" spans="1:88" x14ac:dyDescent="0.15">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row>
    <row r="47" spans="1:88" x14ac:dyDescent="0.15">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row>
    <row r="48" spans="1:88" x14ac:dyDescent="0.15">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row>
    <row r="49" spans="1:88" x14ac:dyDescent="0.15">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row>
    <row r="50" spans="1:88" x14ac:dyDescent="0.15">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row>
    <row r="51" spans="1:88" x14ac:dyDescent="0.15">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row>
    <row r="52" spans="1:88" x14ac:dyDescent="0.15">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row>
    <row r="53" spans="1:88" x14ac:dyDescent="0.15">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row>
    <row r="54" spans="1:88" x14ac:dyDescent="0.15">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row>
    <row r="55" spans="1:88" x14ac:dyDescent="0.15">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row>
    <row r="56" spans="1:88" x14ac:dyDescent="0.15">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c r="BZ56" s="81"/>
      <c r="CA56" s="81"/>
      <c r="CB56" s="81"/>
      <c r="CC56" s="81"/>
      <c r="CD56" s="81"/>
      <c r="CE56" s="81"/>
      <c r="CF56" s="81"/>
      <c r="CG56" s="81"/>
      <c r="CH56" s="81"/>
      <c r="CI56" s="81"/>
      <c r="CJ56" s="81"/>
    </row>
    <row r="57" spans="1:88" x14ac:dyDescent="0.15">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row>
    <row r="58" spans="1:88" x14ac:dyDescent="0.15">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row>
    <row r="59" spans="1:88" x14ac:dyDescent="0.15">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row>
    <row r="60" spans="1:88" x14ac:dyDescent="0.15">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row>
    <row r="61" spans="1:88" x14ac:dyDescent="0.15">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row>
    <row r="62" spans="1:88" x14ac:dyDescent="0.15">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row>
    <row r="63" spans="1:88" x14ac:dyDescent="0.15">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c r="BZ63" s="81"/>
      <c r="CA63" s="81"/>
      <c r="CB63" s="81"/>
      <c r="CC63" s="81"/>
      <c r="CD63" s="81"/>
      <c r="CE63" s="81"/>
      <c r="CF63" s="81"/>
      <c r="CG63" s="81"/>
      <c r="CH63" s="81"/>
      <c r="CI63" s="81"/>
      <c r="CJ63" s="81"/>
    </row>
    <row r="64" spans="1:88" x14ac:dyDescent="0.15">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row>
    <row r="65" spans="1:88" x14ac:dyDescent="0.15">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row>
    <row r="66" spans="1:88" x14ac:dyDescent="0.15">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row>
    <row r="67" spans="1:88" x14ac:dyDescent="0.15">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row>
    <row r="68" spans="1:88" x14ac:dyDescent="0.15">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81"/>
      <c r="CG68" s="81"/>
      <c r="CH68" s="81"/>
      <c r="CI68" s="81"/>
      <c r="CJ68" s="81"/>
    </row>
    <row r="69" spans="1:88" x14ac:dyDescent="0.15">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row>
    <row r="70" spans="1:88" x14ac:dyDescent="0.15">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row>
    <row r="71" spans="1:88" x14ac:dyDescent="0.15">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row>
    <row r="72" spans="1:88" x14ac:dyDescent="0.15">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row>
    <row r="73" spans="1:88" x14ac:dyDescent="0.15">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row>
    <row r="74" spans="1:88" x14ac:dyDescent="0.15">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row>
    <row r="75" spans="1:88" x14ac:dyDescent="0.1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row>
    <row r="76" spans="1:88" x14ac:dyDescent="0.15">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row>
    <row r="77" spans="1:88" x14ac:dyDescent="0.15">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row>
    <row r="78" spans="1:88" x14ac:dyDescent="0.15">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row>
    <row r="79" spans="1:88" x14ac:dyDescent="0.15">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row>
    <row r="80" spans="1:88" x14ac:dyDescent="0.15">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row>
    <row r="81" spans="1:88" x14ac:dyDescent="0.15">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row>
    <row r="82" spans="1:88" x14ac:dyDescent="0.15">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row>
    <row r="83" spans="1:88" x14ac:dyDescent="0.15">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row>
    <row r="84" spans="1:88" x14ac:dyDescent="0.15">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row>
    <row r="85" spans="1:88" x14ac:dyDescent="0.15">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row>
    <row r="86" spans="1:88" x14ac:dyDescent="0.15">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row>
    <row r="87" spans="1:88" x14ac:dyDescent="0.1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row>
    <row r="88" spans="1:88" x14ac:dyDescent="0.1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row>
    <row r="89" spans="1:88" x14ac:dyDescent="0.1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row>
    <row r="90" spans="1:88" x14ac:dyDescent="0.1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row>
    <row r="91" spans="1:88" x14ac:dyDescent="0.1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row>
    <row r="92" spans="1:88" x14ac:dyDescent="0.1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row>
    <row r="93" spans="1:88" x14ac:dyDescent="0.1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row>
    <row r="94" spans="1:88" x14ac:dyDescent="0.1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row>
    <row r="95" spans="1:88" x14ac:dyDescent="0.1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row>
    <row r="96" spans="1:88" x14ac:dyDescent="0.1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row>
    <row r="97" spans="1:88" x14ac:dyDescent="0.1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row>
    <row r="98" spans="1:88" x14ac:dyDescent="0.1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row>
    <row r="99" spans="1:88" x14ac:dyDescent="0.1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row>
    <row r="100" spans="1:88" x14ac:dyDescent="0.1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row>
    <row r="101" spans="1:88" x14ac:dyDescent="0.1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row>
    <row r="102" spans="1:88" x14ac:dyDescent="0.1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row>
    <row r="103" spans="1:88" x14ac:dyDescent="0.1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row>
    <row r="104" spans="1:88" x14ac:dyDescent="0.1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row>
    <row r="105" spans="1:88" x14ac:dyDescent="0.1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row>
    <row r="106" spans="1:88" x14ac:dyDescent="0.1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row>
    <row r="107" spans="1:88" x14ac:dyDescent="0.1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row>
    <row r="108" spans="1:88" x14ac:dyDescent="0.15">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row>
    <row r="109" spans="1:88" x14ac:dyDescent="0.1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row>
    <row r="110" spans="1:88" x14ac:dyDescent="0.15">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row>
    <row r="111" spans="1:88" x14ac:dyDescent="0.15">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row>
  </sheetData>
  <sheetProtection algorithmName="SHA-512" hashValue="bqOqZ/4ltXHgOBOQDsio3D7wBgBD8N2P/pc6bN2QuzHEEreocKbWTJ9HjmUUoV140OEaHB0kuA0PR/0ThC47hg==" saltValue="SbWTqB/fSpxvuJNrKnoo3g==" spinCount="100000" sheet="1" objects="1" scenarios="1"/>
  <phoneticPr fontId="8" type="noConversion"/>
  <dataValidations count="2">
    <dataValidation type="decimal" showInputMessage="1" showErrorMessage="1" errorTitle="Incorrect entry" error="Enter 1.5 or 3.0 only" sqref="C4" xr:uid="{00000000-0002-0000-0300-000000000000}">
      <formula1>1.5</formula1>
      <formula2>3</formula2>
    </dataValidation>
    <dataValidation type="whole" showInputMessage="1" showErrorMessage="1" errorTitle="Incorrect number" error="Please enter quarterly consumption between 700-4000kWh" sqref="C5" xr:uid="{00000000-0002-0000-0300-000001000000}">
      <formula1>700</formula1>
      <formula2>4000</formula2>
    </dataValidation>
  </dataValidations>
  <pageMargins left="0.75" right="0.75" top="1" bottom="1" header="0.5" footer="0.5"/>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EK135"/>
  <sheetViews>
    <sheetView workbookViewId="0">
      <selection activeCell="N44" sqref="N44"/>
    </sheetView>
  </sheetViews>
  <sheetFormatPr baseColWidth="10" defaultRowHeight="13" x14ac:dyDescent="0.15"/>
  <cols>
    <col min="1" max="1" width="19.5" style="1" customWidth="1"/>
    <col min="2" max="2" width="28" style="1" customWidth="1"/>
    <col min="3" max="10" width="13.83203125" style="1" customWidth="1"/>
    <col min="11" max="12" width="13.83203125" style="1" hidden="1" customWidth="1"/>
    <col min="13" max="18" width="13.83203125" style="1" customWidth="1"/>
    <col min="19" max="22" width="13.83203125" style="1" hidden="1" customWidth="1"/>
    <col min="23" max="28" width="13.83203125" style="1" customWidth="1"/>
    <col min="29" max="16384" width="10.83203125" style="1"/>
  </cols>
  <sheetData>
    <row r="1" spans="1:141" ht="14" x14ac:dyDescent="0.15">
      <c r="A1" s="66" t="s">
        <v>340</v>
      </c>
      <c r="B1" s="66"/>
      <c r="C1" s="66"/>
      <c r="D1" s="66"/>
      <c r="E1" s="66"/>
      <c r="F1" s="66"/>
      <c r="G1" s="66"/>
      <c r="H1" s="66"/>
      <c r="I1" s="66"/>
      <c r="J1" s="66"/>
      <c r="K1" s="66">
        <v>3</v>
      </c>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row>
    <row r="2" spans="1:141" ht="14" x14ac:dyDescent="0.15">
      <c r="A2" s="67" t="s">
        <v>153</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row>
    <row r="3" spans="1:141" ht="14" x14ac:dyDescent="0.15">
      <c r="A3" s="67"/>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row>
    <row r="4" spans="1:141" ht="14" x14ac:dyDescent="0.15">
      <c r="A4" s="68" t="s">
        <v>341</v>
      </c>
      <c r="B4" s="69"/>
      <c r="C4" s="104">
        <v>3</v>
      </c>
      <c r="D4" s="66"/>
      <c r="E4" s="70" t="s">
        <v>366</v>
      </c>
      <c r="F4" s="71">
        <f>IF(C4&lt;K1,(703),(1406))</f>
        <v>1406</v>
      </c>
      <c r="G4" s="72"/>
      <c r="H4" s="73" t="s">
        <v>367</v>
      </c>
      <c r="I4" s="74" t="s">
        <v>368</v>
      </c>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row>
    <row r="5" spans="1:141" ht="14" x14ac:dyDescent="0.15">
      <c r="A5" s="75" t="s">
        <v>369</v>
      </c>
      <c r="B5" s="76"/>
      <c r="C5" s="105">
        <v>1500</v>
      </c>
      <c r="D5" s="66"/>
      <c r="E5" s="77" t="s">
        <v>370</v>
      </c>
      <c r="F5" s="78">
        <f>C5-(F4-F6)</f>
        <v>892.60800000000006</v>
      </c>
      <c r="G5" s="20" t="s">
        <v>371</v>
      </c>
      <c r="H5" s="79">
        <f>F5*80/100</f>
        <v>714.08640000000003</v>
      </c>
      <c r="I5" s="80">
        <f>F5*20/100</f>
        <v>178.52160000000001</v>
      </c>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row>
    <row r="6" spans="1:141" ht="14" x14ac:dyDescent="0.15">
      <c r="A6" s="81"/>
      <c r="B6" s="81"/>
      <c r="C6" s="81"/>
      <c r="D6" s="66"/>
      <c r="E6" s="77" t="s">
        <v>372</v>
      </c>
      <c r="F6" s="78">
        <f>IF(C4&lt;K1,(F4*30.2/100),(F4*56.8/100))</f>
        <v>798.60800000000006</v>
      </c>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row>
    <row r="7" spans="1:141" ht="15" thickBot="1" x14ac:dyDescent="0.2">
      <c r="A7" s="66"/>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row>
    <row r="8" spans="1:141" ht="14" x14ac:dyDescent="0.15">
      <c r="A8" s="82" t="s">
        <v>356</v>
      </c>
      <c r="B8" s="83"/>
      <c r="C8" s="83"/>
      <c r="D8" s="83"/>
      <c r="E8" s="83"/>
      <c r="F8" s="83"/>
      <c r="G8" s="83"/>
      <c r="H8" s="83"/>
      <c r="I8" s="83"/>
      <c r="J8" s="83"/>
      <c r="K8" s="83"/>
      <c r="L8" s="83"/>
      <c r="M8" s="83"/>
      <c r="N8" s="83"/>
      <c r="O8" s="83"/>
      <c r="P8" s="83"/>
      <c r="Q8" s="83"/>
      <c r="R8" s="83"/>
      <c r="S8" s="83"/>
      <c r="T8" s="83"/>
      <c r="U8" s="83"/>
      <c r="V8" s="83"/>
      <c r="W8" s="83"/>
      <c r="X8" s="83"/>
      <c r="Y8" s="83"/>
      <c r="Z8" s="83"/>
      <c r="AA8" s="83"/>
      <c r="AB8" s="18"/>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row>
    <row r="9" spans="1:141" ht="90" x14ac:dyDescent="0.15">
      <c r="A9" s="287" t="s">
        <v>231</v>
      </c>
      <c r="B9" s="288" t="s">
        <v>243</v>
      </c>
      <c r="C9" s="289" t="s">
        <v>244</v>
      </c>
      <c r="D9" s="289" t="s">
        <v>227</v>
      </c>
      <c r="E9" s="290" t="s">
        <v>357</v>
      </c>
      <c r="F9" s="290" t="s">
        <v>358</v>
      </c>
      <c r="G9" s="290" t="s">
        <v>321</v>
      </c>
      <c r="H9" s="290" t="s">
        <v>328</v>
      </c>
      <c r="I9" s="290" t="s">
        <v>329</v>
      </c>
      <c r="J9" s="290" t="s">
        <v>799</v>
      </c>
      <c r="K9" s="296" t="s">
        <v>433</v>
      </c>
      <c r="L9" s="296" t="s">
        <v>247</v>
      </c>
      <c r="M9" s="291" t="s">
        <v>434</v>
      </c>
      <c r="N9" s="292" t="s">
        <v>249</v>
      </c>
      <c r="O9" s="292" t="s">
        <v>250</v>
      </c>
      <c r="P9" s="292" t="s">
        <v>251</v>
      </c>
      <c r="Q9" s="292" t="s">
        <v>365</v>
      </c>
      <c r="R9" s="293" t="s">
        <v>373</v>
      </c>
      <c r="S9" s="297" t="s">
        <v>263</v>
      </c>
      <c r="T9" s="297" t="s">
        <v>264</v>
      </c>
      <c r="U9" s="297" t="s">
        <v>374</v>
      </c>
      <c r="V9" s="297" t="s">
        <v>375</v>
      </c>
      <c r="W9" s="293" t="s">
        <v>376</v>
      </c>
      <c r="X9" s="293" t="s">
        <v>436</v>
      </c>
      <c r="Y9" s="292" t="s">
        <v>155</v>
      </c>
      <c r="Z9" s="292" t="s">
        <v>225</v>
      </c>
      <c r="AA9" s="292" t="s">
        <v>226</v>
      </c>
      <c r="AB9" s="294" t="s">
        <v>437</v>
      </c>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row>
    <row r="10" spans="1:141" ht="14" x14ac:dyDescent="0.15">
      <c r="A10" s="63" t="str">
        <f>'Tariff Jul 2016'!K2</f>
        <v>AGL</v>
      </c>
      <c r="B10" s="1" t="str">
        <f>'Tariff Jul 2016'!L2</f>
        <v>Savers (solar)</v>
      </c>
      <c r="C10" s="84">
        <f>91*'Tariff Jul 2016'!M2/100</f>
        <v>64.519000000000005</v>
      </c>
      <c r="D10" s="84">
        <f>IF($F$5&gt;='Tariff Jul 2016'!P2,('Tariff Jul 2016'!P2*25%)*'Tariff Jul 2016'!N2/100+('Tariff Jul 2016'!P2*75%)*'Tariff Jul 2016'!W2/100,($F$5*25%)*'Tariff Jul 2016'!N2/100+($F$5*75%)*'Tariff Jul 2016'!W2/100)</f>
        <v>280.10039040000004</v>
      </c>
      <c r="E10" s="84">
        <v>0</v>
      </c>
      <c r="F10" s="85">
        <v>0</v>
      </c>
      <c r="G10" s="84">
        <v>0</v>
      </c>
      <c r="H10" s="84">
        <v>0</v>
      </c>
      <c r="I10" s="84">
        <f>IF(($F$5&lt;'Tariff Jul 2016'!T2),(0),(($F$5-'Tariff Jul 2016'!T2)*25%)*'Tariff Jul 2016'!U2/100+(($F$5-'Tariff Jul 2016'!T2)*75%)*'Tariff Jul 2016'!AC2/100)</f>
        <v>0</v>
      </c>
      <c r="J10" s="84">
        <f>SUM(C10:I10)</f>
        <v>344.61939040000004</v>
      </c>
      <c r="K10" s="298">
        <f>(J10-C10)*4</f>
        <v>1120.4015616000002</v>
      </c>
      <c r="L10" s="86">
        <f>J10*4</f>
        <v>1378.4775616000002</v>
      </c>
      <c r="M10" s="86">
        <f>L10*1.1</f>
        <v>1516.3253177600004</v>
      </c>
      <c r="N10" s="1">
        <f>'Tariff Jul 2016'!AT2</f>
        <v>0</v>
      </c>
      <c r="O10" s="1">
        <f>'Tariff Jul 2016'!AU2</f>
        <v>0</v>
      </c>
      <c r="P10" s="1">
        <f>'Tariff Jul 2016'!AV2</f>
        <v>0</v>
      </c>
      <c r="Q10" s="1">
        <f>'Tariff Jul 2016'!AW2</f>
        <v>15</v>
      </c>
      <c r="R10" s="87">
        <f>($F$6*'Tariff Jul 2016'!AQ2/100)*4</f>
        <v>217.22137600000002</v>
      </c>
      <c r="S10" s="298">
        <f>L10</f>
        <v>1378.4775616000002</v>
      </c>
      <c r="T10" s="298">
        <f>S10-(K10*Q10/100)</f>
        <v>1210.4173273600002</v>
      </c>
      <c r="U10" s="298">
        <f>S10-R10</f>
        <v>1161.2561856000002</v>
      </c>
      <c r="V10" s="298">
        <f>T10-R10</f>
        <v>993.19595136000021</v>
      </c>
      <c r="W10" s="300">
        <f>U10*1.1</f>
        <v>1277.3818041600002</v>
      </c>
      <c r="X10" s="300">
        <f>V10*1.1</f>
        <v>1092.5155464960003</v>
      </c>
      <c r="Y10" s="88">
        <f>'Tariff Jul 2016'!AQ2</f>
        <v>6.8</v>
      </c>
      <c r="Z10" s="89">
        <f>'Tariff Jul 2016'!BD2</f>
        <v>0</v>
      </c>
      <c r="AA10" s="89" t="str">
        <f>'Tariff Jul 2016'!BE2</f>
        <v>n</v>
      </c>
      <c r="AB10" s="90">
        <f>'Tariff Jul 2016'!G2</f>
        <v>41102</v>
      </c>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row>
    <row r="11" spans="1:141" ht="14" x14ac:dyDescent="0.15">
      <c r="A11" s="63" t="str">
        <f>'Tariff Jul 2016'!K3</f>
        <v>Alinta Energy</v>
      </c>
      <c r="B11" s="1" t="str">
        <f>'Tariff Jul 2016'!L3</f>
        <v>Harvey Norman</v>
      </c>
      <c r="C11" s="84">
        <f>91*'Tariff Jul 2016'!M3/100</f>
        <v>71.962800000000001</v>
      </c>
      <c r="D11" s="84">
        <f>IF($F$5&gt;='Tariff Jul 2016'!P3,('Tariff Jul 2016'!P3*'Tariff Jul 2016'!N3/100),($F$5*'Tariff Jul 2016'!N3/100))</f>
        <v>95.28</v>
      </c>
      <c r="E11" s="84">
        <f>IF($F$5&lt;'Tariff Jul 2016'!P3,0,IF(($F$5-'Tariff Jul 2016'!P3)&lt;='Tariff Jul 2016'!R3,(($F$5-'Tariff Jul 2016'!P3)*'Tariff Jul 2016'!Q3/100),(('Tariff Jul 2016'!R3-'Tariff Jul 2016'!P3)*'Tariff Jul 2016'!Q3/100)))</f>
        <v>195.856944</v>
      </c>
      <c r="F11" s="85">
        <f>IF($F$5&lt;'Tariff Jul 2016'!R3,0,IF(($F$5-'Tariff Jul 2016'!R3)&lt;='Tariff Jul 2016'!T3,(($F$5-'Tariff Jul 2016'!R3)*'Tariff Jul 2016'!S3/100),(('Tariff Jul 2016'!T3-'Tariff Jul 2016'!R3)*'Tariff Jul 2016'!S3/100)))</f>
        <v>0</v>
      </c>
      <c r="G11" s="84">
        <v>0</v>
      </c>
      <c r="H11" s="84">
        <v>0</v>
      </c>
      <c r="I11" s="84">
        <f>IF(($F$5&lt;'Tariff Jul 2016'!T3),(0),($F$5-'Tariff Jul 2016'!T3)*'Tariff Jul 2016'!U3/100)</f>
        <v>0</v>
      </c>
      <c r="J11" s="84">
        <f t="shared" ref="J11:J23" si="0">SUM(C11:I11)</f>
        <v>363.09974399999999</v>
      </c>
      <c r="K11" s="298">
        <f>(J11-C11)*4</f>
        <v>1164.5477759999999</v>
      </c>
      <c r="L11" s="86">
        <f t="shared" ref="L11:L23" si="1">J11*4</f>
        <v>1452.3989759999999</v>
      </c>
      <c r="M11" s="86">
        <f t="shared" ref="M11:M23" si="2">L11*1.1</f>
        <v>1597.6388736000001</v>
      </c>
      <c r="N11" s="1">
        <f>'Tariff Jul 2016'!AT3</f>
        <v>0</v>
      </c>
      <c r="O11" s="1">
        <f>'Tariff Jul 2016'!AU3</f>
        <v>0</v>
      </c>
      <c r="P11" s="1">
        <f>'Tariff Jul 2016'!AV3</f>
        <v>0</v>
      </c>
      <c r="Q11" s="1">
        <f>'Tariff Jul 2016'!AW3</f>
        <v>20</v>
      </c>
      <c r="R11" s="87">
        <f>($F$6*'Tariff Jul 2016'!AQ3/100)*4</f>
        <v>217.22137600000002</v>
      </c>
      <c r="S11" s="298">
        <f t="shared" ref="S11:S23" si="3">L11</f>
        <v>1452.3989759999999</v>
      </c>
      <c r="T11" s="298">
        <f>S11-(K11*Q11/100)</f>
        <v>1219.4894208000001</v>
      </c>
      <c r="U11" s="298">
        <f t="shared" ref="U11:U23" si="4">S11-R11</f>
        <v>1235.1776</v>
      </c>
      <c r="V11" s="298">
        <f t="shared" ref="V11:V23" si="5">T11-R11</f>
        <v>1002.2680448000001</v>
      </c>
      <c r="W11" s="300">
        <f t="shared" ref="W11:X23" si="6">U11*1.1</f>
        <v>1358.6953600000002</v>
      </c>
      <c r="X11" s="300">
        <f t="shared" si="6"/>
        <v>1102.4948492800002</v>
      </c>
      <c r="Y11" s="88">
        <f>'Tariff Jul 2016'!AQ3</f>
        <v>6.8</v>
      </c>
      <c r="Z11" s="89">
        <f>'Tariff Jul 2016'!BD3</f>
        <v>0</v>
      </c>
      <c r="AA11" s="89" t="str">
        <f>'Tariff Jul 2016'!BE3</f>
        <v>n</v>
      </c>
      <c r="AB11" s="90">
        <f>'Tariff Jul 2016'!G3</f>
        <v>41111</v>
      </c>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row>
    <row r="12" spans="1:141" ht="14" x14ac:dyDescent="0.15">
      <c r="A12" s="63" t="str">
        <f>'Tariff Jul 2016'!K4</f>
        <v>Click Energy</v>
      </c>
      <c r="B12" s="1" t="str">
        <f>'Tariff Jul 2016'!L4</f>
        <v>Shine Plus</v>
      </c>
      <c r="C12" s="84">
        <f>91*'Tariff Jul 2016'!M4/100</f>
        <v>76.794899999999998</v>
      </c>
      <c r="D12" s="84">
        <f>IF($F$5&gt;='Tariff Jul 2016'!P4,('Tariff Jul 2016'!P4*'Tariff Jul 2016'!N4/100),($F$5*'Tariff Jul 2016'!N4/100))</f>
        <v>305.63790528000004</v>
      </c>
      <c r="E12" s="84">
        <v>0</v>
      </c>
      <c r="F12" s="85">
        <v>0</v>
      </c>
      <c r="G12" s="84">
        <v>0</v>
      </c>
      <c r="H12" s="84">
        <v>0</v>
      </c>
      <c r="I12" s="84">
        <f>IF(($F$5&lt;'Tariff Jul 2016'!T4),(0),($F$5-'Tariff Jul 2016'!T4)*'Tariff Jul 2016'!U4/100)</f>
        <v>0</v>
      </c>
      <c r="J12" s="84">
        <f t="shared" si="0"/>
        <v>382.43280528000003</v>
      </c>
      <c r="K12" s="298">
        <f t="shared" ref="K12:K23" si="7">(J12-C12)*4</f>
        <v>1222.5516211200002</v>
      </c>
      <c r="L12" s="86">
        <f t="shared" si="1"/>
        <v>1529.7312211200001</v>
      </c>
      <c r="M12" s="86">
        <f t="shared" si="2"/>
        <v>1682.7043432320002</v>
      </c>
      <c r="N12" s="1">
        <f>'Tariff Jul 2016'!AT4</f>
        <v>0</v>
      </c>
      <c r="O12" s="1">
        <f>'Tariff Jul 2016'!AU4</f>
        <v>0</v>
      </c>
      <c r="P12" s="1">
        <f>'Tariff Jul 2016'!AV4</f>
        <v>5</v>
      </c>
      <c r="Q12" s="1">
        <f>'Tariff Jul 2016'!AW4</f>
        <v>0</v>
      </c>
      <c r="R12" s="87">
        <f>($F$6*'Tariff Jul 2016'!AQ4/100)*4</f>
        <v>383.33184</v>
      </c>
      <c r="S12" s="298">
        <f t="shared" si="3"/>
        <v>1529.7312211200001</v>
      </c>
      <c r="T12" s="298">
        <f>S12-(S12*P12/100)</f>
        <v>1453.2446600640001</v>
      </c>
      <c r="U12" s="298">
        <f t="shared" si="4"/>
        <v>1146.39938112</v>
      </c>
      <c r="V12" s="298">
        <f t="shared" si="5"/>
        <v>1069.912820064</v>
      </c>
      <c r="W12" s="300">
        <f t="shared" si="6"/>
        <v>1261.0393192320003</v>
      </c>
      <c r="X12" s="300">
        <f t="shared" si="6"/>
        <v>1176.9041020704001</v>
      </c>
      <c r="Y12" s="88">
        <f>'Tariff Jul 2016'!AQ4</f>
        <v>12</v>
      </c>
      <c r="Z12" s="89">
        <f>'Tariff Jul 2016'!BD4</f>
        <v>0</v>
      </c>
      <c r="AA12" s="89" t="str">
        <f>'Tariff Jul 2016'!BE4</f>
        <v>n</v>
      </c>
      <c r="AB12" s="90">
        <f>'Tariff Jul 2016'!G4</f>
        <v>41090</v>
      </c>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row>
    <row r="13" spans="1:141" ht="14" x14ac:dyDescent="0.15">
      <c r="A13" s="63" t="str">
        <f>'Tariff Jul 2016'!K5</f>
        <v>Commander</v>
      </c>
      <c r="B13" s="1" t="str">
        <f>'Tariff Jul 2016'!L5</f>
        <v>Market offer</v>
      </c>
      <c r="C13" s="84">
        <f>91*'Tariff Jul 2016'!M5/100</f>
        <v>64.200500000000005</v>
      </c>
      <c r="D13" s="84">
        <f>IF($F$5&gt;='Tariff Jul 2016'!P5,('Tariff Jul 2016'!P5*'Tariff Jul 2016'!N5/100),($F$5*'Tariff Jul 2016'!N5/100))</f>
        <v>95.85</v>
      </c>
      <c r="E13" s="84">
        <f>IF($F$5&lt;'Tariff Jul 2016'!P5,0,IF(($F$5-'Tariff Jul 2016'!P5)&lt;='Tariff Jul 2016'!R5,(($F$5-'Tariff Jul 2016'!P5)*'Tariff Jul 2016'!Q5/100),(('Tariff Jul 2016'!R5-'Tariff Jul 2016'!P5)*'Tariff Jul 2016'!Q5/100)))</f>
        <v>189.338256</v>
      </c>
      <c r="F13" s="85">
        <f>IF($F$5&lt;'Tariff Jul 2016'!R5,0,IF(($F$5-'Tariff Jul 2016'!R5)&lt;='Tariff Jul 2016'!T5,(($F$5-'Tariff Jul 2016'!R5)*'Tariff Jul 2016'!S5/100),(('Tariff Jul 2016'!T5-'Tariff Jul 2016'!R5)*'Tariff Jul 2016'!S5/100)))</f>
        <v>0</v>
      </c>
      <c r="G13" s="84">
        <v>0</v>
      </c>
      <c r="H13" s="84">
        <v>0</v>
      </c>
      <c r="I13" s="84">
        <f>IF(($F$5&lt;'Tariff Jul 2016'!T5),(0),($F$5-'Tariff Jul 2016'!T5)*'Tariff Jul 2016'!U5/100)</f>
        <v>0</v>
      </c>
      <c r="J13" s="84">
        <f t="shared" si="0"/>
        <v>349.388756</v>
      </c>
      <c r="K13" s="298">
        <f t="shared" si="7"/>
        <v>1140.7530240000001</v>
      </c>
      <c r="L13" s="86">
        <f t="shared" si="1"/>
        <v>1397.555024</v>
      </c>
      <c r="M13" s="86">
        <f t="shared" si="2"/>
        <v>1537.3105264000001</v>
      </c>
      <c r="N13" s="1">
        <f>'Tariff Jul 2016'!AT5</f>
        <v>0</v>
      </c>
      <c r="O13" s="1">
        <f>'Tariff Jul 2016'!AU5</f>
        <v>0</v>
      </c>
      <c r="P13" s="1">
        <f>'Tariff Jul 2016'!AV5</f>
        <v>0</v>
      </c>
      <c r="Q13" s="1">
        <f>'Tariff Jul 2016'!AW5</f>
        <v>20</v>
      </c>
      <c r="R13" s="87">
        <f>($F$6*'Tariff Jul 2016'!AQ5/100)*4</f>
        <v>223.61024</v>
      </c>
      <c r="S13" s="298">
        <f t="shared" si="3"/>
        <v>1397.555024</v>
      </c>
      <c r="T13" s="298">
        <f>S13-(K13*Q13/100)</f>
        <v>1169.4044192000001</v>
      </c>
      <c r="U13" s="298">
        <f t="shared" si="4"/>
        <v>1173.944784</v>
      </c>
      <c r="V13" s="298">
        <f t="shared" si="5"/>
        <v>945.79417920000014</v>
      </c>
      <c r="W13" s="300">
        <f t="shared" si="6"/>
        <v>1291.3392624000001</v>
      </c>
      <c r="X13" s="300">
        <f t="shared" si="6"/>
        <v>1040.3735971200003</v>
      </c>
      <c r="Y13" s="88">
        <f>'Tariff Jul 2016'!AQ5</f>
        <v>7</v>
      </c>
      <c r="Z13" s="89">
        <f>'Tariff Jul 2016'!BD5</f>
        <v>0</v>
      </c>
      <c r="AA13" s="89" t="str">
        <f>'Tariff Jul 2016'!BE5</f>
        <v>n</v>
      </c>
      <c r="AB13" s="90">
        <f>'Tariff Jul 2016'!G5</f>
        <v>41181</v>
      </c>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row>
    <row r="14" spans="1:141" ht="14" x14ac:dyDescent="0.15">
      <c r="A14" s="63" t="str">
        <f>'Tariff Jul 2016'!K6</f>
        <v>Diamond Energy</v>
      </c>
      <c r="B14" s="1" t="str">
        <f>'Tariff Jul 2016'!L6</f>
        <v>Pay on time discount</v>
      </c>
      <c r="C14" s="84">
        <f>91*'Tariff Jul 2016'!M6/100</f>
        <v>71.389499999999998</v>
      </c>
      <c r="D14" s="84">
        <f>IF($F$5&gt;='Tariff Jul 2016'!P6,('Tariff Jul 2016'!P6*'Tariff Jul 2016'!N6/100),($F$5*'Tariff Jul 2016'!N6/100))</f>
        <v>89.43</v>
      </c>
      <c r="E14" s="84">
        <f>IF($F$5&lt;'Tariff Jul 2016'!P6,0,IF(($F$5-'Tariff Jul 2016'!P6)&lt;='Tariff Jul 2016'!R6,(($F$5-'Tariff Jul 2016'!P6)*'Tariff Jul 2016'!Q6/100),(('Tariff Jul 2016'!R6-'Tariff Jul 2016'!P6)*'Tariff Jul 2016'!Q6/100)))</f>
        <v>189.338256</v>
      </c>
      <c r="F14" s="85">
        <f>IF($F$5&lt;'Tariff Jul 2016'!R6,0,IF(($F$5-'Tariff Jul 2016'!R6)&lt;='Tariff Jul 2016'!T6,(($F$5-'Tariff Jul 2016'!R6)*'Tariff Jul 2016'!S6/100),(('Tariff Jul 2016'!T6-'Tariff Jul 2016'!R6)*'Tariff Jul 2016'!S6/100)))</f>
        <v>0</v>
      </c>
      <c r="G14" s="84">
        <v>0</v>
      </c>
      <c r="H14" s="84">
        <v>0</v>
      </c>
      <c r="I14" s="84">
        <f>IF(($F$5&lt;'Tariff Jul 2016'!T6),(0),($F$5-'Tariff Jul 2016'!T6)*'Tariff Jul 2016'!U6/100)</f>
        <v>0</v>
      </c>
      <c r="J14" s="84">
        <f t="shared" si="0"/>
        <v>350.15775600000001</v>
      </c>
      <c r="K14" s="298">
        <f t="shared" si="7"/>
        <v>1115.073024</v>
      </c>
      <c r="L14" s="86">
        <f t="shared" si="1"/>
        <v>1400.631024</v>
      </c>
      <c r="M14" s="86">
        <f t="shared" si="2"/>
        <v>1540.6941264000002</v>
      </c>
      <c r="N14" s="1">
        <f>'Tariff Jul 2016'!AT6</f>
        <v>0</v>
      </c>
      <c r="O14" s="1">
        <f>'Tariff Jul 2016'!AU6</f>
        <v>0</v>
      </c>
      <c r="P14" s="1">
        <f>'Tariff Jul 2016'!AV6</f>
        <v>7</v>
      </c>
      <c r="Q14" s="1">
        <f>'Tariff Jul 2016'!AW6</f>
        <v>0</v>
      </c>
      <c r="R14" s="87">
        <f>($F$6*'Tariff Jul 2016'!AQ6/100)*4</f>
        <v>255.55456000000001</v>
      </c>
      <c r="S14" s="298">
        <f t="shared" si="3"/>
        <v>1400.631024</v>
      </c>
      <c r="T14" s="298">
        <f>S14-(S14*P14/100)</f>
        <v>1302.5868523199999</v>
      </c>
      <c r="U14" s="298">
        <f t="shared" si="4"/>
        <v>1145.076464</v>
      </c>
      <c r="V14" s="298">
        <f t="shared" si="5"/>
        <v>1047.0322923199999</v>
      </c>
      <c r="W14" s="300">
        <f t="shared" si="6"/>
        <v>1259.5841104000001</v>
      </c>
      <c r="X14" s="300">
        <f t="shared" si="6"/>
        <v>1151.7355215519999</v>
      </c>
      <c r="Y14" s="88">
        <f>'Tariff Jul 2016'!AQ6</f>
        <v>8</v>
      </c>
      <c r="Z14" s="89">
        <f>'Tariff Jul 2016'!BD6</f>
        <v>24</v>
      </c>
      <c r="AA14" s="89" t="str">
        <f>'Tariff Jul 2016'!BE6</f>
        <v>y</v>
      </c>
      <c r="AB14" s="90">
        <f>'Tariff Jul 2016'!G6</f>
        <v>41121</v>
      </c>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row>
    <row r="15" spans="1:141" ht="14" x14ac:dyDescent="0.15">
      <c r="A15" s="63" t="str">
        <f>'Tariff Jul 2016'!K7</f>
        <v>Dodo Power &amp; Gas</v>
      </c>
      <c r="B15" s="1" t="str">
        <f>'Tariff Jul 2016'!L7</f>
        <v>Market offer</v>
      </c>
      <c r="C15" s="84">
        <f>91*'Tariff Jul 2016'!M7/100</f>
        <v>64.200500000000005</v>
      </c>
      <c r="D15" s="84">
        <f>IF($F$5&gt;='Tariff Jul 2016'!P7,('Tariff Jul 2016'!P7*'Tariff Jul 2016'!N7/100),($F$5*'Tariff Jul 2016'!N7/100))</f>
        <v>100.5</v>
      </c>
      <c r="E15" s="84">
        <f>IF($F$5&lt;'Tariff Jul 2016'!P7,0,IF(($F$5-'Tariff Jul 2016'!P7)&lt;='Tariff Jul 2016'!R7,(($F$5-'Tariff Jul 2016'!P7)*'Tariff Jul 2016'!Q7/100),(('Tariff Jul 2016'!R7-'Tariff Jul 2016'!P7)*'Tariff Jul 2016'!Q7/100)))</f>
        <v>198.52368000000001</v>
      </c>
      <c r="F15" s="85">
        <f>IF($F$5&lt;'Tariff Jul 2016'!R7,0,IF(($F$5-'Tariff Jul 2016'!R7)&lt;='Tariff Jul 2016'!T7,(($F$5-'Tariff Jul 2016'!R7)*'Tariff Jul 2016'!S7/100),(('Tariff Jul 2016'!T7-'Tariff Jul 2016'!R7)*'Tariff Jul 2016'!S7/100)))</f>
        <v>0</v>
      </c>
      <c r="G15" s="84">
        <v>0</v>
      </c>
      <c r="H15" s="84">
        <v>0</v>
      </c>
      <c r="I15" s="84">
        <f>IF(($F$5&lt;'Tariff Jul 2016'!T7),(0),($F$5-'Tariff Jul 2016'!T7)*'Tariff Jul 2016'!U7/100)</f>
        <v>0</v>
      </c>
      <c r="J15" s="84">
        <f t="shared" si="0"/>
        <v>363.22418000000005</v>
      </c>
      <c r="K15" s="298">
        <f t="shared" si="7"/>
        <v>1196.0947200000001</v>
      </c>
      <c r="L15" s="86">
        <f t="shared" si="1"/>
        <v>1452.8967200000002</v>
      </c>
      <c r="M15" s="86">
        <f t="shared" si="2"/>
        <v>1598.1863920000003</v>
      </c>
      <c r="N15" s="1">
        <f>'Tariff Jul 2016'!AT7</f>
        <v>0</v>
      </c>
      <c r="O15" s="1">
        <f>'Tariff Jul 2016'!AU7</f>
        <v>0</v>
      </c>
      <c r="P15" s="1">
        <f>'Tariff Jul 2016'!AV7</f>
        <v>0</v>
      </c>
      <c r="Q15" s="1">
        <f>'Tariff Jul 2016'!AW7</f>
        <v>25</v>
      </c>
      <c r="R15" s="87">
        <f>($F$6*'Tariff Jul 2016'!AQ7/100)*4</f>
        <v>223.61024</v>
      </c>
      <c r="S15" s="298">
        <f t="shared" si="3"/>
        <v>1452.8967200000002</v>
      </c>
      <c r="T15" s="298">
        <f>S15-(K15*Q15/100)</f>
        <v>1153.8730400000002</v>
      </c>
      <c r="U15" s="298">
        <f t="shared" si="4"/>
        <v>1229.2864800000002</v>
      </c>
      <c r="V15" s="298">
        <f t="shared" si="5"/>
        <v>930.2628000000002</v>
      </c>
      <c r="W15" s="300">
        <f t="shared" si="6"/>
        <v>1352.2151280000003</v>
      </c>
      <c r="X15" s="300">
        <f t="shared" si="6"/>
        <v>1023.2890800000004</v>
      </c>
      <c r="Y15" s="88">
        <f>'Tariff Jul 2016'!AQ7</f>
        <v>7</v>
      </c>
      <c r="Z15" s="89">
        <f>'Tariff Jul 2016'!BD7</f>
        <v>0</v>
      </c>
      <c r="AA15" s="89" t="str">
        <f>'Tariff Jul 2016'!BE7</f>
        <v>n</v>
      </c>
      <c r="AB15" s="90">
        <f>'Tariff Jul 2016'!G7</f>
        <v>41055</v>
      </c>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row>
    <row r="16" spans="1:141" ht="14" x14ac:dyDescent="0.15">
      <c r="A16" s="63" t="str">
        <f>'Tariff Jul 2016'!K8</f>
        <v>EnergyAustralia</v>
      </c>
      <c r="B16" s="1" t="str">
        <f>'Tariff Jul 2016'!L8</f>
        <v xml:space="preserve">Flexi Saver </v>
      </c>
      <c r="C16" s="84">
        <f>91*'Tariff Jul 2016'!M8/100</f>
        <v>72.6999</v>
      </c>
      <c r="D16" s="84">
        <f>IF($F$5&gt;='Tariff Jul 2016'!P8,('Tariff Jul 2016'!P8*'Tariff Jul 2016'!N8/100),($F$5*'Tariff Jul 2016'!N8/100))</f>
        <v>303.19572979200001</v>
      </c>
      <c r="E16" s="84">
        <f>IF($F$5&lt;'Tariff Jul 2016'!P8,0,IF(($F$5-'Tariff Jul 2016'!P8)&lt;='Tariff Jul 2016'!R8,(($F$5-'Tariff Jul 2016'!P8)*'Tariff Jul 2016'!Q8/100),(('Tariff Jul 2016'!R8-'Tariff Jul 2016'!P8)*'Tariff Jul 2016'!Q8/100)))</f>
        <v>0</v>
      </c>
      <c r="F16" s="85">
        <v>0</v>
      </c>
      <c r="G16" s="84">
        <v>0</v>
      </c>
      <c r="H16" s="84">
        <v>0</v>
      </c>
      <c r="I16" s="84">
        <f>IF(($F$5&lt;'Tariff Jul 2016'!T8),(0),($F$5-'Tariff Jul 2016'!T8)*'Tariff Jul 2016'!U8/100)</f>
        <v>0</v>
      </c>
      <c r="J16" s="84">
        <f t="shared" si="0"/>
        <v>375.89562979200002</v>
      </c>
      <c r="K16" s="298">
        <f t="shared" si="7"/>
        <v>1212.782919168</v>
      </c>
      <c r="L16" s="86">
        <f t="shared" si="1"/>
        <v>1503.5825191680001</v>
      </c>
      <c r="M16" s="86">
        <f t="shared" si="2"/>
        <v>1653.9407710848002</v>
      </c>
      <c r="N16" s="1">
        <f>'Tariff Jul 2016'!AT8</f>
        <v>0</v>
      </c>
      <c r="O16" s="1">
        <f>'Tariff Jul 2016'!AU8</f>
        <v>0</v>
      </c>
      <c r="P16" s="1">
        <f>'Tariff Jul 2016'!AV8</f>
        <v>0</v>
      </c>
      <c r="Q16" s="1">
        <f>'Tariff Jul 2016'!AW8</f>
        <v>18</v>
      </c>
      <c r="R16" s="87">
        <f>($F$6*'Tariff Jul 2016'!AQ8/100)*4</f>
        <v>261.94342399999999</v>
      </c>
      <c r="S16" s="298">
        <f t="shared" si="3"/>
        <v>1503.5825191680001</v>
      </c>
      <c r="T16" s="298">
        <f>S16-(K16*Q16/100)</f>
        <v>1285.2815937177602</v>
      </c>
      <c r="U16" s="298">
        <f t="shared" si="4"/>
        <v>1241.639095168</v>
      </c>
      <c r="V16" s="298">
        <f t="shared" si="5"/>
        <v>1023.3381697177601</v>
      </c>
      <c r="W16" s="300">
        <f t="shared" si="6"/>
        <v>1365.8030046848</v>
      </c>
      <c r="X16" s="300">
        <f t="shared" si="6"/>
        <v>1125.6719866895362</v>
      </c>
      <c r="Y16" s="88">
        <f>'Tariff Jul 2016'!AQ8</f>
        <v>8.1999999999999993</v>
      </c>
      <c r="Z16" s="89">
        <f>'Tariff Jul 2016'!BD8</f>
        <v>0</v>
      </c>
      <c r="AA16" s="89" t="str">
        <f>'Tariff Jul 2016'!BE8</f>
        <v>n</v>
      </c>
      <c r="AB16" s="90">
        <f>'Tariff Jul 2016'!G8</f>
        <v>41117</v>
      </c>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row>
    <row r="17" spans="1:141" ht="14" x14ac:dyDescent="0.15">
      <c r="A17" s="63" t="str">
        <f>'Tariff Jul 2016'!K9</f>
        <v>Lumo Energy</v>
      </c>
      <c r="B17" s="1" t="str">
        <f>'Tariff Jul 2016'!L9</f>
        <v>Advantage</v>
      </c>
      <c r="C17" s="84">
        <f>91*'Tariff Jul 2016'!M9/100</f>
        <v>72.408699999999996</v>
      </c>
      <c r="D17" s="84">
        <f>IF($F$5&gt;='Tariff Jul 2016'!P9,('Tariff Jul 2016'!P9*'Tariff Jul 2016'!N9/100),($F$5*'Tariff Jul 2016'!N9/100))</f>
        <v>276.44069760000002</v>
      </c>
      <c r="E17" s="84">
        <v>0</v>
      </c>
      <c r="F17" s="85">
        <v>0</v>
      </c>
      <c r="G17" s="84">
        <v>0</v>
      </c>
      <c r="H17" s="84">
        <v>0</v>
      </c>
      <c r="I17" s="84">
        <f>IF(($F$5&lt;'Tariff Jul 2016'!T9),(0),($F$5-'Tariff Jul 2016'!T9)*'Tariff Jul 2016'!U9/100)</f>
        <v>0</v>
      </c>
      <c r="J17" s="84">
        <f t="shared" si="0"/>
        <v>348.84939760000003</v>
      </c>
      <c r="K17" s="298">
        <f t="shared" si="7"/>
        <v>1105.7627904000001</v>
      </c>
      <c r="L17" s="86">
        <f t="shared" si="1"/>
        <v>1395.3975904000001</v>
      </c>
      <c r="M17" s="86">
        <f t="shared" si="2"/>
        <v>1534.9373494400002</v>
      </c>
      <c r="N17" s="1">
        <f>'Tariff Jul 2016'!AT9</f>
        <v>0</v>
      </c>
      <c r="O17" s="1">
        <f>'Tariff Jul 2016'!AU9</f>
        <v>0</v>
      </c>
      <c r="P17" s="1">
        <f>'Tariff Jul 2016'!AV9</f>
        <v>12</v>
      </c>
      <c r="Q17" s="1">
        <f>'Tariff Jul 2016'!AW9</f>
        <v>0</v>
      </c>
      <c r="R17" s="87">
        <f>($F$6*'Tariff Jul 2016'!AQ9/100)*4</f>
        <v>223.61024</v>
      </c>
      <c r="S17" s="298">
        <f t="shared" si="3"/>
        <v>1395.3975904000001</v>
      </c>
      <c r="T17" s="298">
        <f>S17-(S17*P17/100)</f>
        <v>1227.9498795520001</v>
      </c>
      <c r="U17" s="298">
        <f t="shared" si="4"/>
        <v>1171.7873504000002</v>
      </c>
      <c r="V17" s="298">
        <f t="shared" si="5"/>
        <v>1004.3396395520001</v>
      </c>
      <c r="W17" s="300">
        <f t="shared" si="6"/>
        <v>1288.9660854400004</v>
      </c>
      <c r="X17" s="300">
        <f t="shared" si="6"/>
        <v>1104.7736035072003</v>
      </c>
      <c r="Y17" s="88">
        <f>'Tariff Jul 2016'!AQ9</f>
        <v>7</v>
      </c>
      <c r="Z17" s="89">
        <f>'Tariff Jul 2016'!BD9</f>
        <v>24</v>
      </c>
      <c r="AA17" s="89" t="str">
        <f>'Tariff Jul 2016'!BE9</f>
        <v>n</v>
      </c>
      <c r="AB17" s="90">
        <f>'Tariff Jul 2016'!G9</f>
        <v>41090</v>
      </c>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row>
    <row r="18" spans="1:141" ht="14" x14ac:dyDescent="0.15">
      <c r="A18" s="63" t="str">
        <f>'Tariff Jul 2016'!K10</f>
        <v>Momentum Energy</v>
      </c>
      <c r="B18" s="1" t="str">
        <f>'Tariff Jul 2016'!L10</f>
        <v>SmilePower</v>
      </c>
      <c r="C18" s="84">
        <f>91*'Tariff Jul 2016'!M10/100</f>
        <v>68.377399999999994</v>
      </c>
      <c r="D18" s="84">
        <f>IF($F$5&gt;='Tariff Jul 2016'!P10,('Tariff Jul 2016'!P10*'Tariff Jul 2016'!N10/100),($F$5*'Tariff Jul 2016'!N10/100))</f>
        <v>186.18</v>
      </c>
      <c r="E18" s="84">
        <v>0</v>
      </c>
      <c r="F18" s="85">
        <v>0</v>
      </c>
      <c r="G18" s="84">
        <v>0</v>
      </c>
      <c r="H18" s="84">
        <v>0</v>
      </c>
      <c r="I18" s="84">
        <f>IF(($F$5&lt;'Tariff Jul 2016'!T10),(0),($F$5-'Tariff Jul 2016'!T10)*'Tariff Jul 2016'!U10/100)</f>
        <v>92.668953600000023</v>
      </c>
      <c r="J18" s="84">
        <f t="shared" si="0"/>
        <v>347.22635360000004</v>
      </c>
      <c r="K18" s="298">
        <f t="shared" si="7"/>
        <v>1115.3958144000003</v>
      </c>
      <c r="L18" s="86">
        <f t="shared" si="1"/>
        <v>1388.9054144000002</v>
      </c>
      <c r="M18" s="86">
        <f t="shared" si="2"/>
        <v>1527.7959558400003</v>
      </c>
      <c r="N18" s="1">
        <f>'Tariff Jul 2016'!AT10</f>
        <v>0</v>
      </c>
      <c r="O18" s="1">
        <f>'Tariff Jul 2016'!AU10</f>
        <v>0</v>
      </c>
      <c r="P18" s="1">
        <f>'Tariff Jul 2016'!AV10</f>
        <v>0</v>
      </c>
      <c r="Q18" s="1">
        <f>'Tariff Jul 2016'!AW10</f>
        <v>0</v>
      </c>
      <c r="R18" s="87">
        <f>($F$6*'Tariff Jul 2016'!AQ10/100)*4</f>
        <v>217.22137600000002</v>
      </c>
      <c r="S18" s="298">
        <f t="shared" si="3"/>
        <v>1388.9054144000002</v>
      </c>
      <c r="T18" s="298">
        <f>S18</f>
        <v>1388.9054144000002</v>
      </c>
      <c r="U18" s="298">
        <f t="shared" si="4"/>
        <v>1171.6840384000002</v>
      </c>
      <c r="V18" s="298">
        <f t="shared" si="5"/>
        <v>1171.6840384000002</v>
      </c>
      <c r="W18" s="300">
        <f t="shared" si="6"/>
        <v>1288.8524422400003</v>
      </c>
      <c r="X18" s="300">
        <f t="shared" si="6"/>
        <v>1288.8524422400003</v>
      </c>
      <c r="Y18" s="88">
        <f>'Tariff Jul 2016'!AQ10</f>
        <v>6.8</v>
      </c>
      <c r="Z18" s="89">
        <f>'Tariff Jul 2016'!BD10</f>
        <v>12</v>
      </c>
      <c r="AA18" s="89" t="str">
        <f>'Tariff Jul 2016'!BE10</f>
        <v>y</v>
      </c>
      <c r="AB18" s="90">
        <f>'Tariff Jul 2016'!G10</f>
        <v>41121</v>
      </c>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row>
    <row r="19" spans="1:141" ht="14" x14ac:dyDescent="0.15">
      <c r="A19" s="63" t="str">
        <f>'Tariff Jul 2016'!K11</f>
        <v>Origin Energy</v>
      </c>
      <c r="B19" s="1" t="str">
        <f>'Tariff Jul 2016'!L11</f>
        <v>Saver</v>
      </c>
      <c r="C19" s="84">
        <f>91*'Tariff Jul 2016'!M11/100</f>
        <v>64.255099999999999</v>
      </c>
      <c r="D19" s="84">
        <f>IF($F$5&gt;='Tariff Jul 2016'!P11,('Tariff Jul 2016'!P11*'Tariff Jul 2016'!N11/100),($F$5*'Tariff Jul 2016'!N11/100))</f>
        <v>279.56482560000001</v>
      </c>
      <c r="E19" s="84">
        <v>0</v>
      </c>
      <c r="F19" s="85">
        <v>0</v>
      </c>
      <c r="G19" s="84">
        <v>0</v>
      </c>
      <c r="H19" s="84">
        <v>0</v>
      </c>
      <c r="I19" s="84">
        <f>IF(($F$5&lt;'Tariff Jul 2016'!T11),(0),($F$5-'Tariff Jul 2016'!T11)*'Tariff Jul 2016'!U11/100)</f>
        <v>0</v>
      </c>
      <c r="J19" s="84">
        <f t="shared" si="0"/>
        <v>343.81992560000003</v>
      </c>
      <c r="K19" s="298">
        <f t="shared" si="7"/>
        <v>1118.2593024000003</v>
      </c>
      <c r="L19" s="86">
        <f t="shared" si="1"/>
        <v>1375.2797024000001</v>
      </c>
      <c r="M19" s="86">
        <f t="shared" si="2"/>
        <v>1512.8076726400002</v>
      </c>
      <c r="N19" s="1">
        <f>'Tariff Jul 2016'!AT11</f>
        <v>0</v>
      </c>
      <c r="O19" s="1">
        <f>'Tariff Jul 2016'!AU11</f>
        <v>0</v>
      </c>
      <c r="P19" s="1">
        <f>'Tariff Jul 2016'!AV11</f>
        <v>0</v>
      </c>
      <c r="Q19" s="1">
        <f>'Tariff Jul 2016'!AW11</f>
        <v>16</v>
      </c>
      <c r="R19" s="87">
        <f>($F$6*'Tariff Jul 2016'!AQ11/100)*4</f>
        <v>217.22137600000002</v>
      </c>
      <c r="S19" s="298">
        <f t="shared" si="3"/>
        <v>1375.2797024000001</v>
      </c>
      <c r="T19" s="298">
        <f>S19-(K19*Q19/100)</f>
        <v>1196.3582140160001</v>
      </c>
      <c r="U19" s="298">
        <f t="shared" si="4"/>
        <v>1158.0583264000002</v>
      </c>
      <c r="V19" s="298">
        <f t="shared" si="5"/>
        <v>979.13683801600018</v>
      </c>
      <c r="W19" s="300">
        <f t="shared" si="6"/>
        <v>1273.8641590400002</v>
      </c>
      <c r="X19" s="300">
        <f t="shared" si="6"/>
        <v>1077.0505218176004</v>
      </c>
      <c r="Y19" s="88">
        <f>'Tariff Jul 2016'!AQ11</f>
        <v>6.8</v>
      </c>
      <c r="Z19" s="89">
        <f>'Tariff Jul 2016'!BD11</f>
        <v>0</v>
      </c>
      <c r="AA19" s="89" t="str">
        <f>'Tariff Jul 2016'!BE11</f>
        <v>n</v>
      </c>
      <c r="AB19" s="90">
        <f>'Tariff Jul 2016'!G11</f>
        <v>41096</v>
      </c>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row>
    <row r="20" spans="1:141" ht="14" x14ac:dyDescent="0.15">
      <c r="A20" s="63" t="str">
        <f>'Tariff Jul 2016'!K12</f>
        <v>Powerdirect</v>
      </c>
      <c r="B20" s="1" t="str">
        <f>'Tariff Jul 2016'!L12</f>
        <v>18 percent</v>
      </c>
      <c r="C20" s="84">
        <f>91*'Tariff Jul 2016'!M12/100</f>
        <v>69.460300000000004</v>
      </c>
      <c r="D20" s="84">
        <f>IF($F$5&gt;='Tariff Jul 2016'!P12,('Tariff Jul 2016'!P12*'Tariff Jul 2016'!N12/100),($F5*'Tariff Jul 2016'!N12/100))</f>
        <v>278.13665280000004</v>
      </c>
      <c r="E20" s="84">
        <v>0</v>
      </c>
      <c r="F20" s="85">
        <v>0</v>
      </c>
      <c r="G20" s="84">
        <v>0</v>
      </c>
      <c r="H20" s="84">
        <v>0</v>
      </c>
      <c r="I20" s="84">
        <f>IF(($F$5&lt;'Tariff Jul 2016'!T12),(0),($F$5-'Tariff Jul 2016'!T12)*'Tariff Jul 2016'!U12/100)</f>
        <v>0</v>
      </c>
      <c r="J20" s="84">
        <f t="shared" si="0"/>
        <v>347.59695280000005</v>
      </c>
      <c r="K20" s="298">
        <f t="shared" si="7"/>
        <v>1112.5466112000001</v>
      </c>
      <c r="L20" s="86">
        <f t="shared" si="1"/>
        <v>1390.3878112000002</v>
      </c>
      <c r="M20" s="86">
        <f t="shared" si="2"/>
        <v>1529.4265923200003</v>
      </c>
      <c r="N20" s="1">
        <f>'Tariff Jul 2016'!AT12</f>
        <v>0</v>
      </c>
      <c r="O20" s="1">
        <f>'Tariff Jul 2016'!AU12</f>
        <v>0</v>
      </c>
      <c r="P20" s="1">
        <f>'Tariff Jul 2016'!AV12</f>
        <v>0</v>
      </c>
      <c r="Q20" s="1">
        <f>'Tariff Jul 2016'!AW12</f>
        <v>18</v>
      </c>
      <c r="R20" s="87">
        <f>($F$6*'Tariff Jul 2016'!AQ12/100)*4</f>
        <v>217.22137600000002</v>
      </c>
      <c r="S20" s="298">
        <f t="shared" si="3"/>
        <v>1390.3878112000002</v>
      </c>
      <c r="T20" s="298">
        <f>S20-(K20*Q20/100)</f>
        <v>1190.1294211840002</v>
      </c>
      <c r="U20" s="298">
        <f t="shared" si="4"/>
        <v>1173.1664352000003</v>
      </c>
      <c r="V20" s="298">
        <f t="shared" si="5"/>
        <v>972.90804518400023</v>
      </c>
      <c r="W20" s="300">
        <f t="shared" si="6"/>
        <v>1290.4830787200003</v>
      </c>
      <c r="X20" s="300">
        <f t="shared" si="6"/>
        <v>1070.1988497024004</v>
      </c>
      <c r="Y20" s="88">
        <f>'Tariff Jul 2016'!AQ12</f>
        <v>6.8</v>
      </c>
      <c r="Z20" s="89">
        <f>'Tariff Jul 2016'!BD12</f>
        <v>24</v>
      </c>
      <c r="AA20" s="89" t="str">
        <f>'Tariff Jul 2016'!BE12</f>
        <v>n</v>
      </c>
      <c r="AB20" s="90">
        <f>'Tariff Jul 2016'!G12</f>
        <v>41121</v>
      </c>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row>
    <row r="21" spans="1:141" ht="14" x14ac:dyDescent="0.15">
      <c r="A21" s="63" t="str">
        <f>'Tariff Jul 2016'!K13</f>
        <v>Sanctuary Energy</v>
      </c>
      <c r="B21" s="1" t="str">
        <f>'Tariff Jul 2016'!L13</f>
        <v>Supplementary FIT</v>
      </c>
      <c r="C21" s="84">
        <f>91*'Tariff Jul 2016'!M13/100</f>
        <v>64.000299999999996</v>
      </c>
      <c r="D21" s="84">
        <f>IF($F$5&gt;='Tariff Jul 2016'!P13,('Tariff Jul 2016'!P13*'Tariff Jul 2016'!N13/100),($F$5*'Tariff Jul 2016'!N13/100))</f>
        <v>86.4</v>
      </c>
      <c r="E21" s="84">
        <f>IF($F$5&lt;'Tariff Jul 2016'!P13,0,IF(($F$5-'Tariff Jul 2016'!P13)&lt;='Tariff Jul 2016'!R13,(($F$5-'Tariff Jul 2016'!P13)*'Tariff Jul 2016'!Q13/100),(('Tariff Jul 2016'!R13-'Tariff Jul 2016'!P13)*'Tariff Jul 2016'!Q13/100)))</f>
        <v>0</v>
      </c>
      <c r="F21" s="85">
        <f>IF($F$5&lt;'Tariff Jul 2016'!R13,0,IF(($F$5-'Tariff Jul 2016'!R13)&lt;='Tariff Jul 2016'!T13,(($F$5-'Tariff Jul 2016'!R13)*'Tariff Jul 2016'!S13/100),(('Tariff Jul 2016'!T13-'Tariff Jul 2016'!R13)*'Tariff Jul 2016'!S13/100)))</f>
        <v>0</v>
      </c>
      <c r="G21" s="84">
        <v>0</v>
      </c>
      <c r="H21" s="84">
        <v>0</v>
      </c>
      <c r="I21" s="84">
        <f>IF(($F$5&lt;'Tariff Jul 2016'!T13),(0),($F$5-'Tariff Jul 2016'!T13)*'Tariff Jul 2016'!U13/100)</f>
        <v>197.87181120000002</v>
      </c>
      <c r="J21" s="84">
        <f t="shared" si="0"/>
        <v>348.27211120000004</v>
      </c>
      <c r="K21" s="298">
        <f t="shared" si="7"/>
        <v>1137.0872448000002</v>
      </c>
      <c r="L21" s="86">
        <f t="shared" si="1"/>
        <v>1393.0884448000002</v>
      </c>
      <c r="M21" s="86">
        <f t="shared" si="2"/>
        <v>1532.3972892800002</v>
      </c>
      <c r="N21" s="1">
        <f>'Tariff Jul 2016'!AT13</f>
        <v>0</v>
      </c>
      <c r="O21" s="1">
        <f>'Tariff Jul 2016'!AU13</f>
        <v>0</v>
      </c>
      <c r="P21" s="1">
        <f>'Tariff Jul 2016'!AV13</f>
        <v>0</v>
      </c>
      <c r="Q21" s="1">
        <f>'Tariff Jul 2016'!AW13</f>
        <v>0</v>
      </c>
      <c r="R21" s="87">
        <f>($F$6*'Tariff Jul 2016'!AQ13/100)*4</f>
        <v>319.44320000000005</v>
      </c>
      <c r="S21" s="298">
        <f t="shared" si="3"/>
        <v>1393.0884448000002</v>
      </c>
      <c r="T21" s="298">
        <f>S21</f>
        <v>1393.0884448000002</v>
      </c>
      <c r="U21" s="298">
        <f t="shared" si="4"/>
        <v>1073.6452448</v>
      </c>
      <c r="V21" s="298">
        <f t="shared" si="5"/>
        <v>1073.6452448</v>
      </c>
      <c r="W21" s="300">
        <f t="shared" si="6"/>
        <v>1181.00976928</v>
      </c>
      <c r="X21" s="300">
        <f t="shared" si="6"/>
        <v>1181.00976928</v>
      </c>
      <c r="Y21" s="88">
        <f>'Tariff Jul 2016'!AQ13</f>
        <v>10</v>
      </c>
      <c r="Z21" s="89">
        <f>'Tariff Jul 2016'!BD13</f>
        <v>0</v>
      </c>
      <c r="AA21" s="89" t="str">
        <f>'Tariff Jul 2016'!BE13</f>
        <v>n</v>
      </c>
      <c r="AB21" s="90">
        <f>'Tariff Jul 2016'!G13</f>
        <v>40841</v>
      </c>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row>
    <row r="22" spans="1:141" ht="14" x14ac:dyDescent="0.15">
      <c r="A22" s="63" t="str">
        <f>'Tariff Jul 2016'!K14</f>
        <v>Simply Energy</v>
      </c>
      <c r="B22" s="1" t="str">
        <f>'Tariff Jul 2016'!L14</f>
        <v xml:space="preserve">Autumn Sale </v>
      </c>
      <c r="C22" s="84">
        <f>91*'Tariff Jul 2016'!M14/100</f>
        <v>57.684899999999999</v>
      </c>
      <c r="D22" s="84">
        <f>IF($F$5&gt;='Tariff Jul 2016'!P14,('Tariff Jul 2016'!P14*'Tariff Jul 2016'!N14/100),($F$5*'Tariff Jul 2016'!N14/100))</f>
        <v>272.24544000000003</v>
      </c>
      <c r="E22" s="84">
        <v>0</v>
      </c>
      <c r="F22" s="85">
        <v>0</v>
      </c>
      <c r="G22" s="84">
        <v>0</v>
      </c>
      <c r="H22" s="84">
        <v>0</v>
      </c>
      <c r="I22" s="84">
        <f>IF(($F$5&lt;'Tariff Jul 2016'!T14),(0),($F$5-'Tariff Jul 2016'!T14)*'Tariff Jul 2016'!U14/100)</f>
        <v>0</v>
      </c>
      <c r="J22" s="84">
        <f t="shared" si="0"/>
        <v>329.93034</v>
      </c>
      <c r="K22" s="298">
        <f>(J22-C22)*4</f>
        <v>1088.9817600000001</v>
      </c>
      <c r="L22" s="86">
        <f t="shared" si="1"/>
        <v>1319.72136</v>
      </c>
      <c r="M22" s="86">
        <f t="shared" si="2"/>
        <v>1451.6934960000001</v>
      </c>
      <c r="N22" s="1">
        <f>'Tariff Jul 2016'!AT14</f>
        <v>0</v>
      </c>
      <c r="O22" s="1">
        <f>'Tariff Jul 2016'!AU14</f>
        <v>0</v>
      </c>
      <c r="P22" s="1">
        <f>'Tariff Jul 2016'!AV14</f>
        <v>0</v>
      </c>
      <c r="Q22" s="1">
        <f>'Tariff Jul 2016'!AW14</f>
        <v>28</v>
      </c>
      <c r="R22" s="87">
        <f>($F$6*'Tariff Jul 2016'!AQ14/100)*4</f>
        <v>217.22137600000002</v>
      </c>
      <c r="S22" s="298">
        <f t="shared" si="3"/>
        <v>1319.72136</v>
      </c>
      <c r="T22" s="298">
        <f>S22-(K22*Q22/100)</f>
        <v>1014.8064672</v>
      </c>
      <c r="U22" s="298">
        <f t="shared" si="4"/>
        <v>1102.499984</v>
      </c>
      <c r="V22" s="298">
        <f t="shared" si="5"/>
        <v>797.58509120000008</v>
      </c>
      <c r="W22" s="300">
        <f t="shared" si="6"/>
        <v>1212.7499824000001</v>
      </c>
      <c r="X22" s="300">
        <f t="shared" si="6"/>
        <v>877.34360032000018</v>
      </c>
      <c r="Y22" s="88">
        <f>'Tariff Jul 2016'!AQ14</f>
        <v>6.8</v>
      </c>
      <c r="Z22" s="89">
        <f>'Tariff Jul 2016'!BD14</f>
        <v>24</v>
      </c>
      <c r="AA22" s="89" t="str">
        <f>'Tariff Jul 2016'!BE14</f>
        <v>y</v>
      </c>
      <c r="AB22" s="90">
        <f>'Tariff Jul 2016'!G14</f>
        <v>41046</v>
      </c>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row>
    <row r="23" spans="1:141" ht="15" thickBot="1" x14ac:dyDescent="0.2">
      <c r="A23" s="91" t="str">
        <f>'Tariff Jul 2016'!K15</f>
        <v>Urth Energy</v>
      </c>
      <c r="B23" s="92" t="str">
        <f>'Tariff Jul 2016'!L15</f>
        <v>Market offer</v>
      </c>
      <c r="C23" s="93">
        <f>91*'Tariff Jul 2016'!M15/100</f>
        <v>64.255099999999999</v>
      </c>
      <c r="D23" s="93">
        <f>IF($F$5&gt;='Tariff Jul 2016'!P15,('Tariff Jul 2016'!P15*'Tariff Jul 2016'!N15/100),($F$5*'Tariff Jul 2016'!N15/100))</f>
        <v>279.386304</v>
      </c>
      <c r="E23" s="93">
        <v>0</v>
      </c>
      <c r="F23" s="94">
        <v>0</v>
      </c>
      <c r="G23" s="93">
        <v>0</v>
      </c>
      <c r="H23" s="93">
        <v>0</v>
      </c>
      <c r="I23" s="93">
        <f>IF(($F$5&lt;'Tariff Jul 2016'!T15),(0),($F$5-'Tariff Jul 2016'!T15)*'Tariff Jul 2016'!U15/100)</f>
        <v>0</v>
      </c>
      <c r="J23" s="93">
        <f t="shared" si="0"/>
        <v>343.64140399999997</v>
      </c>
      <c r="K23" s="299">
        <f t="shared" si="7"/>
        <v>1117.545216</v>
      </c>
      <c r="L23" s="95">
        <f t="shared" si="1"/>
        <v>1374.5656159999999</v>
      </c>
      <c r="M23" s="95">
        <f t="shared" si="2"/>
        <v>1512.0221776000001</v>
      </c>
      <c r="N23" s="92">
        <f>'Tariff Jul 2016'!AT15</f>
        <v>0</v>
      </c>
      <c r="O23" s="92">
        <f>'Tariff Jul 2016'!AU15</f>
        <v>0</v>
      </c>
      <c r="P23" s="92">
        <f>'Tariff Jul 2016'!AV15</f>
        <v>0</v>
      </c>
      <c r="Q23" s="92">
        <f>'Tariff Jul 2016'!AW15</f>
        <v>10</v>
      </c>
      <c r="R23" s="96">
        <f>($F$6*'Tariff Jul 2016'!AQ15/100)*4</f>
        <v>319.44320000000005</v>
      </c>
      <c r="S23" s="299">
        <f t="shared" si="3"/>
        <v>1374.5656159999999</v>
      </c>
      <c r="T23" s="299">
        <f>S23-(K23*Q23/100)</f>
        <v>1262.8110943999998</v>
      </c>
      <c r="U23" s="299">
        <f t="shared" si="4"/>
        <v>1055.1224159999997</v>
      </c>
      <c r="V23" s="299">
        <f t="shared" si="5"/>
        <v>943.36789439999973</v>
      </c>
      <c r="W23" s="301">
        <f t="shared" si="6"/>
        <v>1160.6346575999999</v>
      </c>
      <c r="X23" s="301">
        <f t="shared" si="6"/>
        <v>1037.7046838399997</v>
      </c>
      <c r="Y23" s="97">
        <f>'Tariff Jul 2016'!AQ15</f>
        <v>10</v>
      </c>
      <c r="Z23" s="98">
        <f>'Tariff Jul 2016'!BD15</f>
        <v>0</v>
      </c>
      <c r="AA23" s="98" t="str">
        <f>'Tariff Jul 2016'!BE15</f>
        <v>n</v>
      </c>
      <c r="AB23" s="99">
        <f>'Tariff Jul 2016'!G15</f>
        <v>41090</v>
      </c>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row>
    <row r="24" spans="1:141" ht="14" x14ac:dyDescent="0.15">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row>
    <row r="25" spans="1:141" ht="15" thickBot="1" x14ac:dyDescent="0.2">
      <c r="A25" s="81"/>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row>
    <row r="26" spans="1:141" ht="14" x14ac:dyDescent="0.15">
      <c r="A26" s="82" t="s">
        <v>154</v>
      </c>
      <c r="B26" s="83"/>
      <c r="C26" s="100"/>
      <c r="D26" s="100"/>
      <c r="E26" s="100"/>
      <c r="F26" s="100"/>
      <c r="G26" s="101"/>
      <c r="H26" s="101"/>
      <c r="I26" s="83"/>
      <c r="J26" s="83"/>
      <c r="K26" s="101"/>
      <c r="L26" s="83"/>
      <c r="M26" s="83"/>
      <c r="N26" s="83"/>
      <c r="O26" s="83"/>
      <c r="P26" s="83"/>
      <c r="Q26" s="83"/>
      <c r="R26" s="83"/>
      <c r="S26" s="83"/>
      <c r="T26" s="83"/>
      <c r="U26" s="83"/>
      <c r="V26" s="83"/>
      <c r="W26" s="83"/>
      <c r="X26" s="83"/>
      <c r="Y26" s="83"/>
      <c r="Z26" s="83"/>
      <c r="AA26" s="83"/>
      <c r="AB26" s="18"/>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row>
    <row r="27" spans="1:141" ht="90" x14ac:dyDescent="0.15">
      <c r="A27" s="287" t="s">
        <v>231</v>
      </c>
      <c r="B27" s="288" t="s">
        <v>243</v>
      </c>
      <c r="C27" s="289" t="s">
        <v>244</v>
      </c>
      <c r="D27" s="289" t="s">
        <v>245</v>
      </c>
      <c r="E27" s="290" t="s">
        <v>357</v>
      </c>
      <c r="F27" s="290" t="s">
        <v>358</v>
      </c>
      <c r="G27" s="290" t="s">
        <v>329</v>
      </c>
      <c r="H27" s="290" t="s">
        <v>222</v>
      </c>
      <c r="I27" s="290" t="s">
        <v>223</v>
      </c>
      <c r="J27" s="290" t="s">
        <v>799</v>
      </c>
      <c r="K27" s="296" t="s">
        <v>246</v>
      </c>
      <c r="L27" s="296" t="s">
        <v>247</v>
      </c>
      <c r="M27" s="291" t="s">
        <v>248</v>
      </c>
      <c r="N27" s="292" t="s">
        <v>249</v>
      </c>
      <c r="O27" s="292" t="s">
        <v>250</v>
      </c>
      <c r="P27" s="292" t="s">
        <v>251</v>
      </c>
      <c r="Q27" s="292" t="s">
        <v>365</v>
      </c>
      <c r="R27" s="293" t="s">
        <v>373</v>
      </c>
      <c r="S27" s="297" t="s">
        <v>255</v>
      </c>
      <c r="T27" s="297" t="s">
        <v>224</v>
      </c>
      <c r="U27" s="297" t="s">
        <v>374</v>
      </c>
      <c r="V27" s="297" t="s">
        <v>375</v>
      </c>
      <c r="W27" s="293" t="s">
        <v>376</v>
      </c>
      <c r="X27" s="293" t="s">
        <v>436</v>
      </c>
      <c r="Y27" s="292" t="s">
        <v>155</v>
      </c>
      <c r="Z27" s="295" t="s">
        <v>225</v>
      </c>
      <c r="AA27" s="292" t="s">
        <v>226</v>
      </c>
      <c r="AB27" s="294" t="s">
        <v>437</v>
      </c>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row>
    <row r="28" spans="1:141" ht="14" x14ac:dyDescent="0.15">
      <c r="A28" s="63" t="str">
        <f>'Tariff Jul 2016'!K16</f>
        <v>AGL</v>
      </c>
      <c r="B28" s="1" t="str">
        <f>'Tariff Jul 2016'!L16</f>
        <v>Savers (solar)</v>
      </c>
      <c r="C28" s="102">
        <f>91*'Tariff Jul 2016'!M16/100</f>
        <v>64.519000000000005</v>
      </c>
      <c r="D28" s="102">
        <f>IF($H5&gt;='Tariff Jul 2016'!P16,('Tariff Jul 2016'!P16*25%)*'Tariff Jul 2016'!N16/100+('Tariff Jul 2016'!P16*75%)*'Tariff Jul 2016'!W16/100,((H5)*25%)*'Tariff Jul 2016'!N16/100+((H5)*75%)*'Tariff Jul 2016'!W16/100)</f>
        <v>224.08031232000002</v>
      </c>
      <c r="E28" s="102">
        <v>0</v>
      </c>
      <c r="F28" s="102">
        <v>0</v>
      </c>
      <c r="G28" s="102">
        <f>IF(($H$5&lt;'Tariff Jul 2016'!T16),(0),(($H$5-'Tariff Jul 2016'!T16)*25%)*'Tariff Jul 2016'!U16/100+(($H$5-'Tariff Jul 2016'!T16)*75%)*'Tariff Jul 2016'!AC16/100)</f>
        <v>0</v>
      </c>
      <c r="H28" s="102">
        <f>($I$5)*'Tariff Jul 2016'!AE16/100</f>
        <v>27.403065600000001</v>
      </c>
      <c r="I28" s="102">
        <v>0</v>
      </c>
      <c r="J28" s="102">
        <f>SUM(C28:I28)</f>
        <v>316.00237792000001</v>
      </c>
      <c r="K28" s="298">
        <f>(J28-C28)*4</f>
        <v>1005.93351168</v>
      </c>
      <c r="L28" s="86">
        <f>J28*4</f>
        <v>1264.0095116800001</v>
      </c>
      <c r="M28" s="86">
        <f>L28*1.1</f>
        <v>1390.4104628480002</v>
      </c>
      <c r="N28" s="1">
        <f>'Tariff Jul 2016'!AT16</f>
        <v>0</v>
      </c>
      <c r="O28" s="1">
        <f>'Tariff Jul 2016'!AU16</f>
        <v>0</v>
      </c>
      <c r="P28" s="1">
        <f>'Tariff Jul 2016'!AV16</f>
        <v>0</v>
      </c>
      <c r="Q28" s="1">
        <f>'Tariff Jul 2016'!AW16</f>
        <v>15</v>
      </c>
      <c r="R28" s="87">
        <f>($F$6*'Tariff Jul 2016'!AQ16/100)*4</f>
        <v>217.22137600000002</v>
      </c>
      <c r="S28" s="298">
        <f>L28</f>
        <v>1264.0095116800001</v>
      </c>
      <c r="T28" s="298">
        <f>S28-(K28*Q28/100)</f>
        <v>1113.119484928</v>
      </c>
      <c r="U28" s="298">
        <f>S28-R28</f>
        <v>1046.7881356800001</v>
      </c>
      <c r="V28" s="298">
        <f>T28-R28</f>
        <v>895.89810892800006</v>
      </c>
      <c r="W28" s="300">
        <f>U28*1.1</f>
        <v>1151.4669492480002</v>
      </c>
      <c r="X28" s="300">
        <f>V28*1.1</f>
        <v>985.48791982080013</v>
      </c>
      <c r="Y28" s="88">
        <f>'Tariff Jul 2016'!AQ16</f>
        <v>6.8</v>
      </c>
      <c r="Z28" s="89">
        <f>'Tariff Jul 2016'!BD16</f>
        <v>0</v>
      </c>
      <c r="AA28" s="89" t="str">
        <f>'Tariff Jul 2016'!BE16</f>
        <v>n</v>
      </c>
      <c r="AB28" s="90">
        <f>'Tariff Jul 2016'!G16</f>
        <v>41102</v>
      </c>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row>
    <row r="29" spans="1:141" ht="14" x14ac:dyDescent="0.15">
      <c r="A29" s="63" t="str">
        <f>'Tariff Jul 2016'!K17</f>
        <v>Alinta Energy</v>
      </c>
      <c r="B29" s="1" t="str">
        <f>'Tariff Jul 2016'!L17</f>
        <v>Harvey Norman</v>
      </c>
      <c r="C29" s="102">
        <f>91*'Tariff Jul 2016'!M17/100</f>
        <v>71.962800000000001</v>
      </c>
      <c r="D29" s="102">
        <f>IF($H$5&gt;='Tariff Jul 2016'!P17,('Tariff Jul 2016'!P17*'Tariff Jul 2016'!N17/100),(($H$5)*'Tariff Jul 2016'!N17/100))</f>
        <v>95.28</v>
      </c>
      <c r="E29" s="102">
        <f>IF($H$5&lt;'Tariff Jul 2016'!P17,0,IF(($H$5-'Tariff Jul 2016'!P17)&lt;='Tariff Jul 2016'!R17,(($H$5-'Tariff Jul 2016'!P17)*'Tariff Jul 2016'!Q17/100),(('Tariff Jul 2016'!R17-'Tariff Jul 2016'!P17)*'Tariff Jul 2016'!Q17/100)))</f>
        <v>136.8555552</v>
      </c>
      <c r="F29" s="102">
        <f>IF($H$5&lt;'Tariff Jul 2016'!R17,0,IF(($H$5-'Tariff Jul 2016'!R17)&lt;='Tariff Jul 2016'!T17,(($H$5-'Tariff Jul 2016'!R17)*'Tariff Jul 2016'!S17/100),(('Tariff Jul 2016'!T17-'Tariff Jul 2016'!R17)*'Tariff Jul 2016'!S17/100)))</f>
        <v>0</v>
      </c>
      <c r="G29" s="102">
        <f>IF(($H$5&lt;'Tariff Jul 2016'!T17),(0),($H$5-'Tariff Jul 2016'!T17)*'Tariff Jul 2016'!U17/100)</f>
        <v>0</v>
      </c>
      <c r="H29" s="102">
        <f>IF($I$5&gt;='Tariff Jul 2016'!AF17,('Tariff Jul 2016'!AF17*'Tariff Jul 2016'!AE17/100),(($I$5)*'Tariff Jul 2016'!AE17/100))</f>
        <v>32.00892288</v>
      </c>
      <c r="I29" s="102">
        <f>IF((I5&lt;'Tariff Jul 2016'!AF17),(0),(I5-'Tariff Jul 2016'!AF17)*'Tariff Jul 2016'!AG17/100)</f>
        <v>0</v>
      </c>
      <c r="J29" s="102">
        <f t="shared" ref="J29:J41" si="8">SUM(C29:I29)</f>
        <v>336.10727808000001</v>
      </c>
      <c r="K29" s="298">
        <f>(J29-C29)*4</f>
        <v>1056.57791232</v>
      </c>
      <c r="L29" s="86">
        <f t="shared" ref="L29:L41" si="9">J29*4</f>
        <v>1344.4291123200001</v>
      </c>
      <c r="M29" s="86">
        <f t="shared" ref="M29:M41" si="10">L29*1.1</f>
        <v>1478.8720235520002</v>
      </c>
      <c r="N29" s="1">
        <f>'Tariff Jul 2016'!AT17</f>
        <v>0</v>
      </c>
      <c r="O29" s="1">
        <f>'Tariff Jul 2016'!AU17</f>
        <v>0</v>
      </c>
      <c r="P29" s="1">
        <f>'Tariff Jul 2016'!AV17</f>
        <v>0</v>
      </c>
      <c r="Q29" s="1">
        <f>'Tariff Jul 2016'!AW17</f>
        <v>20</v>
      </c>
      <c r="R29" s="87">
        <f>($F$6*'Tariff Jul 2016'!AQ17/100)*4</f>
        <v>217.22137600000002</v>
      </c>
      <c r="S29" s="298">
        <f t="shared" ref="S29:S41" si="11">L29</f>
        <v>1344.4291123200001</v>
      </c>
      <c r="T29" s="298">
        <f>S29-(K29*Q29/100)</f>
        <v>1133.113529856</v>
      </c>
      <c r="U29" s="298">
        <f t="shared" ref="U29:U41" si="12">S29-R29</f>
        <v>1127.2077363200001</v>
      </c>
      <c r="V29" s="298">
        <f t="shared" ref="V29:V41" si="13">T29-R29</f>
        <v>915.89215385600005</v>
      </c>
      <c r="W29" s="300">
        <f t="shared" ref="W29:X41" si="14">U29*1.1</f>
        <v>1239.9285099520002</v>
      </c>
      <c r="X29" s="300">
        <f t="shared" si="14"/>
        <v>1007.4813692416002</v>
      </c>
      <c r="Y29" s="88">
        <f>'Tariff Jul 2016'!AQ17</f>
        <v>6.8</v>
      </c>
      <c r="Z29" s="89">
        <f>'Tariff Jul 2016'!BD17</f>
        <v>0</v>
      </c>
      <c r="AA29" s="89" t="str">
        <f>'Tariff Jul 2016'!BE17</f>
        <v>n</v>
      </c>
      <c r="AB29" s="90">
        <f>'Tariff Jul 2016'!G17</f>
        <v>41111</v>
      </c>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row>
    <row r="30" spans="1:141" ht="14" x14ac:dyDescent="0.15">
      <c r="A30" s="63" t="str">
        <f>'Tariff Jul 2016'!K18</f>
        <v>Click Energy</v>
      </c>
      <c r="B30" s="1" t="str">
        <f>'Tariff Jul 2016'!L18</f>
        <v>Shine Plus</v>
      </c>
      <c r="C30" s="102">
        <f>91*'Tariff Jul 2016'!M18/100</f>
        <v>76.794899999999998</v>
      </c>
      <c r="D30" s="102">
        <f>IF($H$5&gt;='Tariff Jul 2016'!P18,('Tariff Jul 2016'!P18*'Tariff Jul 2016'!N18/100),(($H$5)*'Tariff Jul 2016'!N18/100))</f>
        <v>244.51032422399999</v>
      </c>
      <c r="E30" s="102">
        <v>0</v>
      </c>
      <c r="F30" s="102">
        <v>0</v>
      </c>
      <c r="G30" s="102">
        <f>IF(($H$5&lt;'Tariff Jul 2016'!T18),(0),($H$5-'Tariff Jul 2016'!T18)*'Tariff Jul 2016'!U18/100)</f>
        <v>0</v>
      </c>
      <c r="H30" s="102">
        <f>($I$5)*'Tariff Jul 2016'!AE18/100</f>
        <v>44.330483712000003</v>
      </c>
      <c r="I30" s="102">
        <v>0</v>
      </c>
      <c r="J30" s="102">
        <f t="shared" si="8"/>
        <v>365.63570793599996</v>
      </c>
      <c r="K30" s="298">
        <f t="shared" ref="K30:K41" si="15">(J30-C30)*4</f>
        <v>1155.3632317439999</v>
      </c>
      <c r="L30" s="86">
        <f t="shared" si="9"/>
        <v>1462.5428317439998</v>
      </c>
      <c r="M30" s="86">
        <f t="shared" si="10"/>
        <v>1608.7971149184</v>
      </c>
      <c r="N30" s="1">
        <f>'Tariff Jul 2016'!AT18</f>
        <v>0</v>
      </c>
      <c r="O30" s="1">
        <f>'Tariff Jul 2016'!AU18</f>
        <v>0</v>
      </c>
      <c r="P30" s="1">
        <f>'Tariff Jul 2016'!AV18</f>
        <v>5</v>
      </c>
      <c r="Q30" s="1">
        <f>'Tariff Jul 2016'!AW18</f>
        <v>0</v>
      </c>
      <c r="R30" s="87">
        <f>($F$6*'Tariff Jul 2016'!AQ18/100)*4</f>
        <v>383.33184</v>
      </c>
      <c r="S30" s="298">
        <f t="shared" si="11"/>
        <v>1462.5428317439998</v>
      </c>
      <c r="T30" s="298">
        <f>S30-(S30*P30/100)</f>
        <v>1389.4156901567999</v>
      </c>
      <c r="U30" s="298">
        <f t="shared" si="12"/>
        <v>1079.2109917439998</v>
      </c>
      <c r="V30" s="298">
        <f t="shared" si="13"/>
        <v>1006.0838501567998</v>
      </c>
      <c r="W30" s="300">
        <f t="shared" si="14"/>
        <v>1187.1320909183999</v>
      </c>
      <c r="X30" s="300">
        <f t="shared" si="14"/>
        <v>1106.69223517248</v>
      </c>
      <c r="Y30" s="88">
        <f>'Tariff Jul 2016'!AQ18</f>
        <v>12</v>
      </c>
      <c r="Z30" s="89">
        <f>'Tariff Jul 2016'!BD18</f>
        <v>0</v>
      </c>
      <c r="AA30" s="89" t="str">
        <f>'Tariff Jul 2016'!BE18</f>
        <v>n</v>
      </c>
      <c r="AB30" s="90">
        <f>'Tariff Jul 2016'!G18</f>
        <v>41090</v>
      </c>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row>
    <row r="31" spans="1:141" ht="14" x14ac:dyDescent="0.15">
      <c r="A31" s="63" t="str">
        <f>'Tariff Jul 2016'!K19</f>
        <v>Commander</v>
      </c>
      <c r="B31" s="1" t="str">
        <f>'Tariff Jul 2016'!L19</f>
        <v>Market offer</v>
      </c>
      <c r="C31" s="102">
        <f>91*'Tariff Jul 2016'!M19/100</f>
        <v>64.200500000000005</v>
      </c>
      <c r="D31" s="102">
        <f>IF($H$5&gt;='Tariff Jul 2016'!P19,('Tariff Jul 2016'!P19*'Tariff Jul 2016'!N19/100),(($H$5)*'Tariff Jul 2016'!N19/100))</f>
        <v>95.85</v>
      </c>
      <c r="E31" s="102">
        <f>IF($H$5&lt;'Tariff Jul 2016'!P19,0,IF(($H$5-'Tariff Jul 2016'!P19)&lt;='Tariff Jul 2016'!R19,(($H$5-'Tariff Jul 2016'!P19)*'Tariff Jul 2016'!Q19/100),(('Tariff Jul 2016'!R19-'Tariff Jul 2016'!P19)*'Tariff Jul 2016'!Q19/100)))</f>
        <v>132.3006048</v>
      </c>
      <c r="F31" s="102">
        <f>IF($H$5&lt;'Tariff Jul 2016'!R19,0,IF(($H$5-'Tariff Jul 2016'!R19)&lt;='Tariff Jul 2016'!T19,(($H$5-'Tariff Jul 2016'!R19)*'Tariff Jul 2016'!S19/100),(('Tariff Jul 2016'!T19-'Tariff Jul 2016'!R19)*'Tariff Jul 2016'!S19/100)))</f>
        <v>0</v>
      </c>
      <c r="G31" s="102">
        <f>IF(($H$5&lt;'Tariff Jul 2016'!T19),(0),($H$5-'Tariff Jul 2016'!T19)*'Tariff Jul 2016'!U19/100)</f>
        <v>0</v>
      </c>
      <c r="H31" s="102">
        <f>($I$5)*'Tariff Jul 2016'!AE19/100</f>
        <v>28.741977600000006</v>
      </c>
      <c r="I31" s="102">
        <v>0</v>
      </c>
      <c r="J31" s="102">
        <f t="shared" si="8"/>
        <v>321.09308240000001</v>
      </c>
      <c r="K31" s="298">
        <f t="shared" si="15"/>
        <v>1027.5703296000002</v>
      </c>
      <c r="L31" s="86">
        <f t="shared" si="9"/>
        <v>1284.3723296000001</v>
      </c>
      <c r="M31" s="86">
        <f t="shared" si="10"/>
        <v>1412.8095625600001</v>
      </c>
      <c r="N31" s="1">
        <f>'Tariff Jul 2016'!AT19</f>
        <v>0</v>
      </c>
      <c r="O31" s="1">
        <f>'Tariff Jul 2016'!AU19</f>
        <v>0</v>
      </c>
      <c r="P31" s="1">
        <f>'Tariff Jul 2016'!AV19</f>
        <v>0</v>
      </c>
      <c r="Q31" s="1">
        <f>'Tariff Jul 2016'!AW19</f>
        <v>20</v>
      </c>
      <c r="R31" s="87">
        <f>($F$6*'Tariff Jul 2016'!AQ19/100)*4</f>
        <v>223.61024</v>
      </c>
      <c r="S31" s="298">
        <f t="shared" si="11"/>
        <v>1284.3723296000001</v>
      </c>
      <c r="T31" s="298">
        <f>S31-(K31*Q31/100)</f>
        <v>1078.8582636799999</v>
      </c>
      <c r="U31" s="298">
        <f t="shared" si="12"/>
        <v>1060.7620896000001</v>
      </c>
      <c r="V31" s="298">
        <f t="shared" si="13"/>
        <v>855.24802367999996</v>
      </c>
      <c r="W31" s="300">
        <f t="shared" si="14"/>
        <v>1166.8382985600001</v>
      </c>
      <c r="X31" s="300">
        <f t="shared" si="14"/>
        <v>940.77282604800007</v>
      </c>
      <c r="Y31" s="88">
        <f>'Tariff Jul 2016'!AQ19</f>
        <v>7</v>
      </c>
      <c r="Z31" s="89">
        <f>'Tariff Jul 2016'!BD19</f>
        <v>0</v>
      </c>
      <c r="AA31" s="89" t="str">
        <f>'Tariff Jul 2016'!BE19</f>
        <v>n</v>
      </c>
      <c r="AB31" s="90">
        <f>'Tariff Jul 2016'!G19</f>
        <v>41181</v>
      </c>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row>
    <row r="32" spans="1:141" ht="14" x14ac:dyDescent="0.15">
      <c r="A32" s="63" t="str">
        <f>'Tariff Jul 2016'!K20</f>
        <v>Diamond Energy</v>
      </c>
      <c r="B32" s="1" t="str">
        <f>'Tariff Jul 2016'!L20</f>
        <v>Pay on time discount</v>
      </c>
      <c r="C32" s="102">
        <f>91*'Tariff Jul 2016'!M20/100</f>
        <v>71.389499999999998</v>
      </c>
      <c r="D32" s="102">
        <f>IF($H$5&gt;='Tariff Jul 2016'!P20,('Tariff Jul 2016'!P20*'Tariff Jul 2016'!N20/100),(($H$5)*'Tariff Jul 2016'!N20/100))</f>
        <v>89.43</v>
      </c>
      <c r="E32" s="102">
        <f>IF($H$5&lt;'Tariff Jul 2016'!P20,0,IF(($H$5-'Tariff Jul 2016'!P20)&lt;='Tariff Jul 2016'!R20,(($H$5-'Tariff Jul 2016'!P20)*'Tariff Jul 2016'!Q20/100),(('Tariff Jul 2016'!R20-'Tariff Jul 2016'!P20)*'Tariff Jul 2016'!Q20/100)))</f>
        <v>132.3006048</v>
      </c>
      <c r="F32" s="102">
        <f>IF($H$5&lt;'Tariff Jul 2016'!R20,0,IF(($H$5-'Tariff Jul 2016'!R20)&lt;='Tariff Jul 2016'!T20,(($H$5-'Tariff Jul 2016'!R20)*'Tariff Jul 2016'!S20/100),(('Tariff Jul 2016'!T20-'Tariff Jul 2016'!R20)*'Tariff Jul 2016'!S20/100)))</f>
        <v>0</v>
      </c>
      <c r="G32" s="102">
        <f>IF(($H$5&lt;'Tariff Jul 2016'!T20),(0),($H$5-'Tariff Jul 2016'!T20)*'Tariff Jul 2016'!U20/100)</f>
        <v>0</v>
      </c>
      <c r="H32" s="102">
        <f>($I$5)*'Tariff Jul 2016'!AE20/100</f>
        <v>28.545603840000002</v>
      </c>
      <c r="I32" s="102">
        <v>0</v>
      </c>
      <c r="J32" s="102">
        <f t="shared" si="8"/>
        <v>321.66570864000005</v>
      </c>
      <c r="K32" s="298">
        <f t="shared" si="15"/>
        <v>1001.1048345600002</v>
      </c>
      <c r="L32" s="86">
        <f t="shared" si="9"/>
        <v>1286.6628345600002</v>
      </c>
      <c r="M32" s="86">
        <f t="shared" si="10"/>
        <v>1415.3291180160004</v>
      </c>
      <c r="N32" s="1">
        <f>'Tariff Jul 2016'!AT20</f>
        <v>0</v>
      </c>
      <c r="O32" s="1">
        <f>'Tariff Jul 2016'!AU20</f>
        <v>0</v>
      </c>
      <c r="P32" s="1">
        <f>'Tariff Jul 2016'!AV20</f>
        <v>7</v>
      </c>
      <c r="Q32" s="1">
        <f>'Tariff Jul 2016'!AW20</f>
        <v>0</v>
      </c>
      <c r="R32" s="87">
        <f>($F$6*'Tariff Jul 2016'!AQ20/100)*4</f>
        <v>255.55456000000001</v>
      </c>
      <c r="S32" s="298">
        <f t="shared" si="11"/>
        <v>1286.6628345600002</v>
      </c>
      <c r="T32" s="298">
        <f>S32-(S32*P32/100)</f>
        <v>1196.5964361408003</v>
      </c>
      <c r="U32" s="298">
        <f t="shared" si="12"/>
        <v>1031.1082745600002</v>
      </c>
      <c r="V32" s="298">
        <f t="shared" si="13"/>
        <v>941.04187614080024</v>
      </c>
      <c r="W32" s="300">
        <f t="shared" si="14"/>
        <v>1134.2191020160003</v>
      </c>
      <c r="X32" s="300">
        <f t="shared" si="14"/>
        <v>1035.1460637548803</v>
      </c>
      <c r="Y32" s="88">
        <f>'Tariff Jul 2016'!AQ20</f>
        <v>8</v>
      </c>
      <c r="Z32" s="89">
        <f>'Tariff Jul 2016'!BD20</f>
        <v>24</v>
      </c>
      <c r="AA32" s="89" t="str">
        <f>'Tariff Jul 2016'!BE20</f>
        <v>y</v>
      </c>
      <c r="AB32" s="90">
        <f>'Tariff Jul 2016'!G20</f>
        <v>41121</v>
      </c>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row>
    <row r="33" spans="1:141" ht="14" x14ac:dyDescent="0.15">
      <c r="A33" s="63" t="str">
        <f>'Tariff Jul 2016'!K21</f>
        <v>Dodo Power &amp; Gas</v>
      </c>
      <c r="B33" s="1" t="str">
        <f>'Tariff Jul 2016'!L21</f>
        <v>Market offer</v>
      </c>
      <c r="C33" s="102">
        <f>91*'Tariff Jul 2016'!M21/100</f>
        <v>64.200500000000005</v>
      </c>
      <c r="D33" s="102">
        <f>IF($H$5&gt;='Tariff Jul 2016'!P21,('Tariff Jul 2016'!P21*'Tariff Jul 2016'!N21/100),(($H$5)*'Tariff Jul 2016'!N21/100))</f>
        <v>100.5</v>
      </c>
      <c r="E33" s="102">
        <f>IF($H$5&lt;'Tariff Jul 2016'!P21,0,IF(($H$5-'Tariff Jul 2016'!P21)&lt;='Tariff Jul 2016'!R21,(($H$5-'Tariff Jul 2016'!P21)*'Tariff Jul 2016'!Q21/100),(('Tariff Jul 2016'!R21-'Tariff Jul 2016'!P21)*'Tariff Jul 2016'!Q21/100)))</f>
        <v>138.71894400000002</v>
      </c>
      <c r="F33" s="102">
        <f>IF($H$5&lt;'Tariff Jul 2016'!R21,0,IF(($H$5-'Tariff Jul 2016'!R21)&lt;='Tariff Jul 2016'!T21,(($H$5-'Tariff Jul 2016'!R21)*'Tariff Jul 2016'!S21/100),(('Tariff Jul 2016'!T21-'Tariff Jul 2016'!R21)*'Tariff Jul 2016'!S21/100)))</f>
        <v>0</v>
      </c>
      <c r="G33" s="102">
        <f>IF(($H$5&lt;'Tariff Jul 2016'!T21),(0),($H$5-'Tariff Jul 2016'!T21)*'Tariff Jul 2016'!U21/100)</f>
        <v>0</v>
      </c>
      <c r="H33" s="102">
        <f>($I$5)*'Tariff Jul 2016'!AE21/100</f>
        <v>28.920499199999998</v>
      </c>
      <c r="I33" s="102">
        <v>0</v>
      </c>
      <c r="J33" s="102">
        <f t="shared" si="8"/>
        <v>332.33994319999999</v>
      </c>
      <c r="K33" s="298">
        <f t="shared" si="15"/>
        <v>1072.5577727999998</v>
      </c>
      <c r="L33" s="86">
        <f t="shared" si="9"/>
        <v>1329.3597728</v>
      </c>
      <c r="M33" s="86">
        <f t="shared" si="10"/>
        <v>1462.2957500800001</v>
      </c>
      <c r="N33" s="1">
        <f>'Tariff Jul 2016'!AT21</f>
        <v>0</v>
      </c>
      <c r="O33" s="1">
        <f>'Tariff Jul 2016'!AU21</f>
        <v>0</v>
      </c>
      <c r="P33" s="1">
        <f>'Tariff Jul 2016'!AV21</f>
        <v>0</v>
      </c>
      <c r="Q33" s="1">
        <f>'Tariff Jul 2016'!AW21</f>
        <v>25</v>
      </c>
      <c r="R33" s="87">
        <f>($F$6*'Tariff Jul 2016'!AQ21/100)*4</f>
        <v>223.61024</v>
      </c>
      <c r="S33" s="298">
        <f t="shared" si="11"/>
        <v>1329.3597728</v>
      </c>
      <c r="T33" s="298">
        <f>S33-(K33*Q33/100)</f>
        <v>1061.2203296</v>
      </c>
      <c r="U33" s="298">
        <f t="shared" si="12"/>
        <v>1105.7495328</v>
      </c>
      <c r="V33" s="298">
        <f t="shared" si="13"/>
        <v>837.61008960000004</v>
      </c>
      <c r="W33" s="300">
        <f t="shared" si="14"/>
        <v>1216.32448608</v>
      </c>
      <c r="X33" s="300">
        <f t="shared" si="14"/>
        <v>921.37109856000006</v>
      </c>
      <c r="Y33" s="88">
        <f>'Tariff Jul 2016'!AQ21</f>
        <v>7</v>
      </c>
      <c r="Z33" s="89">
        <f>'Tariff Jul 2016'!BD21</f>
        <v>0</v>
      </c>
      <c r="AA33" s="89" t="str">
        <f>'Tariff Jul 2016'!BE21</f>
        <v>n</v>
      </c>
      <c r="AB33" s="90">
        <f>'Tariff Jul 2016'!G21</f>
        <v>41055</v>
      </c>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row>
    <row r="34" spans="1:141" ht="14" x14ac:dyDescent="0.15">
      <c r="A34" s="63" t="str">
        <f>'Tariff Jul 2016'!K22</f>
        <v>EnergyAustralia</v>
      </c>
      <c r="B34" s="1" t="str">
        <f>'Tariff Jul 2016'!L22</f>
        <v xml:space="preserve">Flexi Saver </v>
      </c>
      <c r="C34" s="102">
        <f>91*'Tariff Jul 2016'!M22/100</f>
        <v>72.6999</v>
      </c>
      <c r="D34" s="102">
        <f>IF($H$5&gt;='Tariff Jul 2016'!P22,('Tariff Jul 2016'!P22*'Tariff Jul 2016'!N22/100),(($H$5)*'Tariff Jul 2016'!N22/100))</f>
        <v>242.55658383359997</v>
      </c>
      <c r="E34" s="102">
        <f>IF($H$5&lt;'Tariff Jul 2016'!P22,0,IF(($H$5-'Tariff Jul 2016'!P22)&lt;='Tariff Jul 2016'!R22,(($H$5-'Tariff Jul 2016'!P22)*'Tariff Jul 2016'!Q22/100),(('Tariff Jul 2016'!R22-'Tariff Jul 2016'!P22)*'Tariff Jul 2016'!Q22/100)))</f>
        <v>0</v>
      </c>
      <c r="F34" s="102">
        <v>0</v>
      </c>
      <c r="G34" s="102">
        <v>0</v>
      </c>
      <c r="H34" s="102">
        <f>($I$5)*'Tariff Jul 2016'!AE22/100</f>
        <v>25.862245670400004</v>
      </c>
      <c r="I34" s="102">
        <v>0</v>
      </c>
      <c r="J34" s="102">
        <f t="shared" si="8"/>
        <v>341.11872950399999</v>
      </c>
      <c r="K34" s="298">
        <f t="shared" si="15"/>
        <v>1073.6753180159999</v>
      </c>
      <c r="L34" s="86">
        <f t="shared" si="9"/>
        <v>1364.4749180159999</v>
      </c>
      <c r="M34" s="86">
        <f t="shared" si="10"/>
        <v>1500.9224098176001</v>
      </c>
      <c r="N34" s="1">
        <f>'Tariff Jul 2016'!AT22</f>
        <v>0</v>
      </c>
      <c r="O34" s="1">
        <f>'Tariff Jul 2016'!AU22</f>
        <v>0</v>
      </c>
      <c r="P34" s="1">
        <f>'Tariff Jul 2016'!AV22</f>
        <v>0</v>
      </c>
      <c r="Q34" s="1">
        <f>'Tariff Jul 2016'!AW22</f>
        <v>18</v>
      </c>
      <c r="R34" s="87">
        <f>($F$6*'Tariff Jul 2016'!AQ22/100)*4</f>
        <v>261.94342399999999</v>
      </c>
      <c r="S34" s="298">
        <f t="shared" si="11"/>
        <v>1364.4749180159999</v>
      </c>
      <c r="T34" s="298">
        <f>S34-(K34*Q34/100)</f>
        <v>1171.21336077312</v>
      </c>
      <c r="U34" s="298">
        <f t="shared" si="12"/>
        <v>1102.5314940159999</v>
      </c>
      <c r="V34" s="298">
        <f t="shared" si="13"/>
        <v>909.26993677311998</v>
      </c>
      <c r="W34" s="300">
        <f t="shared" si="14"/>
        <v>1212.7846434175999</v>
      </c>
      <c r="X34" s="300">
        <f t="shared" si="14"/>
        <v>1000.1969304504321</v>
      </c>
      <c r="Y34" s="88">
        <f>'Tariff Jul 2016'!AQ22</f>
        <v>8.1999999999999993</v>
      </c>
      <c r="Z34" s="89">
        <f>'Tariff Jul 2016'!BD22</f>
        <v>0</v>
      </c>
      <c r="AA34" s="89" t="str">
        <f>'Tariff Jul 2016'!BE22</f>
        <v>n</v>
      </c>
      <c r="AB34" s="90">
        <f>'Tariff Jul 2016'!G22</f>
        <v>41117</v>
      </c>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row>
    <row r="35" spans="1:141" ht="14" x14ac:dyDescent="0.15">
      <c r="A35" s="63" t="str">
        <f>'Tariff Jul 2016'!K23</f>
        <v>Lumo Energy</v>
      </c>
      <c r="B35" s="1" t="str">
        <f>'Tariff Jul 2016'!L23</f>
        <v>Advantage</v>
      </c>
      <c r="C35" s="102">
        <f>91*'Tariff Jul 2016'!M23/100</f>
        <v>72.408699999999996</v>
      </c>
      <c r="D35" s="102">
        <f>IF($H$5&gt;='Tariff Jul 2016'!P23,('Tariff Jul 2016'!P23*'Tariff Jul 2016'!N23/100),(($H$5)*'Tariff Jul 2016'!N23/100))</f>
        <v>221.15255808000001</v>
      </c>
      <c r="E35" s="102">
        <v>0</v>
      </c>
      <c r="F35" s="102">
        <v>0</v>
      </c>
      <c r="G35" s="102">
        <f>IF(($H$5&lt;'Tariff Jul 2016'!T23),(0),($H$5-'Tariff Jul 2016'!T23)*'Tariff Jul 2016'!U23/100)</f>
        <v>0</v>
      </c>
      <c r="H35" s="102">
        <f>($I$5)*'Tariff Jul 2016'!AE23/100</f>
        <v>27.492326400000003</v>
      </c>
      <c r="I35" s="102">
        <v>0</v>
      </c>
      <c r="J35" s="102">
        <f t="shared" si="8"/>
        <v>321.05358448000004</v>
      </c>
      <c r="K35" s="298">
        <f t="shared" si="15"/>
        <v>994.57953792000012</v>
      </c>
      <c r="L35" s="86">
        <f t="shared" si="9"/>
        <v>1284.2143379200002</v>
      </c>
      <c r="M35" s="86">
        <f t="shared" si="10"/>
        <v>1412.6357717120004</v>
      </c>
      <c r="N35" s="1">
        <f>'Tariff Jul 2016'!AT23</f>
        <v>0</v>
      </c>
      <c r="O35" s="1">
        <f>'Tariff Jul 2016'!AU23</f>
        <v>0</v>
      </c>
      <c r="P35" s="1">
        <f>'Tariff Jul 2016'!AV23</f>
        <v>12</v>
      </c>
      <c r="Q35" s="1">
        <f>'Tariff Jul 2016'!AW23</f>
        <v>0</v>
      </c>
      <c r="R35" s="87">
        <f>($F$6*'Tariff Jul 2016'!AQ23/100)*4</f>
        <v>223.61024</v>
      </c>
      <c r="S35" s="298">
        <f t="shared" si="11"/>
        <v>1284.2143379200002</v>
      </c>
      <c r="T35" s="298">
        <f>S35-(S35*P35/100)</f>
        <v>1130.1086173696001</v>
      </c>
      <c r="U35" s="298">
        <f t="shared" si="12"/>
        <v>1060.6040979200002</v>
      </c>
      <c r="V35" s="298">
        <f t="shared" si="13"/>
        <v>906.49837736960012</v>
      </c>
      <c r="W35" s="300">
        <f t="shared" si="14"/>
        <v>1166.6645077120004</v>
      </c>
      <c r="X35" s="300">
        <f t="shared" si="14"/>
        <v>997.1482151065602</v>
      </c>
      <c r="Y35" s="88">
        <f>'Tariff Jul 2016'!AQ23</f>
        <v>7</v>
      </c>
      <c r="Z35" s="89">
        <f>'Tariff Jul 2016'!BD23</f>
        <v>24</v>
      </c>
      <c r="AA35" s="89" t="str">
        <f>'Tariff Jul 2016'!BE23</f>
        <v>n</v>
      </c>
      <c r="AB35" s="90">
        <f>'Tariff Jul 2016'!G23</f>
        <v>41060</v>
      </c>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row>
    <row r="36" spans="1:141" ht="14" x14ac:dyDescent="0.15">
      <c r="A36" s="63" t="str">
        <f>'Tariff Jul 2016'!K24</f>
        <v>Momentum Energy</v>
      </c>
      <c r="B36" s="1" t="str">
        <f>'Tariff Jul 2016'!L24</f>
        <v>SmilePower</v>
      </c>
      <c r="C36" s="102">
        <f>91*'Tariff Jul 2016'!M24/100</f>
        <v>68.377399999999994</v>
      </c>
      <c r="D36" s="102">
        <f>IF($H$5&gt;='Tariff Jul 2016'!P24,('Tariff Jul 2016'!P24*'Tariff Jul 2016'!N24/100),(($H$5)*'Tariff Jul 2016'!N24/100))</f>
        <v>186.18</v>
      </c>
      <c r="E36" s="102">
        <v>0</v>
      </c>
      <c r="F36" s="102">
        <v>0</v>
      </c>
      <c r="G36" s="102">
        <f>IF(($H$5&lt;'Tariff Jul 2016'!T24),(0),($H$5-'Tariff Jul 2016'!T24)*'Tariff Jul 2016'!U24/100)</f>
        <v>36.131162880000012</v>
      </c>
      <c r="H36" s="102">
        <f>($I$5)*'Tariff Jul 2016'!AE24/100</f>
        <v>37.596648959999996</v>
      </c>
      <c r="I36" s="102">
        <v>0</v>
      </c>
      <c r="J36" s="102">
        <f t="shared" si="8"/>
        <v>328.28521183999999</v>
      </c>
      <c r="K36" s="298">
        <f t="shared" si="15"/>
        <v>1039.6312473600001</v>
      </c>
      <c r="L36" s="86">
        <f t="shared" si="9"/>
        <v>1313.14084736</v>
      </c>
      <c r="M36" s="86">
        <f t="shared" si="10"/>
        <v>1444.454932096</v>
      </c>
      <c r="N36" s="1">
        <f>'Tariff Jul 2016'!AT24</f>
        <v>0</v>
      </c>
      <c r="O36" s="1">
        <f>'Tariff Jul 2016'!AU24</f>
        <v>0</v>
      </c>
      <c r="P36" s="1">
        <f>'Tariff Jul 2016'!AV24</f>
        <v>0</v>
      </c>
      <c r="Q36" s="1">
        <f>'Tariff Jul 2016'!AW24</f>
        <v>0</v>
      </c>
      <c r="R36" s="87">
        <f>($F$6*'Tariff Jul 2016'!AQ24/100)*4</f>
        <v>217.22137600000002</v>
      </c>
      <c r="S36" s="298">
        <f t="shared" si="11"/>
        <v>1313.14084736</v>
      </c>
      <c r="T36" s="298">
        <f>S36</f>
        <v>1313.14084736</v>
      </c>
      <c r="U36" s="298">
        <f t="shared" si="12"/>
        <v>1095.91947136</v>
      </c>
      <c r="V36" s="298">
        <f t="shared" si="13"/>
        <v>1095.91947136</v>
      </c>
      <c r="W36" s="300">
        <f t="shared" si="14"/>
        <v>1205.511418496</v>
      </c>
      <c r="X36" s="300">
        <f t="shared" si="14"/>
        <v>1205.511418496</v>
      </c>
      <c r="Y36" s="88">
        <f>'Tariff Jul 2016'!AQ24</f>
        <v>6.8</v>
      </c>
      <c r="Z36" s="89">
        <f>'Tariff Jul 2016'!BD24</f>
        <v>12</v>
      </c>
      <c r="AA36" s="89" t="str">
        <f>'Tariff Jul 2016'!BE24</f>
        <v>y</v>
      </c>
      <c r="AB36" s="90">
        <f>'Tariff Jul 2016'!G24</f>
        <v>41121</v>
      </c>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row>
    <row r="37" spans="1:141" ht="14" x14ac:dyDescent="0.15">
      <c r="A37" s="63" t="str">
        <f>'Tariff Jul 2016'!K25</f>
        <v>Origin Energy</v>
      </c>
      <c r="B37" s="1" t="str">
        <f>'Tariff Jul 2016'!L25</f>
        <v>Saver</v>
      </c>
      <c r="C37" s="102">
        <f>91*'Tariff Jul 2016'!M25/100</f>
        <v>64.255099999999999</v>
      </c>
      <c r="D37" s="102">
        <f>IF($H$5&gt;='Tariff Jul 2016'!P25,('Tariff Jul 2016'!P25*'Tariff Jul 2016'!N25/100),(($H$5)*'Tariff Jul 2016'!N25/100))</f>
        <v>223.65186047999998</v>
      </c>
      <c r="E37" s="102">
        <v>0</v>
      </c>
      <c r="F37" s="102">
        <v>0</v>
      </c>
      <c r="G37" s="102">
        <f>IF(($H$5&lt;'Tariff Jul 2016'!T25),(0),($H$5-'Tariff Jul 2016'!T25)*'Tariff Jul 2016'!U25/100)</f>
        <v>0</v>
      </c>
      <c r="H37" s="102">
        <f>($I$5)*'Tariff Jul 2016'!AE25/100</f>
        <v>27.1352832</v>
      </c>
      <c r="I37" s="102">
        <v>0</v>
      </c>
      <c r="J37" s="102">
        <f t="shared" si="8"/>
        <v>315.04224367999996</v>
      </c>
      <c r="K37" s="298">
        <f t="shared" si="15"/>
        <v>1003.1485747199998</v>
      </c>
      <c r="L37" s="86">
        <f t="shared" si="9"/>
        <v>1260.1689747199998</v>
      </c>
      <c r="M37" s="86">
        <f t="shared" si="10"/>
        <v>1386.1858721919998</v>
      </c>
      <c r="N37" s="1">
        <f>'Tariff Jul 2016'!AT25</f>
        <v>0</v>
      </c>
      <c r="O37" s="1">
        <f>'Tariff Jul 2016'!AU25</f>
        <v>0</v>
      </c>
      <c r="P37" s="1">
        <f>'Tariff Jul 2016'!AV25</f>
        <v>0</v>
      </c>
      <c r="Q37" s="1">
        <f>'Tariff Jul 2016'!AW25</f>
        <v>16</v>
      </c>
      <c r="R37" s="87">
        <f>($F$6*'Tariff Jul 2016'!AQ25/100)*4</f>
        <v>217.22137600000002</v>
      </c>
      <c r="S37" s="298">
        <f t="shared" si="11"/>
        <v>1260.1689747199998</v>
      </c>
      <c r="T37" s="298">
        <f>S37-(K37*Q37/100)</f>
        <v>1099.6652027647999</v>
      </c>
      <c r="U37" s="298">
        <f t="shared" si="12"/>
        <v>1042.9475987199999</v>
      </c>
      <c r="V37" s="298">
        <f t="shared" si="13"/>
        <v>882.44382676479995</v>
      </c>
      <c r="W37" s="300">
        <f t="shared" si="14"/>
        <v>1147.2423585919998</v>
      </c>
      <c r="X37" s="300">
        <f t="shared" si="14"/>
        <v>970.68820944128004</v>
      </c>
      <c r="Y37" s="88">
        <f>'Tariff Jul 2016'!AQ25</f>
        <v>6.8</v>
      </c>
      <c r="Z37" s="89">
        <f>'Tariff Jul 2016'!BD25</f>
        <v>0</v>
      </c>
      <c r="AA37" s="89" t="str">
        <f>'Tariff Jul 2016'!BE25</f>
        <v>n</v>
      </c>
      <c r="AB37" s="90">
        <f>'Tariff Jul 2016'!G25</f>
        <v>41096</v>
      </c>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row>
    <row r="38" spans="1:141" ht="14" x14ac:dyDescent="0.15">
      <c r="A38" s="63" t="str">
        <f>'Tariff Jul 2016'!K26</f>
        <v>Powerdirect</v>
      </c>
      <c r="B38" s="1" t="str">
        <f>'Tariff Jul 2016'!L26</f>
        <v>18 percent</v>
      </c>
      <c r="C38" s="102">
        <f>91*'Tariff Jul 2016'!M26/100</f>
        <v>69.460300000000004</v>
      </c>
      <c r="D38" s="102">
        <f>IF($H$5&gt;='Tariff Jul 2016'!P26,('Tariff Jul 2016'!P26*'Tariff Jul 2016'!N26/100),(($H$5)*'Tariff Jul 2016'!N26/100))</f>
        <v>222.50932223999999</v>
      </c>
      <c r="E38" s="102">
        <v>0</v>
      </c>
      <c r="F38" s="102">
        <v>0</v>
      </c>
      <c r="G38" s="102">
        <f>IF(($H$5&lt;'Tariff Jul 2016'!T26),(0),($H$5-'Tariff Jul 2016'!T26)*'Tariff Jul 2016'!U26/100)</f>
        <v>0</v>
      </c>
      <c r="H38" s="102">
        <f>($I$5)*'Tariff Jul 2016'!AE26/100</f>
        <v>29.456064000000001</v>
      </c>
      <c r="I38" s="102">
        <v>0</v>
      </c>
      <c r="J38" s="102">
        <f t="shared" si="8"/>
        <v>321.42568624</v>
      </c>
      <c r="K38" s="298">
        <f t="shared" si="15"/>
        <v>1007.8615449599999</v>
      </c>
      <c r="L38" s="86">
        <f t="shared" si="9"/>
        <v>1285.70274496</v>
      </c>
      <c r="M38" s="86">
        <f t="shared" si="10"/>
        <v>1414.2730194560002</v>
      </c>
      <c r="N38" s="1">
        <f>'Tariff Jul 2016'!AT26</f>
        <v>0</v>
      </c>
      <c r="O38" s="1">
        <f>'Tariff Jul 2016'!AU26</f>
        <v>0</v>
      </c>
      <c r="P38" s="1">
        <f>'Tariff Jul 2016'!AV26</f>
        <v>0</v>
      </c>
      <c r="Q38" s="1">
        <f>'Tariff Jul 2016'!AW26</f>
        <v>18</v>
      </c>
      <c r="R38" s="87">
        <f>($F$6*'Tariff Jul 2016'!AQ26/100)*4</f>
        <v>217.22137600000002</v>
      </c>
      <c r="S38" s="298">
        <f t="shared" si="11"/>
        <v>1285.70274496</v>
      </c>
      <c r="T38" s="298">
        <f>S38-(K38*Q38/100)</f>
        <v>1104.2876668672</v>
      </c>
      <c r="U38" s="298">
        <f t="shared" si="12"/>
        <v>1068.4813689600001</v>
      </c>
      <c r="V38" s="298">
        <f t="shared" si="13"/>
        <v>887.0662908672</v>
      </c>
      <c r="W38" s="300">
        <f t="shared" si="14"/>
        <v>1175.3295058560002</v>
      </c>
      <c r="X38" s="300">
        <f t="shared" si="14"/>
        <v>975.77291995392011</v>
      </c>
      <c r="Y38" s="88">
        <f>'Tariff Jul 2016'!AQ26</f>
        <v>6.8</v>
      </c>
      <c r="Z38" s="89">
        <f>'Tariff Jul 2016'!BD26</f>
        <v>24</v>
      </c>
      <c r="AA38" s="89" t="str">
        <f>'Tariff Jul 2016'!BE26</f>
        <v>n</v>
      </c>
      <c r="AB38" s="90">
        <f>'Tariff Jul 2016'!G26</f>
        <v>41121</v>
      </c>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row>
    <row r="39" spans="1:141" ht="14" x14ac:dyDescent="0.15">
      <c r="A39" s="63" t="str">
        <f>'Tariff Jul 2016'!K27</f>
        <v>Sanctuary Energy</v>
      </c>
      <c r="B39" s="1" t="str">
        <f>'Tariff Jul 2016'!L27</f>
        <v>Supplementary FIT</v>
      </c>
      <c r="C39" s="102">
        <f>91*'Tariff Jul 2016'!M27/100</f>
        <v>64.000299999999996</v>
      </c>
      <c r="D39" s="102">
        <f>IF($H$5&gt;='Tariff Jul 2016'!P27,('Tariff Jul 2016'!P27*'Tariff Jul 2016'!N27/100),(($H$5)*'Tariff Jul 2016'!N27/100))</f>
        <v>86.4</v>
      </c>
      <c r="E39" s="102">
        <f>IF($H$5&lt;'Tariff Jul 2016'!P27,0,IF(($H$5-'Tariff Jul 2016'!P27)&lt;='Tariff Jul 2016'!R27,(($H$5-'Tariff Jul 2016'!P27)*'Tariff Jul 2016'!Q27/100),(('Tariff Jul 2016'!R27-'Tariff Jul 2016'!P27)*'Tariff Jul 2016'!Q27/100)))</f>
        <v>0</v>
      </c>
      <c r="F39" s="102">
        <f>IF($H$5&lt;'Tariff Jul 2016'!R27,0,IF(($H$5-'Tariff Jul 2016'!R27)&lt;='Tariff Jul 2016'!T27,(($H$5-'Tariff Jul 2016'!R27)*'Tariff Jul 2016'!S27/100),(('Tariff Jul 2016'!T27-'Tariff Jul 2016'!R27)*'Tariff Jul 2016'!S27/100)))</f>
        <v>0</v>
      </c>
      <c r="G39" s="102">
        <f>IF(($H$5&lt;'Tariff Jul 2016'!T27),(0),($H$5-'Tariff Jul 2016'!T27)*'Tariff Jul 2016'!U27/100)</f>
        <v>138.26344896000001</v>
      </c>
      <c r="H39" s="102">
        <f>($I$5)*'Tariff Jul 2016'!AE27/100</f>
        <v>25.403623679999999</v>
      </c>
      <c r="I39" s="102">
        <v>0</v>
      </c>
      <c r="J39" s="102">
        <f t="shared" si="8"/>
        <v>314.06737264000003</v>
      </c>
      <c r="K39" s="298">
        <f t="shared" si="15"/>
        <v>1000.2682905600002</v>
      </c>
      <c r="L39" s="86">
        <f t="shared" si="9"/>
        <v>1256.2694905600001</v>
      </c>
      <c r="M39" s="86">
        <f t="shared" si="10"/>
        <v>1381.8964396160002</v>
      </c>
      <c r="N39" s="1">
        <f>'Tariff Jul 2016'!AT27</f>
        <v>0</v>
      </c>
      <c r="O39" s="1">
        <f>'Tariff Jul 2016'!AU27</f>
        <v>0</v>
      </c>
      <c r="P39" s="1">
        <f>'Tariff Jul 2016'!AV27</f>
        <v>0</v>
      </c>
      <c r="Q39" s="1">
        <f>'Tariff Jul 2016'!AW27</f>
        <v>0</v>
      </c>
      <c r="R39" s="87">
        <f>($F$6*'Tariff Jul 2016'!AQ27/100)*4</f>
        <v>319.44320000000005</v>
      </c>
      <c r="S39" s="298">
        <f t="shared" si="11"/>
        <v>1256.2694905600001</v>
      </c>
      <c r="T39" s="298">
        <f>S39</f>
        <v>1256.2694905600001</v>
      </c>
      <c r="U39" s="298">
        <f t="shared" si="12"/>
        <v>936.82629056000007</v>
      </c>
      <c r="V39" s="298">
        <f t="shared" si="13"/>
        <v>936.82629056000007</v>
      </c>
      <c r="W39" s="300">
        <f t="shared" si="14"/>
        <v>1030.5089196160002</v>
      </c>
      <c r="X39" s="300">
        <f t="shared" si="14"/>
        <v>1030.5089196160002</v>
      </c>
      <c r="Y39" s="88">
        <f>'Tariff Jul 2016'!AQ27</f>
        <v>10</v>
      </c>
      <c r="Z39" s="89">
        <f>'Tariff Jul 2016'!BD27</f>
        <v>0</v>
      </c>
      <c r="AA39" s="89" t="str">
        <f>'Tariff Jul 2016'!BE27</f>
        <v>n</v>
      </c>
      <c r="AB39" s="90">
        <f>'Tariff Jul 2016'!G27</f>
        <v>40841</v>
      </c>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row>
    <row r="40" spans="1:141" ht="14" x14ac:dyDescent="0.15">
      <c r="A40" s="63" t="str">
        <f>'Tariff Jul 2016'!K28</f>
        <v>Simply Energy</v>
      </c>
      <c r="B40" s="1" t="str">
        <f>'Tariff Jul 2016'!L28</f>
        <v xml:space="preserve">Autumn Sale </v>
      </c>
      <c r="C40" s="102">
        <f>91*'Tariff Jul 2016'!M28/100</f>
        <v>57.684899999999999</v>
      </c>
      <c r="D40" s="102">
        <f>IF($H$5&gt;='Tariff Jul 2016'!P28,('Tariff Jul 2016'!P28*'Tariff Jul 2016'!N28/100),(($H$5)*'Tariff Jul 2016'!N28/100))</f>
        <v>217.79635200000001</v>
      </c>
      <c r="E40" s="102">
        <v>0</v>
      </c>
      <c r="F40" s="102">
        <v>0</v>
      </c>
      <c r="G40" s="102">
        <f>IF(($H$5&lt;'Tariff Jul 2016'!T28),(0),($H$5-'Tariff Jul 2016'!T28)*'Tariff Jul 2016'!U28/100)</f>
        <v>0</v>
      </c>
      <c r="H40" s="102">
        <f>($I$5)*'Tariff Jul 2016'!AE28/100</f>
        <v>31.187723519999999</v>
      </c>
      <c r="I40" s="102">
        <v>0</v>
      </c>
      <c r="J40" s="102">
        <f t="shared" si="8"/>
        <v>306.66897552000006</v>
      </c>
      <c r="K40" s="298">
        <f t="shared" si="15"/>
        <v>995.93630208000025</v>
      </c>
      <c r="L40" s="86">
        <f t="shared" si="9"/>
        <v>1226.6759020800002</v>
      </c>
      <c r="M40" s="86">
        <f t="shared" si="10"/>
        <v>1349.3434922880003</v>
      </c>
      <c r="N40" s="1">
        <f>'Tariff Jul 2016'!AT28</f>
        <v>0</v>
      </c>
      <c r="O40" s="1">
        <f>'Tariff Jul 2016'!AU28</f>
        <v>0</v>
      </c>
      <c r="P40" s="1">
        <f>'Tariff Jul 2016'!AV28</f>
        <v>0</v>
      </c>
      <c r="Q40" s="1">
        <f>'Tariff Jul 2016'!AW28</f>
        <v>28</v>
      </c>
      <c r="R40" s="87">
        <f>($F$6*'Tariff Jul 2016'!AQ28/100)*4</f>
        <v>217.22137600000002</v>
      </c>
      <c r="S40" s="298">
        <f t="shared" si="11"/>
        <v>1226.6759020800002</v>
      </c>
      <c r="T40" s="298">
        <f>S40-(K40*Q40/100)</f>
        <v>947.81373749760019</v>
      </c>
      <c r="U40" s="298">
        <f t="shared" si="12"/>
        <v>1009.4545260800003</v>
      </c>
      <c r="V40" s="298">
        <f t="shared" si="13"/>
        <v>730.59236149760022</v>
      </c>
      <c r="W40" s="300">
        <f t="shared" si="14"/>
        <v>1110.3999786880004</v>
      </c>
      <c r="X40" s="300">
        <f t="shared" si="14"/>
        <v>803.65159764736029</v>
      </c>
      <c r="Y40" s="88">
        <f>'Tariff Jul 2016'!AQ28</f>
        <v>6.8</v>
      </c>
      <c r="Z40" s="89">
        <f>'Tariff Jul 2016'!BD28</f>
        <v>24</v>
      </c>
      <c r="AA40" s="89" t="str">
        <f>'Tariff Jul 2016'!BE28</f>
        <v>y</v>
      </c>
      <c r="AB40" s="90">
        <f>'Tariff Jul 2016'!G28</f>
        <v>41046</v>
      </c>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row>
    <row r="41" spans="1:141" ht="15" thickBot="1" x14ac:dyDescent="0.2">
      <c r="A41" s="91" t="str">
        <f>'Tariff Jul 2016'!K29</f>
        <v>Urth Energy</v>
      </c>
      <c r="B41" s="92" t="str">
        <f>'Tariff Jul 2016'!L29</f>
        <v>Market offer</v>
      </c>
      <c r="C41" s="103">
        <f>91*'Tariff Jul 2016'!M29/100</f>
        <v>64.255099999999999</v>
      </c>
      <c r="D41" s="103">
        <f>IF($H$5&gt;='Tariff Jul 2016'!P29,('Tariff Jul 2016'!P29*'Tariff Jul 2016'!N29/100),(($H$5)*'Tariff Jul 2016'!N29/100))</f>
        <v>223.50904320000001</v>
      </c>
      <c r="E41" s="103">
        <v>0</v>
      </c>
      <c r="F41" s="103">
        <v>0</v>
      </c>
      <c r="G41" s="103">
        <f>IF(($H$5&lt;'Tariff Jul 2016'!T29),(0),($H$5-'Tariff Jul 2016'!T29)*'Tariff Jul 2016'!U29/100)</f>
        <v>0</v>
      </c>
      <c r="H41" s="103">
        <f>($I$5)*'Tariff Jul 2016'!AE29/100</f>
        <v>27.1352832</v>
      </c>
      <c r="I41" s="103">
        <v>0</v>
      </c>
      <c r="J41" s="103">
        <f t="shared" si="8"/>
        <v>314.89942640000004</v>
      </c>
      <c r="K41" s="299">
        <f t="shared" si="15"/>
        <v>1002.5773056000002</v>
      </c>
      <c r="L41" s="95">
        <f t="shared" si="9"/>
        <v>1259.5977056000002</v>
      </c>
      <c r="M41" s="95">
        <f t="shared" si="10"/>
        <v>1385.5574761600003</v>
      </c>
      <c r="N41" s="92">
        <f>'Tariff Jul 2016'!AT29</f>
        <v>0</v>
      </c>
      <c r="O41" s="92">
        <f>'Tariff Jul 2016'!AU29</f>
        <v>0</v>
      </c>
      <c r="P41" s="92">
        <f>'Tariff Jul 2016'!AV29</f>
        <v>0</v>
      </c>
      <c r="Q41" s="92">
        <f>'Tariff Jul 2016'!AW29</f>
        <v>10</v>
      </c>
      <c r="R41" s="96">
        <f>($F$6*'Tariff Jul 2016'!AQ29/100)*4</f>
        <v>319.44320000000005</v>
      </c>
      <c r="S41" s="299">
        <f t="shared" si="11"/>
        <v>1259.5977056000002</v>
      </c>
      <c r="T41" s="299">
        <f>S41-(K41*Q41/100)</f>
        <v>1159.3399750400001</v>
      </c>
      <c r="U41" s="299">
        <f t="shared" si="12"/>
        <v>940.15450560000011</v>
      </c>
      <c r="V41" s="299">
        <f t="shared" si="13"/>
        <v>839.89677504000008</v>
      </c>
      <c r="W41" s="301">
        <f t="shared" si="14"/>
        <v>1034.1699561600003</v>
      </c>
      <c r="X41" s="301">
        <f t="shared" si="14"/>
        <v>923.88645254400012</v>
      </c>
      <c r="Y41" s="97">
        <f>'Tariff Jul 2016'!AQ29</f>
        <v>10</v>
      </c>
      <c r="Z41" s="98">
        <f>'Tariff Jul 2016'!BD29</f>
        <v>0</v>
      </c>
      <c r="AA41" s="98" t="str">
        <f>'Tariff Jul 2016'!BE29</f>
        <v>n</v>
      </c>
      <c r="AB41" s="99">
        <f>'Tariff Jul 2016'!G29</f>
        <v>41090</v>
      </c>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row>
    <row r="42" spans="1:141" s="81" customFormat="1" ht="14" x14ac:dyDescent="0.15">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row>
    <row r="43" spans="1:141" s="81" customFormat="1" ht="14" x14ac:dyDescent="0.15">
      <c r="AC43" s="66"/>
      <c r="AD43" s="66"/>
    </row>
    <row r="44" spans="1:141" s="81" customFormat="1" ht="14" x14ac:dyDescent="0.15">
      <c r="AC44" s="66"/>
      <c r="AD44" s="66"/>
    </row>
    <row r="45" spans="1:141" s="81" customFormat="1" ht="14" x14ac:dyDescent="0.15">
      <c r="AC45" s="66"/>
      <c r="AD45" s="66"/>
    </row>
    <row r="46" spans="1:141" s="81" customFormat="1" ht="14" x14ac:dyDescent="0.15">
      <c r="AC46" s="66"/>
      <c r="AD46" s="66"/>
    </row>
    <row r="47" spans="1:141" s="81" customFormat="1" ht="14" x14ac:dyDescent="0.15">
      <c r="AC47" s="66"/>
      <c r="AD47" s="66"/>
    </row>
    <row r="48" spans="1:141" s="81" customFormat="1" ht="14" x14ac:dyDescent="0.15">
      <c r="AC48" s="66"/>
      <c r="AD48" s="66"/>
    </row>
    <row r="49" spans="29:30" s="81" customFormat="1" ht="14" x14ac:dyDescent="0.15">
      <c r="AC49" s="66"/>
      <c r="AD49" s="66"/>
    </row>
    <row r="50" spans="29:30" s="81" customFormat="1" x14ac:dyDescent="0.15"/>
    <row r="51" spans="29:30" s="81" customFormat="1" x14ac:dyDescent="0.15"/>
    <row r="52" spans="29:30" s="81" customFormat="1" x14ac:dyDescent="0.15"/>
    <row r="53" spans="29:30" s="81" customFormat="1" x14ac:dyDescent="0.15"/>
    <row r="54" spans="29:30" s="81" customFormat="1" x14ac:dyDescent="0.15"/>
    <row r="55" spans="29:30" s="81" customFormat="1" x14ac:dyDescent="0.15"/>
    <row r="56" spans="29:30" s="81" customFormat="1" x14ac:dyDescent="0.15"/>
    <row r="57" spans="29:30" s="81" customFormat="1" x14ac:dyDescent="0.15"/>
    <row r="58" spans="29:30" s="81" customFormat="1" x14ac:dyDescent="0.15"/>
    <row r="59" spans="29:30" s="81" customFormat="1" x14ac:dyDescent="0.15"/>
    <row r="60" spans="29:30" s="81" customFormat="1" x14ac:dyDescent="0.15"/>
    <row r="61" spans="29:30" s="81" customFormat="1" x14ac:dyDescent="0.15"/>
    <row r="62" spans="29:30" s="81" customFormat="1" x14ac:dyDescent="0.15"/>
    <row r="63" spans="29:30" s="81" customFormat="1" x14ac:dyDescent="0.15"/>
    <row r="64" spans="29:30" s="81" customFormat="1" x14ac:dyDescent="0.15"/>
    <row r="65" s="81" customFormat="1" x14ac:dyDescent="0.15"/>
    <row r="66" s="81" customFormat="1" x14ac:dyDescent="0.15"/>
    <row r="67" s="81" customFormat="1" x14ac:dyDescent="0.15"/>
    <row r="68" s="81" customFormat="1" x14ac:dyDescent="0.15"/>
    <row r="69" s="81" customFormat="1" x14ac:dyDescent="0.15"/>
    <row r="70" s="81" customFormat="1" x14ac:dyDescent="0.15"/>
    <row r="71" s="81" customFormat="1" x14ac:dyDescent="0.15"/>
    <row r="72" s="81" customFormat="1" x14ac:dyDescent="0.15"/>
    <row r="73" s="81" customFormat="1" x14ac:dyDescent="0.15"/>
    <row r="74" s="81" customFormat="1" x14ac:dyDescent="0.15"/>
    <row r="75" s="81" customFormat="1" x14ac:dyDescent="0.15"/>
    <row r="76" s="81" customFormat="1" x14ac:dyDescent="0.15"/>
    <row r="77" s="81" customFormat="1" x14ac:dyDescent="0.15"/>
    <row r="78" s="81" customFormat="1" x14ac:dyDescent="0.15"/>
    <row r="79" s="81" customFormat="1" x14ac:dyDescent="0.15"/>
    <row r="80" s="81" customFormat="1" x14ac:dyDescent="0.15"/>
    <row r="81" s="81" customFormat="1" x14ac:dyDescent="0.15"/>
    <row r="82" s="81" customFormat="1" x14ac:dyDescent="0.15"/>
    <row r="83" s="81" customFormat="1" x14ac:dyDescent="0.15"/>
    <row r="84" s="81" customFormat="1" x14ac:dyDescent="0.15"/>
    <row r="85" s="81" customFormat="1" x14ac:dyDescent="0.15"/>
    <row r="86" s="81" customFormat="1" x14ac:dyDescent="0.15"/>
    <row r="87" s="81" customFormat="1" x14ac:dyDescent="0.15"/>
    <row r="88" s="81" customFormat="1" x14ac:dyDescent="0.15"/>
    <row r="89" s="81" customFormat="1" x14ac:dyDescent="0.15"/>
    <row r="90" s="81" customFormat="1" x14ac:dyDescent="0.15"/>
    <row r="91" s="81" customFormat="1" x14ac:dyDescent="0.15"/>
    <row r="92" s="81" customFormat="1" x14ac:dyDescent="0.15"/>
    <row r="93" s="81" customFormat="1" x14ac:dyDescent="0.15"/>
    <row r="94" s="81" customFormat="1" x14ac:dyDescent="0.15"/>
    <row r="95" s="81" customFormat="1" x14ac:dyDescent="0.15"/>
    <row r="96" s="81" customFormat="1" x14ac:dyDescent="0.15"/>
    <row r="97" s="81" customFormat="1" x14ac:dyDescent="0.15"/>
    <row r="98" s="81" customFormat="1" x14ac:dyDescent="0.15"/>
    <row r="99" s="81" customFormat="1" x14ac:dyDescent="0.15"/>
    <row r="100" s="81" customFormat="1" x14ac:dyDescent="0.15"/>
    <row r="101" s="81" customFormat="1" x14ac:dyDescent="0.15"/>
    <row r="102" s="81" customFormat="1" x14ac:dyDescent="0.15"/>
    <row r="103" s="81" customFormat="1" x14ac:dyDescent="0.15"/>
    <row r="104" s="81" customFormat="1" x14ac:dyDescent="0.15"/>
    <row r="105" s="81" customFormat="1" x14ac:dyDescent="0.15"/>
    <row r="106" s="81" customFormat="1" x14ac:dyDescent="0.15"/>
    <row r="107" s="81" customFormat="1" x14ac:dyDescent="0.15"/>
    <row r="108" s="81" customFormat="1" x14ac:dyDescent="0.15"/>
    <row r="109" s="81" customFormat="1" x14ac:dyDescent="0.15"/>
    <row r="110" s="81" customFormat="1" x14ac:dyDescent="0.15"/>
    <row r="111" s="81" customFormat="1" x14ac:dyDescent="0.15"/>
    <row r="112" s="81" customFormat="1" x14ac:dyDescent="0.15"/>
    <row r="113" s="81" customFormat="1" x14ac:dyDescent="0.15"/>
    <row r="114" s="81" customFormat="1" x14ac:dyDescent="0.15"/>
    <row r="115" s="81" customFormat="1" x14ac:dyDescent="0.15"/>
    <row r="116" s="81" customFormat="1" x14ac:dyDescent="0.15"/>
    <row r="117" s="81" customFormat="1" x14ac:dyDescent="0.15"/>
    <row r="118" s="81" customFormat="1" x14ac:dyDescent="0.15"/>
    <row r="119" s="81" customFormat="1" x14ac:dyDescent="0.15"/>
    <row r="120" s="81" customFormat="1" x14ac:dyDescent="0.15"/>
    <row r="121" s="81" customFormat="1" x14ac:dyDescent="0.15"/>
    <row r="122" s="81" customFormat="1" x14ac:dyDescent="0.15"/>
    <row r="123" s="81" customFormat="1" x14ac:dyDescent="0.15"/>
    <row r="124" s="81" customFormat="1" x14ac:dyDescent="0.15"/>
    <row r="125" s="81" customFormat="1" x14ac:dyDescent="0.15"/>
    <row r="126" s="81" customFormat="1" x14ac:dyDescent="0.15"/>
    <row r="127" s="81" customFormat="1" x14ac:dyDescent="0.15"/>
    <row r="128" s="81" customFormat="1" x14ac:dyDescent="0.15"/>
    <row r="129" s="81" customFormat="1" x14ac:dyDescent="0.15"/>
    <row r="130" s="81" customFormat="1" x14ac:dyDescent="0.15"/>
    <row r="131" s="81" customFormat="1" x14ac:dyDescent="0.15"/>
    <row r="132" s="81" customFormat="1" x14ac:dyDescent="0.15"/>
    <row r="133" s="81" customFormat="1" x14ac:dyDescent="0.15"/>
    <row r="134" s="81" customFormat="1" x14ac:dyDescent="0.15"/>
    <row r="135" s="81" customFormat="1" x14ac:dyDescent="0.15"/>
  </sheetData>
  <sheetProtection algorithmName="SHA-512" hashValue="2jaZUuGPG2SQQHeF1T0tmU0wlsVl3abARCL1ElcSg3l8JXgvnOO+h+3motxcJmhz1Rkl4k5UUrlbhZ+Wu5vuVg==" saltValue="pTmt2WI2E1wT3gtcGZh8XQ==" spinCount="100000" sheet="1" objects="1" scenarios="1"/>
  <phoneticPr fontId="8" type="noConversion"/>
  <dataValidations count="2">
    <dataValidation type="decimal" showInputMessage="1" showErrorMessage="1" errorTitle="Incorrect entry" error="Enter 1.5 or 3.0 only" sqref="C4" xr:uid="{00000000-0002-0000-0400-000000000000}">
      <formula1>1.5</formula1>
      <formula2>3</formula2>
    </dataValidation>
    <dataValidation type="whole" showInputMessage="1" showErrorMessage="1" errorTitle="Incorrect number" error="Please enter quarterly consumption between 700-4000kWh" sqref="C5" xr:uid="{00000000-0002-0000-0400-000001000000}">
      <formula1>700</formula1>
      <formula2>4000</formula2>
    </dataValidation>
  </dataValidations>
  <pageMargins left="0.75" right="0.75" top="1" bottom="1" header="0.5" footer="0.5"/>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16802-FA03-7246-80D5-527A3519CB24}">
  <sheetPr codeName="Sheet25"/>
  <dimension ref="A1:DD35"/>
  <sheetViews>
    <sheetView zoomScale="150" zoomScaleNormal="150" workbookViewId="0">
      <pane xSplit="12" ySplit="1" topLeftCell="M2" activePane="bottomRight" state="frozen"/>
      <selection pane="topRight" activeCell="M1" sqref="M1"/>
      <selection pane="bottomLeft" activeCell="A2" sqref="A2"/>
      <selection pane="bottomRight" activeCell="A39" sqref="A39:XFD45"/>
    </sheetView>
  </sheetViews>
  <sheetFormatPr baseColWidth="10" defaultRowHeight="13" customHeight="1" x14ac:dyDescent="0.15"/>
  <cols>
    <col min="1" max="10" width="10.83203125" style="156"/>
    <col min="11" max="11" width="17" style="156" bestFit="1" customWidth="1"/>
    <col min="12" max="12" width="19" style="156" bestFit="1" customWidth="1"/>
    <col min="13" max="40" width="10.83203125" style="156"/>
    <col min="41" max="41" width="13" style="156" bestFit="1" customWidth="1"/>
    <col min="42" max="67" width="10.83203125" style="156"/>
    <col min="68" max="68" width="11.6640625" style="156" customWidth="1"/>
    <col min="69" max="76" width="10.83203125" style="156"/>
    <col min="77" max="77" width="21.6640625" style="156" customWidth="1"/>
    <col min="78" max="16384" width="10.83203125" style="156"/>
  </cols>
  <sheetData>
    <row r="1" spans="1:107" s="249" customFormat="1" ht="44" customHeight="1" x14ac:dyDescent="0.15">
      <c r="A1" s="215" t="s">
        <v>343</v>
      </c>
      <c r="B1" s="216" t="s">
        <v>718</v>
      </c>
      <c r="C1" s="217" t="s">
        <v>719</v>
      </c>
      <c r="D1" s="218" t="s">
        <v>720</v>
      </c>
      <c r="E1" s="218" t="s">
        <v>721</v>
      </c>
      <c r="F1" s="218" t="s">
        <v>722</v>
      </c>
      <c r="G1" s="216" t="s">
        <v>723</v>
      </c>
      <c r="H1" s="219" t="s">
        <v>724</v>
      </c>
      <c r="I1" s="219" t="s">
        <v>725</v>
      </c>
      <c r="J1" s="219" t="s">
        <v>726</v>
      </c>
      <c r="K1" s="218" t="s">
        <v>231</v>
      </c>
      <c r="L1" s="220" t="s">
        <v>727</v>
      </c>
      <c r="M1" s="221" t="s">
        <v>233</v>
      </c>
      <c r="N1" s="222" t="s">
        <v>728</v>
      </c>
      <c r="O1" s="223" t="s">
        <v>235</v>
      </c>
      <c r="P1" s="223" t="s">
        <v>729</v>
      </c>
      <c r="Q1" s="222" t="s">
        <v>730</v>
      </c>
      <c r="R1" s="223" t="s">
        <v>731</v>
      </c>
      <c r="S1" s="222" t="s">
        <v>732</v>
      </c>
      <c r="T1" s="223" t="s">
        <v>733</v>
      </c>
      <c r="U1" s="222" t="s">
        <v>734</v>
      </c>
      <c r="V1" s="224" t="s">
        <v>735</v>
      </c>
      <c r="W1" s="225" t="s">
        <v>736</v>
      </c>
      <c r="X1" s="226" t="s">
        <v>737</v>
      </c>
      <c r="Y1" s="225" t="s">
        <v>738</v>
      </c>
      <c r="Z1" s="227" t="s">
        <v>739</v>
      </c>
      <c r="AA1" s="225" t="s">
        <v>740</v>
      </c>
      <c r="AB1" s="227" t="s">
        <v>741</v>
      </c>
      <c r="AC1" s="225" t="s">
        <v>742</v>
      </c>
      <c r="AD1" s="225" t="s">
        <v>743</v>
      </c>
      <c r="AE1" s="228" t="s">
        <v>744</v>
      </c>
      <c r="AF1" s="229" t="s">
        <v>745</v>
      </c>
      <c r="AG1" s="230" t="s">
        <v>746</v>
      </c>
      <c r="AH1" s="231" t="s">
        <v>747</v>
      </c>
      <c r="AI1" s="232" t="s">
        <v>748</v>
      </c>
      <c r="AJ1" s="232" t="s">
        <v>749</v>
      </c>
      <c r="AK1" s="231" t="s">
        <v>750</v>
      </c>
      <c r="AL1" s="233" t="s">
        <v>751</v>
      </c>
      <c r="AM1" s="234" t="s">
        <v>752</v>
      </c>
      <c r="AN1" s="234" t="s">
        <v>753</v>
      </c>
      <c r="AO1" s="235" t="s">
        <v>754</v>
      </c>
      <c r="AP1" s="236" t="s">
        <v>755</v>
      </c>
      <c r="AQ1" s="236" t="s">
        <v>756</v>
      </c>
      <c r="AR1" s="237" t="s">
        <v>757</v>
      </c>
      <c r="AS1" s="238" t="s">
        <v>758</v>
      </c>
      <c r="AT1" s="239" t="s">
        <v>759</v>
      </c>
      <c r="AU1" s="343" t="s">
        <v>867</v>
      </c>
      <c r="AV1" s="343" t="s">
        <v>868</v>
      </c>
      <c r="AW1" s="343" t="s">
        <v>866</v>
      </c>
      <c r="AX1" s="241" t="s">
        <v>763</v>
      </c>
      <c r="AY1" s="242" t="s">
        <v>764</v>
      </c>
      <c r="AZ1" s="243" t="s">
        <v>765</v>
      </c>
      <c r="BA1" s="244" t="s">
        <v>766</v>
      </c>
      <c r="BB1" s="243" t="s">
        <v>767</v>
      </c>
      <c r="BC1" s="244" t="s">
        <v>768</v>
      </c>
      <c r="BD1" s="243" t="s">
        <v>769</v>
      </c>
      <c r="BE1" s="244" t="s">
        <v>770</v>
      </c>
      <c r="BF1" s="245" t="s">
        <v>771</v>
      </c>
      <c r="BG1" s="246" t="s">
        <v>772</v>
      </c>
      <c r="BH1" s="245" t="s">
        <v>453</v>
      </c>
      <c r="BI1" s="246" t="s">
        <v>454</v>
      </c>
      <c r="BJ1" s="243" t="s">
        <v>773</v>
      </c>
      <c r="BK1" s="247" t="s">
        <v>774</v>
      </c>
      <c r="BL1" s="219" t="s">
        <v>775</v>
      </c>
      <c r="BM1" s="219" t="s">
        <v>776</v>
      </c>
      <c r="BN1" s="219" t="s">
        <v>777</v>
      </c>
      <c r="BO1" s="219" t="s">
        <v>778</v>
      </c>
      <c r="BP1" s="248" t="s">
        <v>779</v>
      </c>
      <c r="BQ1" s="219" t="s">
        <v>456</v>
      </c>
      <c r="BR1" s="219" t="s">
        <v>457</v>
      </c>
      <c r="BS1" s="219" t="s">
        <v>458</v>
      </c>
      <c r="BT1" s="217" t="s">
        <v>780</v>
      </c>
      <c r="BU1" s="217" t="s">
        <v>781</v>
      </c>
      <c r="BV1" s="219" t="s">
        <v>782</v>
      </c>
      <c r="BW1" s="219" t="s">
        <v>783</v>
      </c>
      <c r="BX1" s="219" t="s">
        <v>784</v>
      </c>
      <c r="BY1" s="217" t="s">
        <v>785</v>
      </c>
      <c r="BZ1" s="219" t="s">
        <v>786</v>
      </c>
    </row>
    <row r="2" spans="1:107" customFormat="1" ht="13" customHeight="1" x14ac:dyDescent="0.15">
      <c r="A2" s="255">
        <v>10816</v>
      </c>
      <c r="B2" s="364">
        <v>43657</v>
      </c>
      <c r="C2" s="257" t="s">
        <v>533</v>
      </c>
      <c r="D2" s="255" t="s">
        <v>534</v>
      </c>
      <c r="E2" s="255"/>
      <c r="F2" s="255" t="s">
        <v>535</v>
      </c>
      <c r="G2" s="256">
        <v>43648</v>
      </c>
      <c r="H2" s="258" t="s">
        <v>536</v>
      </c>
      <c r="I2" s="258" t="s">
        <v>508</v>
      </c>
      <c r="J2" s="258"/>
      <c r="K2" s="255" t="s">
        <v>538</v>
      </c>
      <c r="L2" s="255" t="s">
        <v>643</v>
      </c>
      <c r="M2" s="259">
        <v>110.99999999999999</v>
      </c>
      <c r="N2" s="259">
        <v>42.527272727272724</v>
      </c>
      <c r="O2" s="264"/>
      <c r="P2" s="260"/>
      <c r="Q2" s="261"/>
      <c r="R2" s="260"/>
      <c r="S2" s="261"/>
      <c r="T2" s="260"/>
      <c r="U2" s="261"/>
      <c r="V2" s="261"/>
      <c r="W2" s="261"/>
      <c r="X2" s="255"/>
      <c r="Y2" s="259"/>
      <c r="Z2" s="259"/>
      <c r="AA2" s="259"/>
      <c r="AB2" s="259"/>
      <c r="AC2" s="259"/>
      <c r="AD2" s="259"/>
      <c r="AE2" s="261"/>
      <c r="AF2" s="260"/>
      <c r="AG2" s="255"/>
      <c r="AH2" s="259"/>
      <c r="AI2" s="255"/>
      <c r="AJ2" s="255"/>
      <c r="AK2" s="259"/>
      <c r="AL2" s="255"/>
      <c r="AM2" s="259"/>
      <c r="AN2" s="259"/>
      <c r="AO2" s="255" t="s">
        <v>541</v>
      </c>
      <c r="AP2" s="258" t="s">
        <v>537</v>
      </c>
      <c r="AQ2" s="258"/>
      <c r="AR2" s="258"/>
      <c r="AS2" s="258">
        <v>10</v>
      </c>
      <c r="AT2" s="258">
        <v>10</v>
      </c>
      <c r="AU2" s="262">
        <v>1274</v>
      </c>
      <c r="AV2" s="156"/>
      <c r="AW2" s="262">
        <v>6</v>
      </c>
      <c r="AX2" s="348" t="s">
        <v>542</v>
      </c>
      <c r="AY2" s="348"/>
      <c r="AZ2" s="258">
        <v>0</v>
      </c>
      <c r="BA2" s="258">
        <v>0</v>
      </c>
      <c r="BB2" s="258">
        <v>0</v>
      </c>
      <c r="BC2" s="258">
        <v>0</v>
      </c>
      <c r="BD2" s="258">
        <v>0</v>
      </c>
      <c r="BE2" s="258">
        <v>0</v>
      </c>
      <c r="BF2" s="258">
        <v>0</v>
      </c>
      <c r="BG2" s="258">
        <v>0</v>
      </c>
      <c r="BH2" s="258">
        <v>0</v>
      </c>
      <c r="BI2" s="258">
        <v>0</v>
      </c>
      <c r="BJ2" s="258">
        <v>0</v>
      </c>
      <c r="BK2" s="258">
        <v>0</v>
      </c>
      <c r="BL2" s="258"/>
      <c r="BM2" s="258" t="s">
        <v>537</v>
      </c>
      <c r="BN2" s="258">
        <v>12</v>
      </c>
      <c r="BO2" s="258" t="s">
        <v>537</v>
      </c>
      <c r="BP2" s="349"/>
      <c r="BQ2" s="258"/>
      <c r="BR2" s="258"/>
      <c r="BS2" s="258"/>
      <c r="BT2" s="350"/>
      <c r="BU2" s="351"/>
      <c r="BV2" s="348"/>
      <c r="BW2" s="258" t="s">
        <v>543</v>
      </c>
      <c r="BX2" s="258"/>
      <c r="BY2" s="264" t="s">
        <v>944</v>
      </c>
      <c r="BZ2" s="342" t="s">
        <v>945</v>
      </c>
    </row>
    <row r="3" spans="1:107" customFormat="1" ht="13" customHeight="1" x14ac:dyDescent="0.15">
      <c r="A3" s="255"/>
      <c r="B3" s="364">
        <v>43657</v>
      </c>
      <c r="C3" s="257" t="s">
        <v>533</v>
      </c>
      <c r="D3" s="255" t="s">
        <v>534</v>
      </c>
      <c r="E3" s="255"/>
      <c r="F3" s="255" t="s">
        <v>535</v>
      </c>
      <c r="G3" s="307">
        <v>43646</v>
      </c>
      <c r="H3" s="258" t="s">
        <v>536</v>
      </c>
      <c r="I3" s="258" t="s">
        <v>537</v>
      </c>
      <c r="J3" s="258"/>
      <c r="K3" s="255" t="s">
        <v>544</v>
      </c>
      <c r="L3" s="255" t="s">
        <v>802</v>
      </c>
      <c r="M3" s="259">
        <v>92.536363636363632</v>
      </c>
      <c r="N3" s="259">
        <v>43.2</v>
      </c>
      <c r="O3" s="264"/>
      <c r="P3" s="260"/>
      <c r="Q3" s="261"/>
      <c r="R3" s="260"/>
      <c r="S3" s="261"/>
      <c r="T3" s="255"/>
      <c r="U3" s="261"/>
      <c r="V3" s="261"/>
      <c r="W3" s="261"/>
      <c r="X3" s="255"/>
      <c r="Y3" s="259"/>
      <c r="Z3" s="259"/>
      <c r="AA3" s="259"/>
      <c r="AB3" s="259"/>
      <c r="AC3" s="259"/>
      <c r="AD3" s="261"/>
      <c r="AE3" s="261"/>
      <c r="AF3" s="260"/>
      <c r="AG3" s="255"/>
      <c r="AH3" s="259"/>
      <c r="AI3" s="255"/>
      <c r="AJ3" s="255"/>
      <c r="AK3" s="259"/>
      <c r="AL3" s="255"/>
      <c r="AM3" s="259"/>
      <c r="AN3" s="259"/>
      <c r="AO3" s="255" t="s">
        <v>541</v>
      </c>
      <c r="AP3" s="258" t="s">
        <v>537</v>
      </c>
      <c r="AQ3" s="258"/>
      <c r="AR3" s="258"/>
      <c r="AS3" s="262"/>
      <c r="AT3" s="258">
        <v>8</v>
      </c>
      <c r="AU3" s="262"/>
      <c r="AV3" s="258"/>
      <c r="AW3" s="262"/>
      <c r="AX3" s="258" t="s">
        <v>537</v>
      </c>
      <c r="AY3" s="258"/>
      <c r="AZ3" s="258">
        <v>0</v>
      </c>
      <c r="BA3" s="258">
        <v>0</v>
      </c>
      <c r="BB3" s="258">
        <v>0</v>
      </c>
      <c r="BC3" s="258">
        <v>0</v>
      </c>
      <c r="BD3" s="258">
        <v>0</v>
      </c>
      <c r="BE3" s="258">
        <v>0</v>
      </c>
      <c r="BF3" s="258">
        <v>0</v>
      </c>
      <c r="BG3" s="258">
        <v>0</v>
      </c>
      <c r="BH3" s="258">
        <v>0</v>
      </c>
      <c r="BI3" s="258">
        <v>0</v>
      </c>
      <c r="BJ3" s="258">
        <v>0</v>
      </c>
      <c r="BK3" s="258">
        <v>0</v>
      </c>
      <c r="BL3" s="258"/>
      <c r="BM3" s="258" t="s">
        <v>537</v>
      </c>
      <c r="BN3" s="258"/>
      <c r="BO3" s="258" t="s">
        <v>537</v>
      </c>
      <c r="BP3" s="349"/>
      <c r="BQ3" s="258"/>
      <c r="BR3" s="258"/>
      <c r="BS3" s="258"/>
      <c r="BT3" s="255"/>
      <c r="BU3" s="255"/>
      <c r="BV3" s="258"/>
      <c r="BW3" s="258" t="s">
        <v>543</v>
      </c>
      <c r="BX3" s="258">
        <v>1</v>
      </c>
      <c r="BY3" s="255"/>
      <c r="BZ3" s="312" t="s">
        <v>910</v>
      </c>
    </row>
    <row r="4" spans="1:107" customFormat="1" ht="13" customHeight="1" x14ac:dyDescent="0.15">
      <c r="A4" s="255">
        <v>11132</v>
      </c>
      <c r="B4" s="364">
        <v>43657</v>
      </c>
      <c r="C4" s="257" t="s">
        <v>533</v>
      </c>
      <c r="D4" s="255" t="s">
        <v>534</v>
      </c>
      <c r="E4" s="255"/>
      <c r="F4" s="255" t="s">
        <v>535</v>
      </c>
      <c r="G4" s="307">
        <v>43646</v>
      </c>
      <c r="H4" s="258" t="s">
        <v>536</v>
      </c>
      <c r="I4" s="258" t="s">
        <v>537</v>
      </c>
      <c r="J4" s="258"/>
      <c r="K4" s="255" t="s">
        <v>873</v>
      </c>
      <c r="L4" s="255" t="s">
        <v>874</v>
      </c>
      <c r="M4" s="259">
        <v>80</v>
      </c>
      <c r="N4" s="259">
        <v>42.999999999999993</v>
      </c>
      <c r="O4" s="48" t="s">
        <v>648</v>
      </c>
      <c r="P4" s="50">
        <v>300</v>
      </c>
      <c r="Q4" s="259">
        <v>26.572727272727271</v>
      </c>
      <c r="R4" s="260">
        <v>700</v>
      </c>
      <c r="S4" s="259">
        <v>48.999999999999993</v>
      </c>
      <c r="T4" s="260">
        <v>1500</v>
      </c>
      <c r="U4" s="259">
        <v>52</v>
      </c>
      <c r="V4" s="261"/>
      <c r="W4" s="261"/>
      <c r="X4" s="255"/>
      <c r="Y4" s="259"/>
      <c r="Z4" s="259"/>
      <c r="AA4" s="259"/>
      <c r="AB4" s="259"/>
      <c r="AC4" s="259"/>
      <c r="AD4" s="259"/>
      <c r="AE4" s="261"/>
      <c r="AF4" s="260"/>
      <c r="AG4" s="255"/>
      <c r="AH4" s="259"/>
      <c r="AI4" s="255"/>
      <c r="AJ4" s="255"/>
      <c r="AK4" s="259"/>
      <c r="AL4" s="255"/>
      <c r="AM4" s="259"/>
      <c r="AN4" s="259"/>
      <c r="AO4" s="255" t="s">
        <v>541</v>
      </c>
      <c r="AP4" s="258" t="s">
        <v>537</v>
      </c>
      <c r="AQ4" s="258"/>
      <c r="AR4" s="258"/>
      <c r="AS4" s="258">
        <v>10</v>
      </c>
      <c r="AT4" s="258">
        <v>5.2</v>
      </c>
      <c r="AU4" s="262"/>
      <c r="AV4" s="258"/>
      <c r="AW4" s="262"/>
      <c r="AX4" s="258" t="s">
        <v>542</v>
      </c>
      <c r="AY4" s="315"/>
      <c r="AZ4" s="258">
        <v>0</v>
      </c>
      <c r="BA4" s="258">
        <v>0</v>
      </c>
      <c r="BB4" s="258">
        <v>2</v>
      </c>
      <c r="BC4" s="258">
        <v>0</v>
      </c>
      <c r="BD4" s="258">
        <v>0</v>
      </c>
      <c r="BE4" s="258">
        <v>0</v>
      </c>
      <c r="BF4" s="258">
        <v>0</v>
      </c>
      <c r="BG4" s="258">
        <v>0</v>
      </c>
      <c r="BH4" s="258">
        <v>0</v>
      </c>
      <c r="BI4" s="258">
        <v>0</v>
      </c>
      <c r="BJ4" s="258">
        <v>0</v>
      </c>
      <c r="BK4" s="258">
        <v>0</v>
      </c>
      <c r="BL4" s="258"/>
      <c r="BM4" s="258" t="s">
        <v>537</v>
      </c>
      <c r="BN4" s="258"/>
      <c r="BO4" s="258" t="s">
        <v>537</v>
      </c>
      <c r="BP4" s="349"/>
      <c r="BQ4" s="258"/>
      <c r="BR4" s="258"/>
      <c r="BS4" s="258"/>
      <c r="BT4" s="255"/>
      <c r="BU4" s="255"/>
      <c r="BV4" s="258"/>
      <c r="BW4" s="258" t="s">
        <v>543</v>
      </c>
      <c r="BX4" s="258"/>
      <c r="BY4" s="314"/>
      <c r="BZ4" s="358" t="s">
        <v>911</v>
      </c>
    </row>
    <row r="5" spans="1:107" customFormat="1" ht="13" customHeight="1" x14ac:dyDescent="0.15">
      <c r="A5" s="255">
        <v>16148</v>
      </c>
      <c r="B5" s="364">
        <v>43657</v>
      </c>
      <c r="C5" s="257" t="s">
        <v>533</v>
      </c>
      <c r="D5" s="255" t="s">
        <v>534</v>
      </c>
      <c r="E5" s="255"/>
      <c r="F5" s="255" t="s">
        <v>535</v>
      </c>
      <c r="G5" s="307">
        <v>43646</v>
      </c>
      <c r="H5" s="258" t="s">
        <v>536</v>
      </c>
      <c r="I5" s="258" t="s">
        <v>508</v>
      </c>
      <c r="J5" s="258"/>
      <c r="K5" s="255" t="s">
        <v>875</v>
      </c>
      <c r="L5" s="255" t="s">
        <v>876</v>
      </c>
      <c r="M5" s="259">
        <v>94.999999999999986</v>
      </c>
      <c r="N5" s="259">
        <v>42.981818181818177</v>
      </c>
      <c r="O5" s="264"/>
      <c r="P5" s="260"/>
      <c r="Q5" s="261"/>
      <c r="R5" s="260"/>
      <c r="S5" s="261"/>
      <c r="T5" s="260"/>
      <c r="U5" s="261"/>
      <c r="V5" s="261"/>
      <c r="W5" s="261"/>
      <c r="X5" s="260"/>
      <c r="Y5" s="259"/>
      <c r="Z5" s="259"/>
      <c r="AA5" s="259"/>
      <c r="AB5" s="259"/>
      <c r="AC5" s="259"/>
      <c r="AD5" s="259"/>
      <c r="AE5" s="261"/>
      <c r="AF5" s="260"/>
      <c r="AG5" s="255"/>
      <c r="AH5" s="259"/>
      <c r="AI5" s="255"/>
      <c r="AJ5" s="255"/>
      <c r="AK5" s="259"/>
      <c r="AL5" s="255"/>
      <c r="AM5" s="259"/>
      <c r="AN5" s="259"/>
      <c r="AO5" s="255" t="s">
        <v>541</v>
      </c>
      <c r="AP5" s="258" t="s">
        <v>537</v>
      </c>
      <c r="AQ5" s="258"/>
      <c r="AR5" s="258"/>
      <c r="AS5" s="262"/>
      <c r="AT5" s="258">
        <v>15</v>
      </c>
      <c r="AU5" s="262">
        <v>1365</v>
      </c>
      <c r="AV5" s="258"/>
      <c r="AW5" s="262">
        <v>8.5</v>
      </c>
      <c r="AX5" s="258" t="s">
        <v>542</v>
      </c>
      <c r="AY5" s="258"/>
      <c r="AZ5" s="258">
        <v>0</v>
      </c>
      <c r="BA5" s="258">
        <v>0</v>
      </c>
      <c r="BB5" s="258">
        <v>0</v>
      </c>
      <c r="BC5" s="258">
        <v>0</v>
      </c>
      <c r="BD5" s="258">
        <v>0</v>
      </c>
      <c r="BE5" s="258">
        <v>0</v>
      </c>
      <c r="BF5" s="258">
        <v>0</v>
      </c>
      <c r="BG5" s="258">
        <v>0</v>
      </c>
      <c r="BH5" s="258">
        <v>0</v>
      </c>
      <c r="BI5" s="258">
        <v>0</v>
      </c>
      <c r="BJ5" s="258">
        <v>0</v>
      </c>
      <c r="BK5" s="258">
        <v>0</v>
      </c>
      <c r="BL5" s="258"/>
      <c r="BM5" s="258" t="s">
        <v>537</v>
      </c>
      <c r="BN5" s="258">
        <v>12</v>
      </c>
      <c r="BO5" s="258" t="s">
        <v>537</v>
      </c>
      <c r="BP5" s="349"/>
      <c r="BQ5" s="258"/>
      <c r="BR5" s="258"/>
      <c r="BS5" s="258"/>
      <c r="BT5" s="350"/>
      <c r="BU5" s="351"/>
      <c r="BV5" s="348"/>
      <c r="BW5" s="258" t="s">
        <v>543</v>
      </c>
      <c r="BX5" s="258"/>
      <c r="BY5" s="255"/>
      <c r="BZ5" s="312" t="s">
        <v>947</v>
      </c>
    </row>
    <row r="6" spans="1:107" customFormat="1" ht="13" customHeight="1" x14ac:dyDescent="0.15">
      <c r="A6" s="255">
        <v>11895</v>
      </c>
      <c r="B6" s="364">
        <v>43657</v>
      </c>
      <c r="C6" s="257" t="s">
        <v>533</v>
      </c>
      <c r="D6" s="255" t="s">
        <v>534</v>
      </c>
      <c r="E6" s="255"/>
      <c r="F6" s="255" t="s">
        <v>535</v>
      </c>
      <c r="G6" s="307">
        <v>43646</v>
      </c>
      <c r="H6" s="258" t="s">
        <v>536</v>
      </c>
      <c r="I6" s="258" t="s">
        <v>537</v>
      </c>
      <c r="J6" s="258"/>
      <c r="K6" s="255" t="s">
        <v>880</v>
      </c>
      <c r="L6" s="255" t="s">
        <v>657</v>
      </c>
      <c r="M6" s="259">
        <v>84.154545454545442</v>
      </c>
      <c r="N6" s="259">
        <v>32.981818181818177</v>
      </c>
      <c r="O6" s="48"/>
      <c r="P6" s="50"/>
      <c r="Q6" s="261"/>
      <c r="R6" s="260"/>
      <c r="S6" s="261"/>
      <c r="T6" s="260"/>
      <c r="U6" s="261"/>
      <c r="V6" s="261"/>
      <c r="W6" s="261"/>
      <c r="X6" s="255"/>
      <c r="Y6" s="259"/>
      <c r="Z6" s="259"/>
      <c r="AA6" s="259"/>
      <c r="AB6" s="259"/>
      <c r="AC6" s="259"/>
      <c r="AD6" s="259"/>
      <c r="AE6" s="261"/>
      <c r="AF6" s="260"/>
      <c r="AG6" s="255"/>
      <c r="AH6" s="259"/>
      <c r="AI6" s="255"/>
      <c r="AJ6" s="255"/>
      <c r="AK6" s="259"/>
      <c r="AL6" s="255"/>
      <c r="AM6" s="259"/>
      <c r="AN6" s="259"/>
      <c r="AO6" s="255" t="s">
        <v>541</v>
      </c>
      <c r="AP6" s="258" t="s">
        <v>537</v>
      </c>
      <c r="AQ6" s="258"/>
      <c r="AR6" s="258"/>
      <c r="AS6" s="262"/>
      <c r="AT6" s="258">
        <v>3</v>
      </c>
      <c r="AU6" s="262"/>
      <c r="AV6" s="258"/>
      <c r="AW6" s="262"/>
      <c r="AX6" s="258" t="s">
        <v>495</v>
      </c>
      <c r="AY6" s="258"/>
      <c r="AZ6" s="258">
        <v>0</v>
      </c>
      <c r="BA6" s="258">
        <v>0</v>
      </c>
      <c r="BB6" s="258">
        <v>0</v>
      </c>
      <c r="BC6" s="258">
        <v>0</v>
      </c>
      <c r="BD6" s="258">
        <v>0</v>
      </c>
      <c r="BE6" s="258">
        <v>0</v>
      </c>
      <c r="BF6" s="258">
        <v>0</v>
      </c>
      <c r="BG6" s="258">
        <v>0</v>
      </c>
      <c r="BH6" s="258">
        <v>0</v>
      </c>
      <c r="BI6" s="258">
        <v>0</v>
      </c>
      <c r="BJ6" s="258">
        <v>0</v>
      </c>
      <c r="BK6" s="258">
        <v>0</v>
      </c>
      <c r="BL6" s="258"/>
      <c r="BM6" s="258" t="s">
        <v>537</v>
      </c>
      <c r="BN6" s="258"/>
      <c r="BO6" s="258" t="s">
        <v>537</v>
      </c>
      <c r="BP6" s="349"/>
      <c r="BQ6" s="258"/>
      <c r="BR6" s="258"/>
      <c r="BS6" s="258"/>
      <c r="BT6" s="255" t="s">
        <v>881</v>
      </c>
      <c r="BU6" s="255"/>
      <c r="BV6" s="258"/>
      <c r="BW6" s="258" t="s">
        <v>543</v>
      </c>
      <c r="BX6" s="258"/>
      <c r="BY6" s="264"/>
      <c r="BZ6" s="312" t="s">
        <v>912</v>
      </c>
    </row>
    <row r="7" spans="1:107" customFormat="1" ht="13" customHeight="1" x14ac:dyDescent="0.15">
      <c r="A7" s="255">
        <v>12326</v>
      </c>
      <c r="B7" s="364">
        <v>43657</v>
      </c>
      <c r="C7" s="257" t="s">
        <v>533</v>
      </c>
      <c r="D7" s="255" t="s">
        <v>534</v>
      </c>
      <c r="E7" s="255"/>
      <c r="F7" s="255" t="s">
        <v>535</v>
      </c>
      <c r="G7" s="256">
        <v>43287</v>
      </c>
      <c r="H7" s="258" t="s">
        <v>536</v>
      </c>
      <c r="I7" s="258" t="s">
        <v>508</v>
      </c>
      <c r="J7" s="258"/>
      <c r="K7" s="255" t="s">
        <v>585</v>
      </c>
      <c r="L7" s="255" t="s">
        <v>662</v>
      </c>
      <c r="M7" s="259">
        <v>98.790909090909082</v>
      </c>
      <c r="N7" s="259">
        <v>42.627272727272725</v>
      </c>
      <c r="O7" s="264" t="s">
        <v>546</v>
      </c>
      <c r="P7" s="260">
        <v>1000</v>
      </c>
      <c r="Q7" s="259">
        <v>46</v>
      </c>
      <c r="R7" s="260"/>
      <c r="S7" s="261"/>
      <c r="T7" s="260"/>
      <c r="U7" s="261"/>
      <c r="V7" s="261"/>
      <c r="W7" s="261"/>
      <c r="X7" s="255"/>
      <c r="Y7" s="259"/>
      <c r="Z7" s="259"/>
      <c r="AA7" s="259"/>
      <c r="AB7" s="259"/>
      <c r="AC7" s="259"/>
      <c r="AD7" s="261"/>
      <c r="AE7" s="261"/>
      <c r="AF7" s="260"/>
      <c r="AG7" s="255"/>
      <c r="AH7" s="259"/>
      <c r="AI7" s="255"/>
      <c r="AJ7" s="255"/>
      <c r="AK7" s="259"/>
      <c r="AL7" s="255"/>
      <c r="AM7" s="259"/>
      <c r="AN7" s="259"/>
      <c r="AO7" s="255" t="s">
        <v>541</v>
      </c>
      <c r="AP7" s="258" t="s">
        <v>537</v>
      </c>
      <c r="AQ7" s="258"/>
      <c r="AR7" s="258"/>
      <c r="AS7" s="258"/>
      <c r="AT7" s="258">
        <v>12</v>
      </c>
      <c r="AU7" s="262">
        <v>1274</v>
      </c>
      <c r="AV7" s="258"/>
      <c r="AW7" s="262">
        <v>6</v>
      </c>
      <c r="AX7" s="258" t="s">
        <v>542</v>
      </c>
      <c r="AY7" s="258"/>
      <c r="AZ7" s="258">
        <v>0</v>
      </c>
      <c r="BA7" s="258">
        <v>0</v>
      </c>
      <c r="BB7" s="258">
        <v>0</v>
      </c>
      <c r="BC7" s="258">
        <v>0</v>
      </c>
      <c r="BD7" s="258">
        <v>0</v>
      </c>
      <c r="BE7" s="258">
        <v>0</v>
      </c>
      <c r="BF7" s="258">
        <v>0</v>
      </c>
      <c r="BG7" s="258">
        <v>0</v>
      </c>
      <c r="BH7" s="258">
        <v>0</v>
      </c>
      <c r="BI7" s="258">
        <v>0</v>
      </c>
      <c r="BJ7" s="258">
        <v>0</v>
      </c>
      <c r="BK7" s="258">
        <v>0</v>
      </c>
      <c r="BL7" s="258"/>
      <c r="BM7" s="258" t="s">
        <v>537</v>
      </c>
      <c r="BN7" s="258">
        <v>12</v>
      </c>
      <c r="BO7" s="258" t="s">
        <v>537</v>
      </c>
      <c r="BP7" s="349"/>
      <c r="BQ7" s="258"/>
      <c r="BR7" s="258"/>
      <c r="BS7" s="258"/>
      <c r="BT7" s="264"/>
      <c r="BU7" s="264"/>
      <c r="BV7" s="258"/>
      <c r="BW7" s="258" t="s">
        <v>543</v>
      </c>
      <c r="BX7" s="258"/>
      <c r="BY7" s="255" t="s">
        <v>882</v>
      </c>
      <c r="BZ7" s="369" t="s">
        <v>954</v>
      </c>
    </row>
    <row r="8" spans="1:107" customFormat="1" ht="13" customHeight="1" x14ac:dyDescent="0.15">
      <c r="A8" s="255">
        <v>11320</v>
      </c>
      <c r="B8" s="364">
        <v>43657</v>
      </c>
      <c r="C8" s="257" t="s">
        <v>533</v>
      </c>
      <c r="D8" s="255" t="s">
        <v>534</v>
      </c>
      <c r="E8" s="255"/>
      <c r="F8" s="255" t="s">
        <v>535</v>
      </c>
      <c r="G8" s="307">
        <v>43646</v>
      </c>
      <c r="H8" s="258" t="s">
        <v>536</v>
      </c>
      <c r="I8" s="258" t="s">
        <v>537</v>
      </c>
      <c r="J8" s="258"/>
      <c r="K8" s="255" t="s">
        <v>883</v>
      </c>
      <c r="L8" s="255" t="s">
        <v>667</v>
      </c>
      <c r="M8" s="259">
        <v>85</v>
      </c>
      <c r="N8" s="259">
        <v>33.754545454545458</v>
      </c>
      <c r="O8" s="48"/>
      <c r="P8" s="50"/>
      <c r="Q8" s="261"/>
      <c r="R8" s="260"/>
      <c r="S8" s="261"/>
      <c r="T8" s="255"/>
      <c r="U8" s="261"/>
      <c r="V8" s="261"/>
      <c r="W8" s="261"/>
      <c r="X8" s="260"/>
      <c r="Y8" s="259"/>
      <c r="Z8" s="259"/>
      <c r="AA8" s="259"/>
      <c r="AB8" s="259"/>
      <c r="AC8" s="259"/>
      <c r="AD8" s="259"/>
      <c r="AE8" s="261"/>
      <c r="AF8" s="260"/>
      <c r="AG8" s="255"/>
      <c r="AH8" s="259"/>
      <c r="AI8" s="255"/>
      <c r="AJ8" s="255"/>
      <c r="AK8" s="259"/>
      <c r="AL8" s="255"/>
      <c r="AM8" s="259"/>
      <c r="AN8" s="259"/>
      <c r="AO8" s="255" t="s">
        <v>541</v>
      </c>
      <c r="AP8" s="258" t="s">
        <v>537</v>
      </c>
      <c r="AQ8" s="258"/>
      <c r="AR8" s="258"/>
      <c r="AS8" s="262"/>
      <c r="AT8" s="258">
        <v>3</v>
      </c>
      <c r="AU8" s="262"/>
      <c r="AV8" s="258"/>
      <c r="AW8" s="262"/>
      <c r="AX8" s="258" t="s">
        <v>542</v>
      </c>
      <c r="AY8" s="258"/>
      <c r="AZ8" s="258">
        <v>0</v>
      </c>
      <c r="BA8" s="258">
        <v>0</v>
      </c>
      <c r="BB8" s="258">
        <v>0</v>
      </c>
      <c r="BC8" s="258">
        <v>0</v>
      </c>
      <c r="BD8" s="258">
        <v>0</v>
      </c>
      <c r="BE8" s="258">
        <v>0</v>
      </c>
      <c r="BF8" s="258">
        <v>0</v>
      </c>
      <c r="BG8" s="258">
        <v>0</v>
      </c>
      <c r="BH8" s="258">
        <v>0</v>
      </c>
      <c r="BI8" s="258">
        <v>0</v>
      </c>
      <c r="BJ8" s="258">
        <v>0</v>
      </c>
      <c r="BK8" s="258">
        <v>0</v>
      </c>
      <c r="BL8" s="258"/>
      <c r="BM8" s="258" t="s">
        <v>537</v>
      </c>
      <c r="BN8" s="258"/>
      <c r="BO8" s="258" t="s">
        <v>537</v>
      </c>
      <c r="BP8" s="349"/>
      <c r="BQ8" s="258"/>
      <c r="BR8" s="258"/>
      <c r="BS8" s="258"/>
      <c r="BT8" s="264"/>
      <c r="BU8" s="264"/>
      <c r="BV8" s="258"/>
      <c r="BW8" s="258" t="s">
        <v>543</v>
      </c>
      <c r="BX8" s="258"/>
      <c r="BY8" s="264"/>
      <c r="BZ8" s="48" t="s">
        <v>913</v>
      </c>
    </row>
    <row r="9" spans="1:107" customFormat="1" ht="13" customHeight="1" x14ac:dyDescent="0.15">
      <c r="A9" s="255">
        <v>13693</v>
      </c>
      <c r="B9" s="364">
        <v>43657</v>
      </c>
      <c r="C9" s="257" t="s">
        <v>533</v>
      </c>
      <c r="D9" s="255" t="s">
        <v>534</v>
      </c>
      <c r="E9" s="255"/>
      <c r="F9" s="255" t="s">
        <v>535</v>
      </c>
      <c r="G9" s="307">
        <v>43646</v>
      </c>
      <c r="H9" s="258" t="s">
        <v>536</v>
      </c>
      <c r="I9" s="258" t="s">
        <v>537</v>
      </c>
      <c r="J9" s="258"/>
      <c r="K9" s="255" t="s">
        <v>594</v>
      </c>
      <c r="L9" s="255" t="s">
        <v>884</v>
      </c>
      <c r="M9" s="259">
        <v>70.909090909090907</v>
      </c>
      <c r="N9" s="259">
        <v>38.636363636363633</v>
      </c>
      <c r="O9" s="48"/>
      <c r="P9" s="50"/>
      <c r="Q9" s="261"/>
      <c r="R9" s="260"/>
      <c r="S9" s="261"/>
      <c r="T9" s="255"/>
      <c r="U9" s="261"/>
      <c r="V9" s="261"/>
      <c r="W9" s="261"/>
      <c r="X9" s="255"/>
      <c r="Y9" s="259"/>
      <c r="Z9" s="259"/>
      <c r="AA9" s="259"/>
      <c r="AB9" s="259"/>
      <c r="AC9" s="259"/>
      <c r="AD9" s="259"/>
      <c r="AE9" s="261"/>
      <c r="AF9" s="260"/>
      <c r="AG9" s="255"/>
      <c r="AH9" s="259"/>
      <c r="AI9" s="255"/>
      <c r="AJ9" s="255"/>
      <c r="AK9" s="261"/>
      <c r="AL9" s="255"/>
      <c r="AM9" s="259"/>
      <c r="AN9" s="259"/>
      <c r="AO9" s="255" t="s">
        <v>541</v>
      </c>
      <c r="AP9" s="258" t="s">
        <v>537</v>
      </c>
      <c r="AQ9" s="258"/>
      <c r="AR9" s="258"/>
      <c r="AS9" s="262"/>
      <c r="AT9" s="258">
        <v>9.5</v>
      </c>
      <c r="AU9" s="262">
        <v>910</v>
      </c>
      <c r="AV9" s="258"/>
      <c r="AW9" s="262">
        <v>6.5</v>
      </c>
      <c r="AX9" s="258" t="s">
        <v>542</v>
      </c>
      <c r="AY9" s="258"/>
      <c r="AZ9" s="258">
        <v>0</v>
      </c>
      <c r="BA9" s="258">
        <v>0</v>
      </c>
      <c r="BB9" s="258">
        <v>0</v>
      </c>
      <c r="BC9" s="258">
        <v>0</v>
      </c>
      <c r="BD9" s="258">
        <v>0</v>
      </c>
      <c r="BE9" s="258">
        <v>0</v>
      </c>
      <c r="BF9" s="258">
        <v>0</v>
      </c>
      <c r="BG9" s="258">
        <v>0</v>
      </c>
      <c r="BH9" s="258">
        <v>0</v>
      </c>
      <c r="BI9" s="258">
        <v>0</v>
      </c>
      <c r="BJ9" s="258">
        <v>0</v>
      </c>
      <c r="BK9" s="258">
        <v>0</v>
      </c>
      <c r="BL9" s="258"/>
      <c r="BM9" s="258" t="s">
        <v>537</v>
      </c>
      <c r="BN9" s="258"/>
      <c r="BO9" s="258" t="s">
        <v>537</v>
      </c>
      <c r="BP9" s="263">
        <v>89.945454545454538</v>
      </c>
      <c r="BQ9" s="258"/>
      <c r="BR9" s="258"/>
      <c r="BS9" s="320"/>
      <c r="BT9" s="144"/>
      <c r="BU9" s="264"/>
      <c r="BV9" s="258"/>
      <c r="BW9" s="258" t="s">
        <v>543</v>
      </c>
      <c r="BX9" s="258"/>
      <c r="BY9" s="264"/>
      <c r="BZ9" s="255" t="s">
        <v>914</v>
      </c>
    </row>
    <row r="10" spans="1:107" customFormat="1" ht="13" customHeight="1" x14ac:dyDescent="0.15">
      <c r="A10" s="255">
        <v>3061</v>
      </c>
      <c r="B10" s="364">
        <v>43657</v>
      </c>
      <c r="C10" s="257" t="s">
        <v>533</v>
      </c>
      <c r="D10" s="255" t="s">
        <v>534</v>
      </c>
      <c r="E10" s="255"/>
      <c r="F10" s="255" t="s">
        <v>535</v>
      </c>
      <c r="G10" s="307">
        <v>43646</v>
      </c>
      <c r="H10" s="258" t="s">
        <v>536</v>
      </c>
      <c r="I10" s="258" t="s">
        <v>508</v>
      </c>
      <c r="J10" s="258"/>
      <c r="K10" s="255" t="s">
        <v>885</v>
      </c>
      <c r="L10" s="255" t="s">
        <v>830</v>
      </c>
      <c r="M10" s="259">
        <v>109.79090909090908</v>
      </c>
      <c r="N10" s="259">
        <v>41.627272727272725</v>
      </c>
      <c r="O10" s="48" t="s">
        <v>648</v>
      </c>
      <c r="P10" s="50">
        <v>1000</v>
      </c>
      <c r="Q10" s="259">
        <v>43.709090909090904</v>
      </c>
      <c r="R10" s="260"/>
      <c r="S10" s="261"/>
      <c r="T10" s="260"/>
      <c r="U10" s="261"/>
      <c r="V10" s="261"/>
      <c r="W10" s="261"/>
      <c r="X10" s="255"/>
      <c r="Y10" s="259"/>
      <c r="Z10" s="259"/>
      <c r="AA10" s="259"/>
      <c r="AB10" s="259"/>
      <c r="AC10" s="259"/>
      <c r="AD10" s="261"/>
      <c r="AE10" s="261"/>
      <c r="AF10" s="255"/>
      <c r="AG10" s="255"/>
      <c r="AH10" s="259"/>
      <c r="AI10" s="255"/>
      <c r="AJ10" s="255"/>
      <c r="AK10" s="259"/>
      <c r="AL10" s="255"/>
      <c r="AM10" s="259"/>
      <c r="AN10" s="259"/>
      <c r="AO10" s="255" t="s">
        <v>541</v>
      </c>
      <c r="AP10" s="258" t="s">
        <v>537</v>
      </c>
      <c r="AQ10" s="258"/>
      <c r="AR10" s="258"/>
      <c r="AS10" s="262">
        <v>10</v>
      </c>
      <c r="AT10" s="258">
        <v>8</v>
      </c>
      <c r="AU10" s="262"/>
      <c r="AV10" s="258"/>
      <c r="AW10" s="262"/>
      <c r="AX10" s="258" t="s">
        <v>537</v>
      </c>
      <c r="AY10" s="258"/>
      <c r="AZ10" s="258">
        <v>0</v>
      </c>
      <c r="BA10" s="258">
        <v>0</v>
      </c>
      <c r="BB10" s="258">
        <v>0</v>
      </c>
      <c r="BC10" s="258">
        <v>0</v>
      </c>
      <c r="BD10" s="258">
        <v>0</v>
      </c>
      <c r="BE10" s="258">
        <v>0</v>
      </c>
      <c r="BF10" s="258">
        <v>0</v>
      </c>
      <c r="BG10" s="258">
        <v>0</v>
      </c>
      <c r="BH10" s="258">
        <v>0</v>
      </c>
      <c r="BI10" s="258">
        <v>0</v>
      </c>
      <c r="BJ10" s="258">
        <v>0</v>
      </c>
      <c r="BK10" s="258">
        <v>0</v>
      </c>
      <c r="BL10" s="258"/>
      <c r="BM10" s="258" t="s">
        <v>537</v>
      </c>
      <c r="BN10" s="258"/>
      <c r="BO10" s="258" t="s">
        <v>537</v>
      </c>
      <c r="BP10" s="349"/>
      <c r="BQ10" s="258"/>
      <c r="BR10" s="258"/>
      <c r="BS10" s="258"/>
      <c r="BT10" s="255"/>
      <c r="BU10" s="255"/>
      <c r="BV10" s="258"/>
      <c r="BW10" s="258" t="s">
        <v>543</v>
      </c>
      <c r="BX10" s="258"/>
      <c r="BY10" s="255"/>
      <c r="BZ10" s="324" t="s">
        <v>952</v>
      </c>
    </row>
    <row r="11" spans="1:107" customFormat="1" ht="13" customHeight="1" x14ac:dyDescent="0.15">
      <c r="A11" s="255">
        <v>15304</v>
      </c>
      <c r="B11" s="364">
        <v>43657</v>
      </c>
      <c r="C11" s="257" t="s">
        <v>533</v>
      </c>
      <c r="D11" s="255" t="s">
        <v>534</v>
      </c>
      <c r="E11" s="255"/>
      <c r="F11" s="255" t="s">
        <v>535</v>
      </c>
      <c r="G11" s="307">
        <v>43646</v>
      </c>
      <c r="H11" s="258" t="s">
        <v>536</v>
      </c>
      <c r="I11" s="258" t="s">
        <v>537</v>
      </c>
      <c r="J11" s="258"/>
      <c r="K11" s="255" t="s">
        <v>600</v>
      </c>
      <c r="L11" s="255" t="s">
        <v>814</v>
      </c>
      <c r="M11" s="259">
        <v>133.66363636363636</v>
      </c>
      <c r="N11" s="259">
        <v>37.418181818181814</v>
      </c>
      <c r="O11" s="48"/>
      <c r="P11" s="50"/>
      <c r="Q11" s="261"/>
      <c r="R11" s="260"/>
      <c r="S11" s="261"/>
      <c r="T11" s="260"/>
      <c r="U11" s="261"/>
      <c r="V11" s="261"/>
      <c r="W11" s="261"/>
      <c r="X11" s="255"/>
      <c r="Y11" s="259"/>
      <c r="Z11" s="259"/>
      <c r="AA11" s="259"/>
      <c r="AB11" s="259"/>
      <c r="AC11" s="259"/>
      <c r="AD11" s="261"/>
      <c r="AE11" s="261"/>
      <c r="AF11" s="260"/>
      <c r="AG11" s="255"/>
      <c r="AH11" s="259"/>
      <c r="AI11" s="255"/>
      <c r="AJ11" s="255"/>
      <c r="AK11" s="259"/>
      <c r="AL11" s="255"/>
      <c r="AM11" s="259"/>
      <c r="AN11" s="259"/>
      <c r="AO11" s="255" t="s">
        <v>541</v>
      </c>
      <c r="AP11" s="258" t="s">
        <v>537</v>
      </c>
      <c r="AQ11" s="258"/>
      <c r="AR11" s="258"/>
      <c r="AS11" s="262"/>
      <c r="AT11" s="258">
        <v>5</v>
      </c>
      <c r="AU11" s="262"/>
      <c r="AV11" s="258"/>
      <c r="AW11" s="262"/>
      <c r="AX11" s="258" t="s">
        <v>542</v>
      </c>
      <c r="AY11" s="258"/>
      <c r="AZ11" s="258">
        <v>0</v>
      </c>
      <c r="BA11" s="258">
        <v>0</v>
      </c>
      <c r="BB11" s="258">
        <v>0</v>
      </c>
      <c r="BC11" s="258">
        <v>0</v>
      </c>
      <c r="BD11" s="258">
        <v>0</v>
      </c>
      <c r="BE11" s="258">
        <v>0</v>
      </c>
      <c r="BF11" s="258">
        <v>0</v>
      </c>
      <c r="BG11" s="258">
        <v>0</v>
      </c>
      <c r="BH11" s="258">
        <v>0</v>
      </c>
      <c r="BI11" s="258">
        <v>0</v>
      </c>
      <c r="BJ11" s="258">
        <v>0</v>
      </c>
      <c r="BK11" s="258">
        <v>0</v>
      </c>
      <c r="BL11" s="258"/>
      <c r="BM11" s="258" t="s">
        <v>537</v>
      </c>
      <c r="BN11" s="258"/>
      <c r="BO11" s="258" t="s">
        <v>537</v>
      </c>
      <c r="BP11" s="349"/>
      <c r="BQ11" s="258"/>
      <c r="BR11" s="258"/>
      <c r="BS11" s="258"/>
      <c r="BT11" s="264"/>
      <c r="BU11" s="264"/>
      <c r="BV11" s="258"/>
      <c r="BW11" s="258" t="s">
        <v>543</v>
      </c>
      <c r="BX11" s="258">
        <v>1</v>
      </c>
      <c r="BY11" s="255"/>
      <c r="BZ11" s="255" t="s">
        <v>915</v>
      </c>
    </row>
    <row r="12" spans="1:107" customFormat="1" ht="13" customHeight="1" x14ac:dyDescent="0.15">
      <c r="A12" s="255">
        <v>13469</v>
      </c>
      <c r="B12" s="364">
        <v>43657</v>
      </c>
      <c r="C12" s="257" t="s">
        <v>533</v>
      </c>
      <c r="D12" s="255" t="s">
        <v>534</v>
      </c>
      <c r="E12" s="255"/>
      <c r="F12" s="255" t="s">
        <v>535</v>
      </c>
      <c r="G12" s="307">
        <v>43646</v>
      </c>
      <c r="H12" s="258" t="s">
        <v>507</v>
      </c>
      <c r="I12" s="258" t="s">
        <v>537</v>
      </c>
      <c r="J12" s="258"/>
      <c r="K12" s="255" t="s">
        <v>608</v>
      </c>
      <c r="L12" s="255" t="s">
        <v>887</v>
      </c>
      <c r="M12" s="259">
        <v>94.981818181818184</v>
      </c>
      <c r="N12" s="259">
        <v>46.218181818181819</v>
      </c>
      <c r="O12" s="365"/>
      <c r="P12" s="366"/>
      <c r="Q12" s="367"/>
      <c r="R12" s="260"/>
      <c r="S12" s="261"/>
      <c r="T12" s="260"/>
      <c r="U12" s="261"/>
      <c r="V12" s="261"/>
      <c r="W12" s="261"/>
      <c r="X12" s="255"/>
      <c r="Y12" s="259"/>
      <c r="Z12" s="259"/>
      <c r="AA12" s="259"/>
      <c r="AB12" s="259"/>
      <c r="AC12" s="259"/>
      <c r="AD12" s="259"/>
      <c r="AE12" s="261"/>
      <c r="AF12" s="260"/>
      <c r="AG12" s="255"/>
      <c r="AH12" s="259"/>
      <c r="AI12" s="255"/>
      <c r="AJ12" s="255"/>
      <c r="AK12" s="259"/>
      <c r="AL12" s="255"/>
      <c r="AM12" s="259"/>
      <c r="AN12" s="259"/>
      <c r="AO12" s="255" t="s">
        <v>541</v>
      </c>
      <c r="AP12" s="258" t="s">
        <v>537</v>
      </c>
      <c r="AQ12" s="258"/>
      <c r="AR12" s="258"/>
      <c r="AS12" s="262"/>
      <c r="AT12" s="258">
        <v>0</v>
      </c>
      <c r="AU12" s="262"/>
      <c r="AV12" s="258"/>
      <c r="AW12" s="262"/>
      <c r="AX12" s="258" t="s">
        <v>542</v>
      </c>
      <c r="AY12" s="258"/>
      <c r="AZ12" s="258">
        <v>0</v>
      </c>
      <c r="BA12" s="258">
        <v>0</v>
      </c>
      <c r="BB12" s="258">
        <v>0</v>
      </c>
      <c r="BC12" s="258">
        <v>0</v>
      </c>
      <c r="BD12" s="258">
        <v>0</v>
      </c>
      <c r="BE12" s="258">
        <v>0</v>
      </c>
      <c r="BF12" s="258">
        <v>0</v>
      </c>
      <c r="BG12" s="258">
        <v>0</v>
      </c>
      <c r="BH12" s="258">
        <v>0</v>
      </c>
      <c r="BI12" s="258">
        <v>0</v>
      </c>
      <c r="BJ12" s="258">
        <v>0</v>
      </c>
      <c r="BK12" s="258">
        <v>0</v>
      </c>
      <c r="BL12" s="258"/>
      <c r="BM12" s="258" t="s">
        <v>537</v>
      </c>
      <c r="BN12" s="258"/>
      <c r="BO12" s="258" t="s">
        <v>537</v>
      </c>
      <c r="BP12" s="263">
        <v>207.27272727272725</v>
      </c>
      <c r="BQ12" s="258"/>
      <c r="BR12" s="258"/>
      <c r="BS12" s="258"/>
      <c r="BT12" s="264"/>
      <c r="BU12" s="255"/>
      <c r="BV12" s="258"/>
      <c r="BW12" s="258" t="s">
        <v>543</v>
      </c>
      <c r="BX12" s="258">
        <v>1</v>
      </c>
      <c r="BY12" s="264" t="s">
        <v>819</v>
      </c>
      <c r="BZ12" s="358" t="s">
        <v>916</v>
      </c>
    </row>
    <row r="13" spans="1:107" customFormat="1" ht="13" customHeight="1" x14ac:dyDescent="0.15">
      <c r="A13" s="255">
        <v>1895</v>
      </c>
      <c r="B13" s="364">
        <v>43657</v>
      </c>
      <c r="C13" s="257" t="s">
        <v>533</v>
      </c>
      <c r="D13" s="255" t="s">
        <v>534</v>
      </c>
      <c r="E13" s="255"/>
      <c r="F13" s="255" t="s">
        <v>535</v>
      </c>
      <c r="G13" s="256">
        <v>43652</v>
      </c>
      <c r="H13" s="258" t="s">
        <v>536</v>
      </c>
      <c r="I13" s="258" t="s">
        <v>537</v>
      </c>
      <c r="J13" s="258"/>
      <c r="K13" s="255" t="s">
        <v>792</v>
      </c>
      <c r="L13" s="255" t="s">
        <v>687</v>
      </c>
      <c r="M13" s="259">
        <v>87.999999999999986</v>
      </c>
      <c r="N13" s="259">
        <v>32.699999999999996</v>
      </c>
      <c r="O13" s="48" t="s">
        <v>648</v>
      </c>
      <c r="P13" s="50">
        <v>1824.9900000000002</v>
      </c>
      <c r="Q13" s="259">
        <v>34.799999999999997</v>
      </c>
      <c r="R13" s="260"/>
      <c r="S13" s="261"/>
      <c r="T13" s="255"/>
      <c r="U13" s="261"/>
      <c r="V13" s="261"/>
      <c r="W13" s="261"/>
      <c r="X13" s="260"/>
      <c r="Y13" s="259"/>
      <c r="Z13" s="259"/>
      <c r="AA13" s="259"/>
      <c r="AB13" s="259"/>
      <c r="AC13" s="259"/>
      <c r="AD13" s="259"/>
      <c r="AE13" s="261"/>
      <c r="AF13" s="260"/>
      <c r="AG13" s="255"/>
      <c r="AH13" s="259"/>
      <c r="AI13" s="255"/>
      <c r="AJ13" s="255"/>
      <c r="AK13" s="259"/>
      <c r="AL13" s="255"/>
      <c r="AM13" s="259"/>
      <c r="AN13" s="259"/>
      <c r="AO13" s="255" t="s">
        <v>541</v>
      </c>
      <c r="AP13" s="258" t="s">
        <v>537</v>
      </c>
      <c r="AQ13" s="258"/>
      <c r="AR13" s="258"/>
      <c r="AS13" s="262"/>
      <c r="AT13" s="258">
        <v>1</v>
      </c>
      <c r="AU13" s="262"/>
      <c r="AV13" s="258"/>
      <c r="AW13" s="262"/>
      <c r="AX13" s="258" t="s">
        <v>547</v>
      </c>
      <c r="AY13" s="258"/>
      <c r="AZ13" s="258">
        <v>0</v>
      </c>
      <c r="BA13" s="258">
        <v>0</v>
      </c>
      <c r="BB13" s="258">
        <v>2</v>
      </c>
      <c r="BC13" s="258">
        <v>0</v>
      </c>
      <c r="BD13" s="258">
        <v>0</v>
      </c>
      <c r="BE13" s="258">
        <v>0</v>
      </c>
      <c r="BF13" s="258">
        <v>0</v>
      </c>
      <c r="BG13" s="258">
        <v>0</v>
      </c>
      <c r="BH13" s="258">
        <v>0</v>
      </c>
      <c r="BI13" s="258">
        <v>0</v>
      </c>
      <c r="BJ13" s="258">
        <v>0</v>
      </c>
      <c r="BK13" s="258">
        <v>0</v>
      </c>
      <c r="BL13" s="258"/>
      <c r="BM13" s="258" t="s">
        <v>537</v>
      </c>
      <c r="BN13" s="258"/>
      <c r="BO13" s="258" t="s">
        <v>537</v>
      </c>
      <c r="BP13" s="349"/>
      <c r="BQ13" s="258"/>
      <c r="BR13" s="258"/>
      <c r="BS13" s="258"/>
      <c r="BT13" s="255"/>
      <c r="BU13" s="264"/>
      <c r="BV13" s="258"/>
      <c r="BW13" s="258" t="s">
        <v>543</v>
      </c>
      <c r="BX13" s="258"/>
      <c r="BY13" s="264"/>
      <c r="BZ13" s="264" t="s">
        <v>917</v>
      </c>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row>
    <row r="14" spans="1:107" customFormat="1" ht="13" customHeight="1" x14ac:dyDescent="0.15">
      <c r="A14" s="255">
        <v>574</v>
      </c>
      <c r="B14" s="364">
        <v>43657</v>
      </c>
      <c r="C14" s="257" t="s">
        <v>533</v>
      </c>
      <c r="D14" s="255" t="s">
        <v>534</v>
      </c>
      <c r="E14" s="255"/>
      <c r="F14" s="255" t="s">
        <v>535</v>
      </c>
      <c r="G14" s="307">
        <v>43646</v>
      </c>
      <c r="H14" s="258" t="s">
        <v>536</v>
      </c>
      <c r="I14" s="258" t="s">
        <v>537</v>
      </c>
      <c r="J14" s="258"/>
      <c r="K14" s="255" t="s">
        <v>688</v>
      </c>
      <c r="L14" s="255" t="s">
        <v>890</v>
      </c>
      <c r="M14" s="259">
        <v>133.66363636363636</v>
      </c>
      <c r="N14" s="259">
        <v>37.418181818181814</v>
      </c>
      <c r="O14" s="48"/>
      <c r="P14" s="50"/>
      <c r="Q14" s="261"/>
      <c r="R14" s="260"/>
      <c r="S14" s="261"/>
      <c r="T14" s="260"/>
      <c r="U14" s="261"/>
      <c r="V14" s="261"/>
      <c r="W14" s="261"/>
      <c r="X14" s="255"/>
      <c r="Y14" s="259"/>
      <c r="Z14" s="259"/>
      <c r="AA14" s="259"/>
      <c r="AB14" s="259"/>
      <c r="AC14" s="259"/>
      <c r="AD14" s="261"/>
      <c r="AE14" s="261"/>
      <c r="AF14" s="260"/>
      <c r="AG14" s="255"/>
      <c r="AH14" s="259"/>
      <c r="AI14" s="255"/>
      <c r="AJ14" s="255"/>
      <c r="AK14" s="259"/>
      <c r="AL14" s="255"/>
      <c r="AM14" s="259"/>
      <c r="AN14" s="259"/>
      <c r="AO14" s="255" t="s">
        <v>541</v>
      </c>
      <c r="AP14" s="258" t="s">
        <v>537</v>
      </c>
      <c r="AQ14" s="258"/>
      <c r="AR14" s="258"/>
      <c r="AS14" s="262"/>
      <c r="AT14" s="258">
        <v>5</v>
      </c>
      <c r="AU14" s="262"/>
      <c r="AV14" s="258"/>
      <c r="AW14" s="262"/>
      <c r="AX14" s="258" t="s">
        <v>537</v>
      </c>
      <c r="AY14" s="258"/>
      <c r="AZ14" s="258">
        <v>0</v>
      </c>
      <c r="BA14" s="258">
        <v>0</v>
      </c>
      <c r="BB14" s="258">
        <v>0</v>
      </c>
      <c r="BC14" s="258">
        <v>0</v>
      </c>
      <c r="BD14" s="258">
        <v>0</v>
      </c>
      <c r="BE14" s="258">
        <v>0</v>
      </c>
      <c r="BF14" s="258">
        <v>0</v>
      </c>
      <c r="BG14" s="258">
        <v>0</v>
      </c>
      <c r="BH14" s="258">
        <v>0</v>
      </c>
      <c r="BI14" s="258">
        <v>0</v>
      </c>
      <c r="BJ14" s="258">
        <v>0</v>
      </c>
      <c r="BK14" s="258">
        <v>0</v>
      </c>
      <c r="BL14" s="258"/>
      <c r="BM14" s="258" t="s">
        <v>537</v>
      </c>
      <c r="BN14" s="258"/>
      <c r="BO14" s="258" t="s">
        <v>537</v>
      </c>
      <c r="BP14" s="349"/>
      <c r="BQ14" s="258"/>
      <c r="BR14" s="258"/>
      <c r="BS14" s="258"/>
      <c r="BT14" s="264"/>
      <c r="BU14" s="264"/>
      <c r="BV14" s="258"/>
      <c r="BW14" s="258" t="s">
        <v>543</v>
      </c>
      <c r="BX14" s="258">
        <v>1</v>
      </c>
      <c r="BY14" s="255" t="s">
        <v>891</v>
      </c>
      <c r="BZ14" s="255" t="s">
        <v>918</v>
      </c>
    </row>
    <row r="15" spans="1:107" customFormat="1" ht="13" customHeight="1" x14ac:dyDescent="0.15">
      <c r="A15" s="255" t="s">
        <v>919</v>
      </c>
      <c r="B15" s="364">
        <v>43657</v>
      </c>
      <c r="C15" s="257" t="s">
        <v>533</v>
      </c>
      <c r="D15" s="255" t="s">
        <v>534</v>
      </c>
      <c r="E15" s="255"/>
      <c r="F15" s="255" t="s">
        <v>535</v>
      </c>
      <c r="G15" s="256">
        <v>43646</v>
      </c>
      <c r="H15" s="355" t="s">
        <v>536</v>
      </c>
      <c r="I15" s="355" t="s">
        <v>537</v>
      </c>
      <c r="J15" s="355"/>
      <c r="K15" s="311" t="s">
        <v>920</v>
      </c>
      <c r="L15" s="255" t="s">
        <v>921</v>
      </c>
      <c r="M15" s="259">
        <v>155.5</v>
      </c>
      <c r="N15" s="259">
        <v>37.4</v>
      </c>
      <c r="O15" s="264"/>
      <c r="P15" s="260"/>
      <c r="Q15" s="261"/>
      <c r="R15" s="260"/>
      <c r="S15" s="261"/>
      <c r="T15" s="260"/>
      <c r="U15" s="261"/>
      <c r="V15" s="261"/>
      <c r="W15" s="261"/>
      <c r="X15" s="255"/>
      <c r="Y15" s="259"/>
      <c r="Z15" s="259"/>
      <c r="AA15" s="259"/>
      <c r="AB15" s="259"/>
      <c r="AC15" s="259"/>
      <c r="AD15" s="259"/>
      <c r="AE15" s="261"/>
      <c r="AF15" s="260"/>
      <c r="AG15" s="255"/>
      <c r="AH15" s="259"/>
      <c r="AI15" s="255"/>
      <c r="AJ15" s="255"/>
      <c r="AK15" s="259"/>
      <c r="AL15" s="255"/>
      <c r="AM15" s="259"/>
      <c r="AN15" s="259"/>
      <c r="AO15" s="312" t="s">
        <v>541</v>
      </c>
      <c r="AP15" s="355" t="s">
        <v>537</v>
      </c>
      <c r="AQ15" s="355"/>
      <c r="AR15" s="355"/>
      <c r="AS15" s="262"/>
      <c r="AT15" s="258">
        <v>3.5</v>
      </c>
      <c r="AU15" s="354"/>
      <c r="AV15" s="355"/>
      <c r="AW15" s="354"/>
      <c r="AX15" s="348" t="s">
        <v>542</v>
      </c>
      <c r="AY15" s="258"/>
      <c r="AZ15" s="355">
        <v>0</v>
      </c>
      <c r="BA15" s="355">
        <v>0</v>
      </c>
      <c r="BB15" s="355">
        <v>0</v>
      </c>
      <c r="BC15" s="355">
        <v>0</v>
      </c>
      <c r="BD15" s="355">
        <v>0</v>
      </c>
      <c r="BE15" s="355">
        <v>0</v>
      </c>
      <c r="BF15" s="355">
        <v>0</v>
      </c>
      <c r="BG15" s="355">
        <v>0</v>
      </c>
      <c r="BH15" s="355">
        <v>0</v>
      </c>
      <c r="BI15" s="355">
        <v>0</v>
      </c>
      <c r="BJ15" s="355">
        <v>0</v>
      </c>
      <c r="BK15" s="355">
        <v>0</v>
      </c>
      <c r="BL15" s="355"/>
      <c r="BM15" s="355" t="s">
        <v>537</v>
      </c>
      <c r="BN15" s="258"/>
      <c r="BO15" s="355" t="s">
        <v>537</v>
      </c>
      <c r="BP15" s="357"/>
      <c r="BQ15" s="355"/>
      <c r="BR15" s="355"/>
      <c r="BS15" s="355"/>
      <c r="BT15" s="356"/>
      <c r="BU15" s="356"/>
      <c r="BV15" s="355"/>
      <c r="BW15" s="355" t="s">
        <v>543</v>
      </c>
      <c r="BX15" s="355"/>
      <c r="BY15" s="255" t="s">
        <v>922</v>
      </c>
      <c r="BZ15" s="312" t="s">
        <v>923</v>
      </c>
    </row>
    <row r="16" spans="1:107" customFormat="1" ht="13" customHeight="1" x14ac:dyDescent="0.15">
      <c r="A16" s="255" t="s">
        <v>919</v>
      </c>
      <c r="B16" s="364">
        <v>43657</v>
      </c>
      <c r="C16" s="257" t="s">
        <v>533</v>
      </c>
      <c r="D16" s="255" t="s">
        <v>534</v>
      </c>
      <c r="E16" s="255"/>
      <c r="F16" s="255" t="s">
        <v>535</v>
      </c>
      <c r="G16" s="256">
        <v>43651</v>
      </c>
      <c r="H16" s="355" t="s">
        <v>536</v>
      </c>
      <c r="I16" s="355" t="s">
        <v>508</v>
      </c>
      <c r="J16" s="355"/>
      <c r="K16" s="311" t="s">
        <v>924</v>
      </c>
      <c r="L16" s="255" t="s">
        <v>949</v>
      </c>
      <c r="M16" s="259">
        <v>115.79999999999998</v>
      </c>
      <c r="N16" s="259">
        <v>37.318181818181813</v>
      </c>
      <c r="O16" s="264"/>
      <c r="P16" s="260"/>
      <c r="Q16" s="261"/>
      <c r="R16" s="260"/>
      <c r="S16" s="261"/>
      <c r="T16" s="260"/>
      <c r="U16" s="261"/>
      <c r="V16" s="261"/>
      <c r="W16" s="261"/>
      <c r="X16" s="255"/>
      <c r="Y16" s="259"/>
      <c r="Z16" s="259"/>
      <c r="AA16" s="259"/>
      <c r="AB16" s="259"/>
      <c r="AC16" s="259"/>
      <c r="AD16" s="259"/>
      <c r="AE16" s="261"/>
      <c r="AF16" s="260"/>
      <c r="AG16" s="255"/>
      <c r="AH16" s="259"/>
      <c r="AI16" s="255"/>
      <c r="AJ16" s="255"/>
      <c r="AK16" s="259"/>
      <c r="AL16" s="255"/>
      <c r="AM16" s="259"/>
      <c r="AN16" s="259"/>
      <c r="AO16" s="312" t="s">
        <v>541</v>
      </c>
      <c r="AP16" s="355" t="s">
        <v>537</v>
      </c>
      <c r="AQ16" s="355"/>
      <c r="AR16" s="355"/>
      <c r="AS16" s="262"/>
      <c r="AT16" s="258">
        <v>14</v>
      </c>
      <c r="AU16" s="354"/>
      <c r="AV16" s="355"/>
      <c r="AW16" s="354"/>
      <c r="AX16" s="348" t="s">
        <v>542</v>
      </c>
      <c r="AY16" s="258"/>
      <c r="AZ16" s="355">
        <v>0</v>
      </c>
      <c r="BA16" s="355">
        <v>0</v>
      </c>
      <c r="BB16" s="355">
        <v>0</v>
      </c>
      <c r="BC16" s="355">
        <v>0</v>
      </c>
      <c r="BD16" s="355">
        <v>0</v>
      </c>
      <c r="BE16" s="355">
        <v>0</v>
      </c>
      <c r="BF16" s="355">
        <v>0</v>
      </c>
      <c r="BG16" s="355">
        <v>0</v>
      </c>
      <c r="BH16" s="355">
        <v>0</v>
      </c>
      <c r="BI16" s="355">
        <v>0</v>
      </c>
      <c r="BJ16" s="355">
        <v>0</v>
      </c>
      <c r="BK16" s="355">
        <v>0</v>
      </c>
      <c r="BL16" s="355"/>
      <c r="BM16" s="355" t="s">
        <v>537</v>
      </c>
      <c r="BN16" s="258"/>
      <c r="BO16" s="355" t="s">
        <v>537</v>
      </c>
      <c r="BP16" s="357"/>
      <c r="BQ16" s="355"/>
      <c r="BR16" s="355"/>
      <c r="BS16" s="355"/>
      <c r="BT16" s="368">
        <v>100</v>
      </c>
      <c r="BU16" s="356" t="s">
        <v>925</v>
      </c>
      <c r="BV16" s="355">
        <v>100</v>
      </c>
      <c r="BW16" s="355" t="s">
        <v>543</v>
      </c>
      <c r="BX16" s="355"/>
      <c r="BY16" s="255" t="s">
        <v>926</v>
      </c>
      <c r="BZ16" s="312" t="s">
        <v>950</v>
      </c>
    </row>
    <row r="17" spans="1:108" customFormat="1" ht="13" customHeight="1" x14ac:dyDescent="0.15">
      <c r="A17" s="255" t="s">
        <v>919</v>
      </c>
      <c r="B17" s="364">
        <v>43657</v>
      </c>
      <c r="C17" s="257" t="s">
        <v>533</v>
      </c>
      <c r="D17" s="255" t="s">
        <v>534</v>
      </c>
      <c r="E17" s="255"/>
      <c r="F17" s="255" t="s">
        <v>535</v>
      </c>
      <c r="G17" s="256">
        <v>43655</v>
      </c>
      <c r="H17" s="355" t="s">
        <v>536</v>
      </c>
      <c r="I17" s="355" t="s">
        <v>537</v>
      </c>
      <c r="J17" s="355"/>
      <c r="K17" s="311" t="s">
        <v>927</v>
      </c>
      <c r="L17" s="255" t="s">
        <v>928</v>
      </c>
      <c r="M17" s="259">
        <v>105.99999999999999</v>
      </c>
      <c r="N17" s="259">
        <v>42</v>
      </c>
      <c r="O17" s="264"/>
      <c r="P17" s="260"/>
      <c r="Q17" s="261"/>
      <c r="R17" s="260"/>
      <c r="S17" s="261"/>
      <c r="T17" s="260"/>
      <c r="U17" s="261"/>
      <c r="V17" s="261"/>
      <c r="W17" s="261"/>
      <c r="X17" s="255"/>
      <c r="Y17" s="259"/>
      <c r="Z17" s="259"/>
      <c r="AA17" s="259"/>
      <c r="AB17" s="259"/>
      <c r="AC17" s="259"/>
      <c r="AD17" s="259"/>
      <c r="AE17" s="261"/>
      <c r="AF17" s="260"/>
      <c r="AG17" s="255"/>
      <c r="AH17" s="259"/>
      <c r="AI17" s="255"/>
      <c r="AJ17" s="255"/>
      <c r="AK17" s="259"/>
      <c r="AL17" s="255"/>
      <c r="AM17" s="259"/>
      <c r="AN17" s="259"/>
      <c r="AO17" s="312" t="s">
        <v>541</v>
      </c>
      <c r="AP17" s="355" t="s">
        <v>537</v>
      </c>
      <c r="AQ17" s="355"/>
      <c r="AR17" s="355"/>
      <c r="AS17" s="262"/>
      <c r="AT17" s="258">
        <v>5</v>
      </c>
      <c r="AU17" s="354"/>
      <c r="AV17" s="355"/>
      <c r="AW17" s="354"/>
      <c r="AX17" s="348" t="s">
        <v>542</v>
      </c>
      <c r="AY17" s="258"/>
      <c r="AZ17" s="355">
        <v>0</v>
      </c>
      <c r="BA17" s="355">
        <v>0</v>
      </c>
      <c r="BB17" s="355">
        <v>0</v>
      </c>
      <c r="BC17" s="355">
        <v>0</v>
      </c>
      <c r="BD17" s="355">
        <v>0</v>
      </c>
      <c r="BE17" s="355">
        <v>0</v>
      </c>
      <c r="BF17" s="355">
        <v>0</v>
      </c>
      <c r="BG17" s="355">
        <v>0</v>
      </c>
      <c r="BH17" s="355">
        <v>0</v>
      </c>
      <c r="BI17" s="355">
        <v>0</v>
      </c>
      <c r="BJ17" s="355">
        <v>0</v>
      </c>
      <c r="BK17" s="355">
        <v>0</v>
      </c>
      <c r="BL17" s="355"/>
      <c r="BM17" s="355" t="s">
        <v>537</v>
      </c>
      <c r="BN17" s="258"/>
      <c r="BO17" s="355" t="s">
        <v>537</v>
      </c>
      <c r="BP17" s="357"/>
      <c r="BQ17" s="355"/>
      <c r="BR17" s="355"/>
      <c r="BS17" s="355"/>
      <c r="BT17" s="368"/>
      <c r="BU17" s="356"/>
      <c r="BV17" s="355"/>
      <c r="BW17" s="355" t="s">
        <v>543</v>
      </c>
      <c r="BX17" s="355">
        <v>1</v>
      </c>
      <c r="BY17" s="255"/>
      <c r="BZ17" s="312" t="s">
        <v>929</v>
      </c>
    </row>
    <row r="18" spans="1:108" customFormat="1" ht="13" customHeight="1" x14ac:dyDescent="0.15">
      <c r="A18" s="255" t="s">
        <v>919</v>
      </c>
      <c r="B18" s="364">
        <v>43657</v>
      </c>
      <c r="C18" s="257" t="s">
        <v>533</v>
      </c>
      <c r="D18" s="255" t="s">
        <v>534</v>
      </c>
      <c r="E18" s="255"/>
      <c r="F18" s="255" t="s">
        <v>535</v>
      </c>
      <c r="G18" s="364">
        <v>43480</v>
      </c>
      <c r="H18" s="355" t="s">
        <v>536</v>
      </c>
      <c r="I18" s="355" t="s">
        <v>537</v>
      </c>
      <c r="J18" s="355"/>
      <c r="K18" s="311" t="s">
        <v>930</v>
      </c>
      <c r="L18" s="255" t="s">
        <v>931</v>
      </c>
      <c r="M18" s="259">
        <v>94.181818181818173</v>
      </c>
      <c r="N18" s="259">
        <v>33.218181818181812</v>
      </c>
      <c r="O18" s="264"/>
      <c r="P18" s="260"/>
      <c r="Q18" s="261"/>
      <c r="R18" s="260"/>
      <c r="S18" s="261"/>
      <c r="T18" s="260"/>
      <c r="U18" s="261"/>
      <c r="V18" s="261"/>
      <c r="W18" s="261"/>
      <c r="X18" s="255"/>
      <c r="Y18" s="259"/>
      <c r="Z18" s="259"/>
      <c r="AA18" s="259"/>
      <c r="AB18" s="259"/>
      <c r="AC18" s="259"/>
      <c r="AD18" s="259"/>
      <c r="AE18" s="261"/>
      <c r="AF18" s="260"/>
      <c r="AG18" s="255"/>
      <c r="AH18" s="259"/>
      <c r="AI18" s="255"/>
      <c r="AJ18" s="255"/>
      <c r="AK18" s="259"/>
      <c r="AL18" s="255"/>
      <c r="AM18" s="259"/>
      <c r="AN18" s="259"/>
      <c r="AO18" s="312" t="s">
        <v>541</v>
      </c>
      <c r="AP18" s="355" t="s">
        <v>537</v>
      </c>
      <c r="AQ18" s="355"/>
      <c r="AR18" s="355"/>
      <c r="AS18" s="262"/>
      <c r="AT18" s="258">
        <v>5.5</v>
      </c>
      <c r="AU18" s="354"/>
      <c r="AV18" s="355"/>
      <c r="AW18" s="354"/>
      <c r="AX18" s="348" t="s">
        <v>542</v>
      </c>
      <c r="AY18" s="258"/>
      <c r="AZ18" s="355">
        <v>0</v>
      </c>
      <c r="BA18" s="355">
        <v>0</v>
      </c>
      <c r="BB18" s="355">
        <v>0</v>
      </c>
      <c r="BC18" s="355">
        <v>0</v>
      </c>
      <c r="BD18" s="355">
        <v>0</v>
      </c>
      <c r="BE18" s="355">
        <v>0</v>
      </c>
      <c r="BF18" s="355">
        <v>0</v>
      </c>
      <c r="BG18" s="355">
        <v>0</v>
      </c>
      <c r="BH18" s="355">
        <v>0</v>
      </c>
      <c r="BI18" s="355">
        <v>0</v>
      </c>
      <c r="BJ18" s="355">
        <v>0</v>
      </c>
      <c r="BK18" s="355">
        <v>0</v>
      </c>
      <c r="BL18" s="355"/>
      <c r="BM18" s="355" t="s">
        <v>537</v>
      </c>
      <c r="BN18" s="258"/>
      <c r="BO18" s="355" t="s">
        <v>537</v>
      </c>
      <c r="BP18" s="357"/>
      <c r="BQ18" s="355"/>
      <c r="BR18" s="355"/>
      <c r="BS18" s="355"/>
      <c r="BT18" s="356"/>
      <c r="BU18" s="356"/>
      <c r="BV18" s="355"/>
      <c r="BW18" s="355" t="s">
        <v>543</v>
      </c>
      <c r="BX18" s="355"/>
      <c r="BY18" s="255"/>
      <c r="BZ18" s="312" t="s">
        <v>932</v>
      </c>
    </row>
    <row r="19" spans="1:108" customFormat="1" ht="13" customHeight="1" x14ac:dyDescent="0.15">
      <c r="A19" s="255">
        <v>10815</v>
      </c>
      <c r="B19" s="364">
        <v>43657</v>
      </c>
      <c r="C19" s="257" t="s">
        <v>533</v>
      </c>
      <c r="D19" s="255" t="s">
        <v>534</v>
      </c>
      <c r="E19" s="255"/>
      <c r="F19" s="255" t="s">
        <v>535</v>
      </c>
      <c r="G19" s="256">
        <v>43648</v>
      </c>
      <c r="H19" s="258" t="s">
        <v>536</v>
      </c>
      <c r="I19" s="258" t="s">
        <v>508</v>
      </c>
      <c r="J19" s="258"/>
      <c r="K19" s="255" t="s">
        <v>538</v>
      </c>
      <c r="L19" s="255" t="s">
        <v>643</v>
      </c>
      <c r="M19" s="259">
        <v>110.99999999999999</v>
      </c>
      <c r="N19" s="259">
        <v>42.527272727272724</v>
      </c>
      <c r="O19" s="264"/>
      <c r="P19" s="260"/>
      <c r="Q19" s="261"/>
      <c r="R19" s="260"/>
      <c r="S19" s="261"/>
      <c r="T19" s="260"/>
      <c r="U19" s="261"/>
      <c r="V19" s="261"/>
      <c r="W19" s="261"/>
      <c r="X19" s="255"/>
      <c r="Y19" s="259"/>
      <c r="Z19" s="259"/>
      <c r="AA19" s="259"/>
      <c r="AB19" s="259"/>
      <c r="AC19" s="259"/>
      <c r="AD19" s="259"/>
      <c r="AE19" s="259">
        <v>20.85</v>
      </c>
      <c r="AF19" s="260"/>
      <c r="AG19" s="255"/>
      <c r="AH19" s="259"/>
      <c r="AI19" s="255"/>
      <c r="AJ19" s="255"/>
      <c r="AK19" s="259"/>
      <c r="AL19" s="255"/>
      <c r="AM19" s="259"/>
      <c r="AN19" s="259"/>
      <c r="AO19" s="312" t="s">
        <v>613</v>
      </c>
      <c r="AP19" s="355" t="s">
        <v>537</v>
      </c>
      <c r="AQ19" s="355"/>
      <c r="AR19" s="355"/>
      <c r="AS19" s="258">
        <v>10</v>
      </c>
      <c r="AT19" s="258">
        <v>10</v>
      </c>
      <c r="AU19" s="354">
        <v>1274</v>
      </c>
      <c r="AV19" s="156"/>
      <c r="AW19" s="359">
        <v>6</v>
      </c>
      <c r="AX19" s="348" t="s">
        <v>542</v>
      </c>
      <c r="AY19" s="258"/>
      <c r="AZ19" s="355">
        <v>0</v>
      </c>
      <c r="BA19" s="355">
        <v>0</v>
      </c>
      <c r="BB19" s="355">
        <v>0</v>
      </c>
      <c r="BC19" s="355">
        <v>0</v>
      </c>
      <c r="BD19" s="355">
        <v>0</v>
      </c>
      <c r="BE19" s="355">
        <v>0</v>
      </c>
      <c r="BF19" s="355">
        <v>0</v>
      </c>
      <c r="BG19" s="355">
        <v>0</v>
      </c>
      <c r="BH19" s="355">
        <v>0</v>
      </c>
      <c r="BI19" s="355">
        <v>0</v>
      </c>
      <c r="BJ19" s="355">
        <v>0</v>
      </c>
      <c r="BK19" s="355">
        <v>0</v>
      </c>
      <c r="BL19" s="355"/>
      <c r="BM19" s="355" t="s">
        <v>537</v>
      </c>
      <c r="BN19" s="258">
        <v>12</v>
      </c>
      <c r="BO19" s="355" t="s">
        <v>537</v>
      </c>
      <c r="BP19" s="357"/>
      <c r="BQ19" s="355"/>
      <c r="BR19" s="355"/>
      <c r="BS19" s="355"/>
      <c r="BT19" s="311"/>
      <c r="BU19" s="356"/>
      <c r="BV19" s="355"/>
      <c r="BW19" s="355" t="s">
        <v>543</v>
      </c>
      <c r="BX19" s="355"/>
      <c r="BY19" s="264" t="s">
        <v>944</v>
      </c>
      <c r="BZ19" s="312" t="s">
        <v>946</v>
      </c>
    </row>
    <row r="20" spans="1:108" customFormat="1" ht="13" customHeight="1" x14ac:dyDescent="0.15">
      <c r="A20" s="255"/>
      <c r="B20" s="364">
        <v>43657</v>
      </c>
      <c r="C20" s="257" t="s">
        <v>533</v>
      </c>
      <c r="D20" s="255" t="s">
        <v>534</v>
      </c>
      <c r="E20" s="255"/>
      <c r="F20" s="255" t="s">
        <v>612</v>
      </c>
      <c r="G20" s="307">
        <v>43646</v>
      </c>
      <c r="H20" s="258" t="s">
        <v>536</v>
      </c>
      <c r="I20" s="258" t="s">
        <v>537</v>
      </c>
      <c r="J20" s="258"/>
      <c r="K20" s="255" t="s">
        <v>544</v>
      </c>
      <c r="L20" s="255" t="s">
        <v>802</v>
      </c>
      <c r="M20" s="259">
        <v>92.536363636363632</v>
      </c>
      <c r="N20" s="259">
        <v>43.2</v>
      </c>
      <c r="O20" s="48"/>
      <c r="P20" s="50"/>
      <c r="Q20" s="261"/>
      <c r="R20" s="260"/>
      <c r="S20" s="261"/>
      <c r="T20" s="255"/>
      <c r="U20" s="261"/>
      <c r="V20" s="261"/>
      <c r="W20" s="261"/>
      <c r="X20" s="255"/>
      <c r="Y20" s="259"/>
      <c r="Z20" s="259"/>
      <c r="AA20" s="259"/>
      <c r="AB20" s="259"/>
      <c r="AC20" s="259"/>
      <c r="AD20" s="261"/>
      <c r="AE20" s="259">
        <v>20.781818181818181</v>
      </c>
      <c r="AF20" s="260"/>
      <c r="AG20" s="255"/>
      <c r="AH20" s="259"/>
      <c r="AI20" s="255"/>
      <c r="AJ20" s="255"/>
      <c r="AK20" s="259"/>
      <c r="AL20" s="255"/>
      <c r="AM20" s="259"/>
      <c r="AN20" s="259"/>
      <c r="AO20" s="255" t="s">
        <v>613</v>
      </c>
      <c r="AP20" s="258" t="s">
        <v>537</v>
      </c>
      <c r="AQ20" s="258"/>
      <c r="AR20" s="258"/>
      <c r="AS20" s="262"/>
      <c r="AT20" s="258">
        <v>8</v>
      </c>
      <c r="AU20" s="262"/>
      <c r="AV20" s="258"/>
      <c r="AW20" s="262"/>
      <c r="AX20" s="348" t="s">
        <v>537</v>
      </c>
      <c r="AY20" s="348"/>
      <c r="AZ20" s="258">
        <v>0</v>
      </c>
      <c r="BA20" s="258">
        <v>0</v>
      </c>
      <c r="BB20" s="258">
        <v>0</v>
      </c>
      <c r="BC20" s="258">
        <v>0</v>
      </c>
      <c r="BD20" s="258">
        <v>0</v>
      </c>
      <c r="BE20" s="258">
        <v>0</v>
      </c>
      <c r="BF20" s="258">
        <v>0</v>
      </c>
      <c r="BG20" s="258">
        <v>0</v>
      </c>
      <c r="BH20" s="258">
        <v>0</v>
      </c>
      <c r="BI20" s="258">
        <v>0</v>
      </c>
      <c r="BJ20" s="258">
        <v>0</v>
      </c>
      <c r="BK20" s="258">
        <v>0</v>
      </c>
      <c r="BL20" s="258"/>
      <c r="BM20" s="258" t="s">
        <v>537</v>
      </c>
      <c r="BN20" s="258"/>
      <c r="BO20" s="258" t="s">
        <v>537</v>
      </c>
      <c r="BP20" s="349"/>
      <c r="BQ20" s="258"/>
      <c r="BR20" s="258"/>
      <c r="BS20" s="258"/>
      <c r="BT20" s="350"/>
      <c r="BU20" s="350"/>
      <c r="BV20" s="348"/>
      <c r="BW20" s="258" t="s">
        <v>543</v>
      </c>
      <c r="BX20" s="258">
        <v>1</v>
      </c>
      <c r="BY20" s="255" t="s">
        <v>933</v>
      </c>
      <c r="BZ20" s="255"/>
    </row>
    <row r="21" spans="1:108" customFormat="1" ht="13" customHeight="1" x14ac:dyDescent="0.15">
      <c r="A21" s="255">
        <v>11133</v>
      </c>
      <c r="B21" s="364">
        <v>43657</v>
      </c>
      <c r="C21" s="257" t="s">
        <v>533</v>
      </c>
      <c r="D21" s="255" t="s">
        <v>534</v>
      </c>
      <c r="E21" s="255"/>
      <c r="F21" s="255" t="s">
        <v>612</v>
      </c>
      <c r="G21" s="307">
        <v>43646</v>
      </c>
      <c r="H21" s="258" t="s">
        <v>536</v>
      </c>
      <c r="I21" s="258" t="s">
        <v>537</v>
      </c>
      <c r="J21" s="258"/>
      <c r="K21" s="255" t="s">
        <v>873</v>
      </c>
      <c r="L21" s="255" t="s">
        <v>874</v>
      </c>
      <c r="M21" s="259">
        <v>80</v>
      </c>
      <c r="N21" s="259">
        <v>42.999999999999993</v>
      </c>
      <c r="O21" s="48" t="s">
        <v>648</v>
      </c>
      <c r="P21" s="50">
        <v>300</v>
      </c>
      <c r="Q21" s="259">
        <v>26.572727272727271</v>
      </c>
      <c r="R21" s="260">
        <v>700</v>
      </c>
      <c r="S21" s="259">
        <v>48.999999999999993</v>
      </c>
      <c r="T21" s="260">
        <v>1500</v>
      </c>
      <c r="U21" s="259">
        <v>52</v>
      </c>
      <c r="V21" s="261"/>
      <c r="W21" s="261"/>
      <c r="X21" s="255"/>
      <c r="Y21" s="259"/>
      <c r="Z21" s="259"/>
      <c r="AA21" s="259"/>
      <c r="AB21" s="259"/>
      <c r="AC21" s="259"/>
      <c r="AD21" s="259"/>
      <c r="AE21" s="259">
        <v>20.599999999999998</v>
      </c>
      <c r="AF21" s="260"/>
      <c r="AG21" s="255"/>
      <c r="AH21" s="259"/>
      <c r="AI21" s="255"/>
      <c r="AJ21" s="255"/>
      <c r="AK21" s="259"/>
      <c r="AL21" s="255"/>
      <c r="AM21" s="259"/>
      <c r="AN21" s="259"/>
      <c r="AO21" s="255" t="s">
        <v>613</v>
      </c>
      <c r="AP21" s="258" t="s">
        <v>537</v>
      </c>
      <c r="AQ21" s="258"/>
      <c r="AR21" s="258"/>
      <c r="AS21" s="258">
        <v>10</v>
      </c>
      <c r="AT21" s="258">
        <v>5.2</v>
      </c>
      <c r="AU21" s="262"/>
      <c r="AV21" s="258"/>
      <c r="AW21" s="262"/>
      <c r="AX21" s="258" t="s">
        <v>542</v>
      </c>
      <c r="AY21" s="315"/>
      <c r="AZ21" s="258">
        <v>0</v>
      </c>
      <c r="BA21" s="258">
        <v>0</v>
      </c>
      <c r="BB21" s="258">
        <v>2</v>
      </c>
      <c r="BC21" s="258">
        <v>0</v>
      </c>
      <c r="BD21" s="258">
        <v>0</v>
      </c>
      <c r="BE21" s="258">
        <v>0</v>
      </c>
      <c r="BF21" s="258">
        <v>0</v>
      </c>
      <c r="BG21" s="258">
        <v>0</v>
      </c>
      <c r="BH21" s="258">
        <v>0</v>
      </c>
      <c r="BI21" s="258">
        <v>0</v>
      </c>
      <c r="BJ21" s="258">
        <v>0</v>
      </c>
      <c r="BK21" s="258">
        <v>0</v>
      </c>
      <c r="BL21" s="258"/>
      <c r="BM21" s="258" t="s">
        <v>537</v>
      </c>
      <c r="BN21" s="258"/>
      <c r="BO21" s="258" t="s">
        <v>537</v>
      </c>
      <c r="BP21" s="349"/>
      <c r="BQ21" s="258"/>
      <c r="BR21" s="258"/>
      <c r="BS21" s="258"/>
      <c r="BT21" s="350"/>
      <c r="BU21" s="350"/>
      <c r="BV21" s="348"/>
      <c r="BW21" s="258" t="s">
        <v>543</v>
      </c>
      <c r="BX21" s="258"/>
      <c r="BY21" s="314"/>
      <c r="BZ21" s="342"/>
    </row>
    <row r="22" spans="1:108" customFormat="1" ht="13" customHeight="1" x14ac:dyDescent="0.15">
      <c r="A22" s="255">
        <v>16149</v>
      </c>
      <c r="B22" s="364">
        <v>43657</v>
      </c>
      <c r="C22" s="257" t="s">
        <v>533</v>
      </c>
      <c r="D22" s="255" t="s">
        <v>534</v>
      </c>
      <c r="E22" s="255"/>
      <c r="F22" s="255" t="s">
        <v>612</v>
      </c>
      <c r="G22" s="307">
        <v>43646</v>
      </c>
      <c r="H22" s="258" t="s">
        <v>536</v>
      </c>
      <c r="I22" s="258" t="s">
        <v>508</v>
      </c>
      <c r="J22" s="258"/>
      <c r="K22" s="255" t="s">
        <v>875</v>
      </c>
      <c r="L22" s="255" t="s">
        <v>876</v>
      </c>
      <c r="M22" s="259">
        <v>94.999999999999986</v>
      </c>
      <c r="N22" s="259">
        <v>42.981818181818177</v>
      </c>
      <c r="O22" s="264"/>
      <c r="P22" s="260"/>
      <c r="Q22" s="261"/>
      <c r="R22" s="260"/>
      <c r="S22" s="261"/>
      <c r="T22" s="260"/>
      <c r="U22" s="261"/>
      <c r="V22" s="261"/>
      <c r="W22" s="261"/>
      <c r="X22" s="260"/>
      <c r="Y22" s="259"/>
      <c r="Z22" s="259"/>
      <c r="AA22" s="259"/>
      <c r="AB22" s="259"/>
      <c r="AC22" s="259"/>
      <c r="AD22" s="259"/>
      <c r="AE22" s="259">
        <v>20.8</v>
      </c>
      <c r="AF22" s="260"/>
      <c r="AG22" s="255"/>
      <c r="AH22" s="259"/>
      <c r="AI22" s="255"/>
      <c r="AJ22" s="255"/>
      <c r="AK22" s="259"/>
      <c r="AL22" s="255"/>
      <c r="AM22" s="259"/>
      <c r="AN22" s="259"/>
      <c r="AO22" s="255" t="s">
        <v>613</v>
      </c>
      <c r="AP22" s="258" t="s">
        <v>537</v>
      </c>
      <c r="AQ22" s="258"/>
      <c r="AR22" s="258"/>
      <c r="AS22" s="262"/>
      <c r="AT22" s="258">
        <v>15</v>
      </c>
      <c r="AU22" s="262">
        <v>1365</v>
      </c>
      <c r="AV22" s="258"/>
      <c r="AW22" s="262">
        <v>8.5</v>
      </c>
      <c r="AX22" s="258" t="s">
        <v>542</v>
      </c>
      <c r="AY22" s="258"/>
      <c r="AZ22" s="258">
        <v>0</v>
      </c>
      <c r="BA22" s="258">
        <v>0</v>
      </c>
      <c r="BB22" s="258">
        <v>0</v>
      </c>
      <c r="BC22" s="258">
        <v>0</v>
      </c>
      <c r="BD22" s="258">
        <v>0</v>
      </c>
      <c r="BE22" s="258">
        <v>0</v>
      </c>
      <c r="BF22" s="258">
        <v>0</v>
      </c>
      <c r="BG22" s="258">
        <v>0</v>
      </c>
      <c r="BH22" s="258">
        <v>0</v>
      </c>
      <c r="BI22" s="258">
        <v>0</v>
      </c>
      <c r="BJ22" s="258">
        <v>0</v>
      </c>
      <c r="BK22" s="258">
        <v>0</v>
      </c>
      <c r="BL22" s="258"/>
      <c r="BM22" s="258" t="s">
        <v>537</v>
      </c>
      <c r="BN22" s="258">
        <v>12</v>
      </c>
      <c r="BO22" s="258" t="s">
        <v>537</v>
      </c>
      <c r="BP22" s="349"/>
      <c r="BQ22" s="258"/>
      <c r="BR22" s="258"/>
      <c r="BS22" s="258"/>
      <c r="BT22" s="255"/>
      <c r="BU22" s="264"/>
      <c r="BV22" s="258"/>
      <c r="BW22" s="258" t="s">
        <v>543</v>
      </c>
      <c r="BX22" s="258"/>
      <c r="BY22" s="255"/>
      <c r="BZ22" s="312" t="s">
        <v>948</v>
      </c>
      <c r="CB22" s="118"/>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c r="CZ22" s="118"/>
      <c r="DA22" s="118"/>
      <c r="DB22" s="118"/>
      <c r="DC22" s="118"/>
      <c r="DD22" s="118"/>
    </row>
    <row r="23" spans="1:108" customFormat="1" ht="13" customHeight="1" x14ac:dyDescent="0.15">
      <c r="A23" s="255">
        <v>11894</v>
      </c>
      <c r="B23" s="364">
        <v>43657</v>
      </c>
      <c r="C23" s="257" t="s">
        <v>533</v>
      </c>
      <c r="D23" s="255" t="s">
        <v>534</v>
      </c>
      <c r="E23" s="255"/>
      <c r="F23" s="255" t="s">
        <v>612</v>
      </c>
      <c r="G23" s="307">
        <v>43646</v>
      </c>
      <c r="H23" s="258" t="s">
        <v>536</v>
      </c>
      <c r="I23" s="258" t="s">
        <v>537</v>
      </c>
      <c r="J23" s="258"/>
      <c r="K23" s="255" t="s">
        <v>880</v>
      </c>
      <c r="L23" s="255" t="s">
        <v>657</v>
      </c>
      <c r="M23" s="259">
        <v>84.154545454545442</v>
      </c>
      <c r="N23" s="259">
        <v>32.981818181818177</v>
      </c>
      <c r="O23" s="48"/>
      <c r="P23" s="50"/>
      <c r="Q23" s="261"/>
      <c r="R23" s="260"/>
      <c r="S23" s="261"/>
      <c r="T23" s="260"/>
      <c r="U23" s="261"/>
      <c r="V23" s="261"/>
      <c r="W23" s="261"/>
      <c r="X23" s="255"/>
      <c r="Y23" s="259"/>
      <c r="Z23" s="259"/>
      <c r="AA23" s="259"/>
      <c r="AB23" s="259"/>
      <c r="AC23" s="259"/>
      <c r="AD23" s="259"/>
      <c r="AE23" s="259">
        <v>18</v>
      </c>
      <c r="AF23" s="260"/>
      <c r="AG23" s="255"/>
      <c r="AH23" s="259"/>
      <c r="AI23" s="255"/>
      <c r="AJ23" s="255"/>
      <c r="AK23" s="259"/>
      <c r="AL23" s="255"/>
      <c r="AM23" s="259"/>
      <c r="AN23" s="259"/>
      <c r="AO23" s="255" t="s">
        <v>613</v>
      </c>
      <c r="AP23" s="258" t="s">
        <v>537</v>
      </c>
      <c r="AQ23" s="258"/>
      <c r="AR23" s="258"/>
      <c r="AS23" s="262"/>
      <c r="AT23" s="258">
        <v>3</v>
      </c>
      <c r="AU23" s="262"/>
      <c r="AV23" s="258"/>
      <c r="AW23" s="262"/>
      <c r="AX23" s="258" t="s">
        <v>495</v>
      </c>
      <c r="AY23" s="258"/>
      <c r="AZ23" s="258">
        <v>0</v>
      </c>
      <c r="BA23" s="258">
        <v>0</v>
      </c>
      <c r="BB23" s="258">
        <v>0</v>
      </c>
      <c r="BC23" s="258">
        <v>0</v>
      </c>
      <c r="BD23" s="258">
        <v>0</v>
      </c>
      <c r="BE23" s="258">
        <v>0</v>
      </c>
      <c r="BF23" s="258">
        <v>0</v>
      </c>
      <c r="BG23" s="258">
        <v>0</v>
      </c>
      <c r="BH23" s="258">
        <v>0</v>
      </c>
      <c r="BI23" s="258">
        <v>0</v>
      </c>
      <c r="BJ23" s="258">
        <v>0</v>
      </c>
      <c r="BK23" s="258">
        <v>0</v>
      </c>
      <c r="BL23" s="258"/>
      <c r="BM23" s="258" t="s">
        <v>537</v>
      </c>
      <c r="BN23" s="258"/>
      <c r="BO23" s="258" t="s">
        <v>537</v>
      </c>
      <c r="BP23" s="349"/>
      <c r="BQ23" s="258"/>
      <c r="BR23" s="258"/>
      <c r="BS23" s="258"/>
      <c r="BT23" s="350" t="s">
        <v>881</v>
      </c>
      <c r="BU23" s="350"/>
      <c r="BV23" s="348"/>
      <c r="BW23" s="258" t="s">
        <v>543</v>
      </c>
      <c r="BX23" s="258"/>
      <c r="BY23" s="264"/>
      <c r="BZ23" s="312" t="s">
        <v>934</v>
      </c>
    </row>
    <row r="24" spans="1:108" customFormat="1" ht="13" customHeight="1" x14ac:dyDescent="0.15">
      <c r="A24" s="255">
        <v>12325</v>
      </c>
      <c r="B24" s="364">
        <v>43657</v>
      </c>
      <c r="C24" s="257" t="s">
        <v>533</v>
      </c>
      <c r="D24" s="255" t="s">
        <v>534</v>
      </c>
      <c r="E24" s="255"/>
      <c r="F24" s="255" t="s">
        <v>612</v>
      </c>
      <c r="G24" s="256">
        <v>43287</v>
      </c>
      <c r="H24" s="258" t="s">
        <v>536</v>
      </c>
      <c r="I24" s="258" t="s">
        <v>508</v>
      </c>
      <c r="J24" s="258"/>
      <c r="K24" s="255" t="s">
        <v>585</v>
      </c>
      <c r="L24" s="255" t="s">
        <v>662</v>
      </c>
      <c r="M24" s="259">
        <v>98.790909090909082</v>
      </c>
      <c r="N24" s="259">
        <v>42.627272727272725</v>
      </c>
      <c r="O24" s="264" t="s">
        <v>546</v>
      </c>
      <c r="P24" s="260">
        <v>1000</v>
      </c>
      <c r="Q24" s="259">
        <v>46</v>
      </c>
      <c r="R24" s="260"/>
      <c r="S24" s="261"/>
      <c r="T24" s="260"/>
      <c r="U24" s="261"/>
      <c r="V24" s="261"/>
      <c r="W24" s="261"/>
      <c r="X24" s="255"/>
      <c r="Y24" s="259"/>
      <c r="Z24" s="259"/>
      <c r="AA24" s="259"/>
      <c r="AB24" s="259"/>
      <c r="AC24" s="259"/>
      <c r="AD24" s="261"/>
      <c r="AE24" s="259">
        <v>20.47</v>
      </c>
      <c r="AF24" s="260"/>
      <c r="AG24" s="255"/>
      <c r="AH24" s="259"/>
      <c r="AI24" s="255"/>
      <c r="AJ24" s="255"/>
      <c r="AK24" s="259"/>
      <c r="AL24" s="255"/>
      <c r="AM24" s="259"/>
      <c r="AN24" s="259"/>
      <c r="AO24" s="255" t="s">
        <v>613</v>
      </c>
      <c r="AP24" s="258" t="s">
        <v>537</v>
      </c>
      <c r="AQ24" s="258"/>
      <c r="AR24" s="258"/>
      <c r="AS24" s="258"/>
      <c r="AT24" s="258">
        <v>12</v>
      </c>
      <c r="AU24" s="262">
        <v>1274</v>
      </c>
      <c r="AV24" s="258"/>
      <c r="AW24" s="262">
        <v>6</v>
      </c>
      <c r="AX24" s="258" t="s">
        <v>542</v>
      </c>
      <c r="AY24" s="258"/>
      <c r="AZ24" s="258">
        <v>0</v>
      </c>
      <c r="BA24" s="258">
        <v>0</v>
      </c>
      <c r="BB24" s="258">
        <v>0</v>
      </c>
      <c r="BC24" s="258">
        <v>0</v>
      </c>
      <c r="BD24" s="258">
        <v>0</v>
      </c>
      <c r="BE24" s="258">
        <v>0</v>
      </c>
      <c r="BF24" s="258">
        <v>0</v>
      </c>
      <c r="BG24" s="258">
        <v>0</v>
      </c>
      <c r="BH24" s="258">
        <v>0</v>
      </c>
      <c r="BI24" s="258">
        <v>0</v>
      </c>
      <c r="BJ24" s="258">
        <v>0</v>
      </c>
      <c r="BK24" s="258">
        <v>0</v>
      </c>
      <c r="BL24" s="258"/>
      <c r="BM24" s="258" t="s">
        <v>537</v>
      </c>
      <c r="BN24" s="258">
        <v>12</v>
      </c>
      <c r="BO24" s="258" t="s">
        <v>537</v>
      </c>
      <c r="BP24" s="349"/>
      <c r="BQ24" s="258"/>
      <c r="BR24" s="258"/>
      <c r="BS24" s="258"/>
      <c r="BT24" s="264"/>
      <c r="BU24" s="264"/>
      <c r="BV24" s="258"/>
      <c r="BW24" s="258" t="s">
        <v>543</v>
      </c>
      <c r="BX24" s="258"/>
      <c r="BY24" s="255" t="s">
        <v>882</v>
      </c>
      <c r="BZ24" s="264" t="s">
        <v>955</v>
      </c>
    </row>
    <row r="25" spans="1:108" customFormat="1" ht="13" customHeight="1" x14ac:dyDescent="0.15">
      <c r="A25" s="255">
        <v>11319</v>
      </c>
      <c r="B25" s="364">
        <v>43657</v>
      </c>
      <c r="C25" s="257" t="s">
        <v>533</v>
      </c>
      <c r="D25" s="255" t="s">
        <v>534</v>
      </c>
      <c r="E25" s="255"/>
      <c r="F25" s="255" t="s">
        <v>612</v>
      </c>
      <c r="G25" s="307">
        <v>43646</v>
      </c>
      <c r="H25" s="258" t="s">
        <v>536</v>
      </c>
      <c r="I25" s="258" t="s">
        <v>537</v>
      </c>
      <c r="J25" s="258"/>
      <c r="K25" s="255" t="s">
        <v>883</v>
      </c>
      <c r="L25" s="255" t="s">
        <v>667</v>
      </c>
      <c r="M25" s="259">
        <v>85</v>
      </c>
      <c r="N25" s="259">
        <v>33.754545454545458</v>
      </c>
      <c r="O25" s="48"/>
      <c r="P25" s="50"/>
      <c r="Q25" s="261"/>
      <c r="R25" s="260"/>
      <c r="S25" s="261"/>
      <c r="T25" s="255"/>
      <c r="U25" s="261"/>
      <c r="V25" s="261"/>
      <c r="W25" s="261"/>
      <c r="X25" s="260"/>
      <c r="Y25" s="259"/>
      <c r="Z25" s="259"/>
      <c r="AA25" s="259"/>
      <c r="AB25" s="259"/>
      <c r="AC25" s="259"/>
      <c r="AD25" s="259"/>
      <c r="AE25" s="259">
        <v>18</v>
      </c>
      <c r="AF25" s="260"/>
      <c r="AG25" s="255"/>
      <c r="AH25" s="259"/>
      <c r="AI25" s="255"/>
      <c r="AJ25" s="255"/>
      <c r="AK25" s="259"/>
      <c r="AL25" s="255"/>
      <c r="AM25" s="259"/>
      <c r="AN25" s="259"/>
      <c r="AO25" s="255" t="s">
        <v>613</v>
      </c>
      <c r="AP25" s="258" t="s">
        <v>537</v>
      </c>
      <c r="AQ25" s="258"/>
      <c r="AR25" s="258"/>
      <c r="AS25" s="262"/>
      <c r="AT25" s="258">
        <v>3</v>
      </c>
      <c r="AU25" s="262"/>
      <c r="AV25" s="258"/>
      <c r="AW25" s="262"/>
      <c r="AX25" s="258" t="s">
        <v>542</v>
      </c>
      <c r="AY25" s="258"/>
      <c r="AZ25" s="258">
        <v>0</v>
      </c>
      <c r="BA25" s="258">
        <v>0</v>
      </c>
      <c r="BB25" s="258">
        <v>0</v>
      </c>
      <c r="BC25" s="258">
        <v>0</v>
      </c>
      <c r="BD25" s="258">
        <v>0</v>
      </c>
      <c r="BE25" s="258">
        <v>0</v>
      </c>
      <c r="BF25" s="258">
        <v>0</v>
      </c>
      <c r="BG25" s="258">
        <v>0</v>
      </c>
      <c r="BH25" s="258">
        <v>0</v>
      </c>
      <c r="BI25" s="258">
        <v>0</v>
      </c>
      <c r="BJ25" s="258">
        <v>0</v>
      </c>
      <c r="BK25" s="258">
        <v>0</v>
      </c>
      <c r="BL25" s="258"/>
      <c r="BM25" s="258" t="s">
        <v>537</v>
      </c>
      <c r="BN25" s="258"/>
      <c r="BO25" s="258" t="s">
        <v>537</v>
      </c>
      <c r="BP25" s="349"/>
      <c r="BQ25" s="258"/>
      <c r="BR25" s="258"/>
      <c r="BS25" s="258"/>
      <c r="BT25" s="264"/>
      <c r="BU25" s="264"/>
      <c r="BV25" s="258"/>
      <c r="BW25" s="258" t="s">
        <v>543</v>
      </c>
      <c r="BX25" s="258"/>
      <c r="BY25" s="264"/>
      <c r="BZ25" t="s">
        <v>935</v>
      </c>
    </row>
    <row r="26" spans="1:108" customFormat="1" ht="13" customHeight="1" x14ac:dyDescent="0.15">
      <c r="A26" s="255">
        <v>13690</v>
      </c>
      <c r="B26" s="364">
        <v>43657</v>
      </c>
      <c r="C26" s="257" t="s">
        <v>533</v>
      </c>
      <c r="D26" s="255" t="s">
        <v>534</v>
      </c>
      <c r="E26" s="255"/>
      <c r="F26" s="255" t="s">
        <v>612</v>
      </c>
      <c r="G26" s="307">
        <v>43646</v>
      </c>
      <c r="H26" s="258" t="s">
        <v>536</v>
      </c>
      <c r="I26" s="258" t="s">
        <v>537</v>
      </c>
      <c r="J26" s="258"/>
      <c r="K26" s="255" t="s">
        <v>594</v>
      </c>
      <c r="L26" s="255" t="s">
        <v>884</v>
      </c>
      <c r="M26" s="259">
        <v>70.909090909090907</v>
      </c>
      <c r="N26" s="259">
        <v>38.636363636363633</v>
      </c>
      <c r="O26" s="48"/>
      <c r="P26" s="50"/>
      <c r="Q26" s="261"/>
      <c r="R26" s="260"/>
      <c r="S26" s="261"/>
      <c r="T26" s="255"/>
      <c r="U26" s="261"/>
      <c r="V26" s="261"/>
      <c r="W26" s="261"/>
      <c r="X26" s="255"/>
      <c r="Y26" s="259"/>
      <c r="Z26" s="259"/>
      <c r="AA26" s="259"/>
      <c r="AB26" s="259"/>
      <c r="AC26" s="259"/>
      <c r="AD26" s="259"/>
      <c r="AE26" s="259">
        <v>31.818181818181817</v>
      </c>
      <c r="AF26" s="260"/>
      <c r="AG26" s="255"/>
      <c r="AH26" s="259"/>
      <c r="AI26" s="255"/>
      <c r="AJ26" s="255"/>
      <c r="AK26" s="261"/>
      <c r="AL26" s="255"/>
      <c r="AM26" s="259"/>
      <c r="AN26" s="259"/>
      <c r="AO26" s="255" t="s">
        <v>613</v>
      </c>
      <c r="AP26" s="258" t="s">
        <v>537</v>
      </c>
      <c r="AQ26" s="258"/>
      <c r="AR26" s="258"/>
      <c r="AS26" s="262"/>
      <c r="AT26" s="258">
        <v>9.5</v>
      </c>
      <c r="AU26" s="262">
        <v>910</v>
      </c>
      <c r="AV26" s="258"/>
      <c r="AW26" s="262">
        <v>6.5</v>
      </c>
      <c r="AX26" s="258" t="s">
        <v>542</v>
      </c>
      <c r="AY26" s="258"/>
      <c r="AZ26" s="258">
        <v>0</v>
      </c>
      <c r="BA26" s="258">
        <v>0</v>
      </c>
      <c r="BB26" s="258">
        <v>0</v>
      </c>
      <c r="BC26" s="258">
        <v>0</v>
      </c>
      <c r="BD26" s="258">
        <v>0</v>
      </c>
      <c r="BE26" s="258">
        <v>0</v>
      </c>
      <c r="BF26" s="258">
        <v>0</v>
      </c>
      <c r="BG26" s="258">
        <v>0</v>
      </c>
      <c r="BH26" s="258">
        <v>0</v>
      </c>
      <c r="BI26" s="258">
        <v>0</v>
      </c>
      <c r="BJ26" s="258">
        <v>0</v>
      </c>
      <c r="BK26" s="258">
        <v>0</v>
      </c>
      <c r="BL26" s="258"/>
      <c r="BM26" s="258" t="s">
        <v>537</v>
      </c>
      <c r="BN26" s="258"/>
      <c r="BO26" s="258" t="s">
        <v>537</v>
      </c>
      <c r="BP26" s="263">
        <v>89.945454545454538</v>
      </c>
      <c r="BQ26" s="258"/>
      <c r="BR26" s="258"/>
      <c r="BS26" s="320"/>
      <c r="BT26" s="144"/>
      <c r="BU26" s="264"/>
      <c r="BV26" s="258"/>
      <c r="BW26" s="258" t="s">
        <v>543</v>
      </c>
      <c r="BX26" s="258"/>
      <c r="BY26" s="264"/>
      <c r="BZ26" s="312" t="s">
        <v>936</v>
      </c>
    </row>
    <row r="27" spans="1:108" customFormat="1" ht="13" customHeight="1" x14ac:dyDescent="0.15">
      <c r="A27" s="255">
        <v>3062</v>
      </c>
      <c r="B27" s="364">
        <v>43657</v>
      </c>
      <c r="C27" s="257" t="s">
        <v>533</v>
      </c>
      <c r="D27" s="255" t="s">
        <v>534</v>
      </c>
      <c r="E27" s="255"/>
      <c r="F27" s="255" t="s">
        <v>612</v>
      </c>
      <c r="G27" s="307">
        <v>43646</v>
      </c>
      <c r="H27" s="258" t="s">
        <v>536</v>
      </c>
      <c r="I27" s="258" t="s">
        <v>508</v>
      </c>
      <c r="J27" s="258"/>
      <c r="K27" s="255" t="s">
        <v>885</v>
      </c>
      <c r="L27" s="255" t="s">
        <v>830</v>
      </c>
      <c r="M27" s="259">
        <v>109.79090909090908</v>
      </c>
      <c r="N27" s="259">
        <v>41.627272727272725</v>
      </c>
      <c r="O27" s="48" t="s">
        <v>648</v>
      </c>
      <c r="P27" s="50">
        <v>1000</v>
      </c>
      <c r="Q27" s="259">
        <v>43.709090909090904</v>
      </c>
      <c r="R27" s="260"/>
      <c r="S27" s="261"/>
      <c r="T27" s="260"/>
      <c r="U27" s="261"/>
      <c r="V27" s="261"/>
      <c r="W27" s="261"/>
      <c r="X27" s="255"/>
      <c r="Y27" s="259"/>
      <c r="Z27" s="259"/>
      <c r="AA27" s="259"/>
      <c r="AB27" s="259"/>
      <c r="AC27" s="259"/>
      <c r="AD27" s="259"/>
      <c r="AE27" s="259">
        <v>20.718181818181815</v>
      </c>
      <c r="AF27" s="260"/>
      <c r="AG27" s="255"/>
      <c r="AH27" s="259"/>
      <c r="AI27" s="255"/>
      <c r="AJ27" s="255"/>
      <c r="AK27" s="259"/>
      <c r="AL27" s="255"/>
      <c r="AM27" s="259"/>
      <c r="AN27" s="259"/>
      <c r="AO27" s="255" t="s">
        <v>613</v>
      </c>
      <c r="AP27" s="258" t="s">
        <v>537</v>
      </c>
      <c r="AQ27" s="258"/>
      <c r="AR27" s="258"/>
      <c r="AS27" s="262">
        <v>10</v>
      </c>
      <c r="AT27" s="258">
        <v>8</v>
      </c>
      <c r="AU27" s="262"/>
      <c r="AV27" s="258"/>
      <c r="AW27" s="262"/>
      <c r="AX27" s="258" t="s">
        <v>537</v>
      </c>
      <c r="AY27" s="258"/>
      <c r="AZ27" s="258">
        <v>0</v>
      </c>
      <c r="BA27" s="258">
        <v>0</v>
      </c>
      <c r="BB27" s="258">
        <v>0</v>
      </c>
      <c r="BC27" s="258">
        <v>0</v>
      </c>
      <c r="BD27" s="258">
        <v>0</v>
      </c>
      <c r="BE27" s="258">
        <v>0</v>
      </c>
      <c r="BF27" s="258">
        <v>0</v>
      </c>
      <c r="BG27" s="258">
        <v>0</v>
      </c>
      <c r="BH27" s="258">
        <v>0</v>
      </c>
      <c r="BI27" s="258">
        <v>0</v>
      </c>
      <c r="BJ27" s="258">
        <v>0</v>
      </c>
      <c r="BK27" s="258">
        <v>0</v>
      </c>
      <c r="BL27" s="258"/>
      <c r="BM27" s="258" t="s">
        <v>537</v>
      </c>
      <c r="BN27" s="258"/>
      <c r="BO27" s="258" t="s">
        <v>537</v>
      </c>
      <c r="BP27" s="349"/>
      <c r="BQ27" s="258"/>
      <c r="BR27" s="258"/>
      <c r="BS27" s="258"/>
      <c r="BT27" s="255"/>
      <c r="BU27" s="255"/>
      <c r="BV27" s="258"/>
      <c r="BW27" s="258" t="s">
        <v>543</v>
      </c>
      <c r="BX27" s="258"/>
      <c r="BY27" s="255"/>
      <c r="BZ27" s="323" t="s">
        <v>953</v>
      </c>
    </row>
    <row r="28" spans="1:108" customFormat="1" ht="13" customHeight="1" x14ac:dyDescent="0.15">
      <c r="A28" s="255">
        <v>15305</v>
      </c>
      <c r="B28" s="364">
        <v>43657</v>
      </c>
      <c r="C28" s="257" t="s">
        <v>533</v>
      </c>
      <c r="D28" s="255" t="s">
        <v>534</v>
      </c>
      <c r="E28" s="255"/>
      <c r="F28" s="255" t="s">
        <v>612</v>
      </c>
      <c r="G28" s="307">
        <v>43646</v>
      </c>
      <c r="H28" s="258" t="s">
        <v>536</v>
      </c>
      <c r="I28" s="258" t="s">
        <v>537</v>
      </c>
      <c r="J28" s="258"/>
      <c r="K28" s="255" t="s">
        <v>600</v>
      </c>
      <c r="L28" s="255" t="s">
        <v>814</v>
      </c>
      <c r="M28" s="259">
        <v>133.66363636363636</v>
      </c>
      <c r="N28" s="259">
        <v>37.418181818181814</v>
      </c>
      <c r="O28" s="48"/>
      <c r="P28" s="50"/>
      <c r="Q28" s="261"/>
      <c r="R28" s="260"/>
      <c r="S28" s="261"/>
      <c r="T28" s="260"/>
      <c r="U28" s="261"/>
      <c r="V28" s="261"/>
      <c r="W28" s="261"/>
      <c r="X28" s="255"/>
      <c r="Y28" s="259"/>
      <c r="Z28" s="259"/>
      <c r="AA28" s="259"/>
      <c r="AB28" s="259"/>
      <c r="AC28" s="259"/>
      <c r="AD28" s="261"/>
      <c r="AE28" s="259">
        <v>24.981818181818181</v>
      </c>
      <c r="AF28" s="260"/>
      <c r="AG28" s="255"/>
      <c r="AH28" s="259"/>
      <c r="AI28" s="255"/>
      <c r="AJ28" s="255"/>
      <c r="AK28" s="259"/>
      <c r="AL28" s="255"/>
      <c r="AM28" s="259"/>
      <c r="AN28" s="259"/>
      <c r="AO28" s="255" t="s">
        <v>613</v>
      </c>
      <c r="AP28" s="258" t="s">
        <v>537</v>
      </c>
      <c r="AQ28" s="258"/>
      <c r="AR28" s="258"/>
      <c r="AS28" s="262"/>
      <c r="AT28" s="258">
        <v>5</v>
      </c>
      <c r="AU28" s="262"/>
      <c r="AV28" s="258"/>
      <c r="AW28" s="262"/>
      <c r="AX28" s="258" t="s">
        <v>542</v>
      </c>
      <c r="AY28" s="258"/>
      <c r="AZ28" s="258">
        <v>0</v>
      </c>
      <c r="BA28" s="258">
        <v>0</v>
      </c>
      <c r="BB28" s="258">
        <v>0</v>
      </c>
      <c r="BC28" s="258">
        <v>0</v>
      </c>
      <c r="BD28" s="258">
        <v>0</v>
      </c>
      <c r="BE28" s="258">
        <v>0</v>
      </c>
      <c r="BF28" s="258">
        <v>0</v>
      </c>
      <c r="BG28" s="258">
        <v>0</v>
      </c>
      <c r="BH28" s="258">
        <v>0</v>
      </c>
      <c r="BI28" s="258">
        <v>0</v>
      </c>
      <c r="BJ28" s="258">
        <v>0</v>
      </c>
      <c r="BK28" s="258">
        <v>0</v>
      </c>
      <c r="BL28" s="258"/>
      <c r="BM28" s="258" t="s">
        <v>537</v>
      </c>
      <c r="BN28" s="258"/>
      <c r="BO28" s="258" t="s">
        <v>537</v>
      </c>
      <c r="BP28" s="349"/>
      <c r="BQ28" s="258"/>
      <c r="BR28" s="258"/>
      <c r="BS28" s="258"/>
      <c r="BT28" s="264"/>
      <c r="BU28" s="264"/>
      <c r="BV28" s="258"/>
      <c r="BW28" s="258" t="s">
        <v>543</v>
      </c>
      <c r="BX28" s="258">
        <v>1</v>
      </c>
      <c r="BY28" s="255"/>
      <c r="BZ28" s="312" t="s">
        <v>937</v>
      </c>
    </row>
    <row r="29" spans="1:108" customFormat="1" ht="13" customHeight="1" x14ac:dyDescent="0.15">
      <c r="A29" s="255">
        <v>13470</v>
      </c>
      <c r="B29" s="364">
        <v>43657</v>
      </c>
      <c r="C29" s="257" t="s">
        <v>533</v>
      </c>
      <c r="D29" s="255" t="s">
        <v>534</v>
      </c>
      <c r="E29" s="255"/>
      <c r="F29" s="255" t="s">
        <v>612</v>
      </c>
      <c r="G29" s="307">
        <v>43646</v>
      </c>
      <c r="H29" s="258" t="s">
        <v>507</v>
      </c>
      <c r="I29" s="258" t="s">
        <v>537</v>
      </c>
      <c r="J29" s="258"/>
      <c r="K29" s="255" t="s">
        <v>608</v>
      </c>
      <c r="L29" s="255" t="s">
        <v>887</v>
      </c>
      <c r="M29" s="259">
        <v>94.981818181818184</v>
      </c>
      <c r="N29" s="259">
        <v>46.218181818181819</v>
      </c>
      <c r="O29" s="365"/>
      <c r="P29" s="366"/>
      <c r="Q29" s="367"/>
      <c r="R29" s="260"/>
      <c r="S29" s="261"/>
      <c r="T29" s="260"/>
      <c r="U29" s="261"/>
      <c r="V29" s="261"/>
      <c r="W29" s="261"/>
      <c r="X29" s="255"/>
      <c r="Y29" s="259"/>
      <c r="Z29" s="259"/>
      <c r="AA29" s="259"/>
      <c r="AB29" s="259"/>
      <c r="AC29" s="259"/>
      <c r="AD29" s="259"/>
      <c r="AE29" s="259">
        <v>33.963636363636361</v>
      </c>
      <c r="AF29" s="260"/>
      <c r="AG29" s="255"/>
      <c r="AH29" s="259"/>
      <c r="AI29" s="255"/>
      <c r="AJ29" s="255"/>
      <c r="AK29" s="259"/>
      <c r="AL29" s="255"/>
      <c r="AM29" s="259"/>
      <c r="AN29" s="259"/>
      <c r="AO29" s="255" t="s">
        <v>697</v>
      </c>
      <c r="AP29" s="258" t="s">
        <v>537</v>
      </c>
      <c r="AQ29" s="258"/>
      <c r="AR29" s="258"/>
      <c r="AS29" s="262"/>
      <c r="AT29" s="258">
        <v>0</v>
      </c>
      <c r="AU29" s="262"/>
      <c r="AV29" s="258"/>
      <c r="AW29" s="262"/>
      <c r="AX29" s="258" t="s">
        <v>542</v>
      </c>
      <c r="AY29" s="258"/>
      <c r="AZ29" s="258">
        <v>0</v>
      </c>
      <c r="BA29" s="258">
        <v>0</v>
      </c>
      <c r="BB29" s="258">
        <v>0</v>
      </c>
      <c r="BC29" s="258">
        <v>0</v>
      </c>
      <c r="BD29" s="258">
        <v>0</v>
      </c>
      <c r="BE29" s="258">
        <v>0</v>
      </c>
      <c r="BF29" s="258">
        <v>0</v>
      </c>
      <c r="BG29" s="258">
        <v>0</v>
      </c>
      <c r="BH29" s="258">
        <v>0</v>
      </c>
      <c r="BI29" s="258">
        <v>0</v>
      </c>
      <c r="BJ29" s="258">
        <v>0</v>
      </c>
      <c r="BK29" s="258">
        <v>0</v>
      </c>
      <c r="BL29" s="258"/>
      <c r="BM29" s="258" t="s">
        <v>537</v>
      </c>
      <c r="BN29" s="258"/>
      <c r="BO29" s="258" t="s">
        <v>537</v>
      </c>
      <c r="BP29" s="263">
        <v>207.27272727272725</v>
      </c>
      <c r="BQ29" s="258"/>
      <c r="BR29" s="258"/>
      <c r="BS29" s="258"/>
      <c r="BT29" s="264"/>
      <c r="BU29" s="255"/>
      <c r="BV29" s="258"/>
      <c r="BW29" s="258" t="s">
        <v>543</v>
      </c>
      <c r="BX29" s="258">
        <v>1</v>
      </c>
      <c r="BY29" s="264" t="s">
        <v>819</v>
      </c>
      <c r="BZ29" s="342" t="s">
        <v>938</v>
      </c>
    </row>
    <row r="30" spans="1:108" customFormat="1" ht="13" customHeight="1" x14ac:dyDescent="0.15">
      <c r="A30" s="255">
        <v>1896</v>
      </c>
      <c r="B30" s="364">
        <v>43657</v>
      </c>
      <c r="C30" s="257" t="s">
        <v>533</v>
      </c>
      <c r="D30" s="255" t="s">
        <v>534</v>
      </c>
      <c r="E30" s="255"/>
      <c r="F30" s="255" t="s">
        <v>612</v>
      </c>
      <c r="G30" s="256">
        <v>43652</v>
      </c>
      <c r="H30" s="258" t="s">
        <v>536</v>
      </c>
      <c r="I30" s="258" t="s">
        <v>537</v>
      </c>
      <c r="J30" s="258"/>
      <c r="K30" s="255" t="s">
        <v>792</v>
      </c>
      <c r="L30" s="255" t="s">
        <v>687</v>
      </c>
      <c r="M30" s="259">
        <v>87.999999999999986</v>
      </c>
      <c r="N30" s="259">
        <v>32.699999999999996</v>
      </c>
      <c r="O30" s="48" t="s">
        <v>648</v>
      </c>
      <c r="P30" s="50">
        <v>1824.9900000000002</v>
      </c>
      <c r="Q30" s="259">
        <v>34.799999999999997</v>
      </c>
      <c r="R30" s="260"/>
      <c r="S30" s="261"/>
      <c r="T30" s="255"/>
      <c r="U30" s="261"/>
      <c r="V30" s="261"/>
      <c r="W30" s="261"/>
      <c r="X30" s="260"/>
      <c r="Y30" s="259"/>
      <c r="Z30" s="259"/>
      <c r="AA30" s="259"/>
      <c r="AB30" s="259"/>
      <c r="AC30" s="259"/>
      <c r="AD30" s="259"/>
      <c r="AE30" s="259">
        <v>19.499999999999996</v>
      </c>
      <c r="AF30" s="260"/>
      <c r="AG30" s="255"/>
      <c r="AH30" s="259"/>
      <c r="AI30" s="255"/>
      <c r="AJ30" s="255"/>
      <c r="AK30" s="259"/>
      <c r="AL30" s="255"/>
      <c r="AM30" s="259"/>
      <c r="AN30" s="259"/>
      <c r="AO30" s="255" t="s">
        <v>613</v>
      </c>
      <c r="AP30" s="258" t="s">
        <v>537</v>
      </c>
      <c r="AQ30" s="258"/>
      <c r="AR30" s="258"/>
      <c r="AS30" s="262"/>
      <c r="AT30" s="258">
        <v>1</v>
      </c>
      <c r="AU30" s="262"/>
      <c r="AV30" s="258"/>
      <c r="AW30" s="262"/>
      <c r="AX30" s="258" t="s">
        <v>547</v>
      </c>
      <c r="AY30" s="258"/>
      <c r="AZ30" s="258">
        <v>0</v>
      </c>
      <c r="BA30" s="258">
        <v>0</v>
      </c>
      <c r="BB30" s="258">
        <v>2</v>
      </c>
      <c r="BC30" s="258">
        <v>0</v>
      </c>
      <c r="BD30" s="258">
        <v>0</v>
      </c>
      <c r="BE30" s="258">
        <v>0</v>
      </c>
      <c r="BF30" s="258">
        <v>0</v>
      </c>
      <c r="BG30" s="258">
        <v>0</v>
      </c>
      <c r="BH30" s="258">
        <v>0</v>
      </c>
      <c r="BI30" s="258">
        <v>0</v>
      </c>
      <c r="BJ30" s="258">
        <v>0</v>
      </c>
      <c r="BK30" s="258">
        <v>0</v>
      </c>
      <c r="BL30" s="258"/>
      <c r="BM30" s="258" t="s">
        <v>537</v>
      </c>
      <c r="BN30" s="258"/>
      <c r="BO30" s="258" t="s">
        <v>537</v>
      </c>
      <c r="BP30" s="349"/>
      <c r="BQ30" s="258"/>
      <c r="BR30" s="258"/>
      <c r="BS30" s="258"/>
      <c r="BT30" s="255"/>
      <c r="BU30" s="264"/>
      <c r="BV30" s="258"/>
      <c r="BW30" s="258" t="s">
        <v>543</v>
      </c>
      <c r="BX30" s="258"/>
      <c r="BY30" s="264"/>
      <c r="BZ30" s="322" t="s">
        <v>939</v>
      </c>
    </row>
    <row r="31" spans="1:108" customFormat="1" ht="13" customHeight="1" x14ac:dyDescent="0.15">
      <c r="A31" s="255">
        <v>575</v>
      </c>
      <c r="B31" s="364">
        <v>43657</v>
      </c>
      <c r="C31" s="257" t="s">
        <v>533</v>
      </c>
      <c r="D31" s="255" t="s">
        <v>534</v>
      </c>
      <c r="E31" s="255"/>
      <c r="F31" s="255" t="s">
        <v>612</v>
      </c>
      <c r="G31" s="307">
        <v>43646</v>
      </c>
      <c r="H31" s="258" t="s">
        <v>536</v>
      </c>
      <c r="I31" s="258" t="s">
        <v>537</v>
      </c>
      <c r="J31" s="258"/>
      <c r="K31" s="255" t="s">
        <v>688</v>
      </c>
      <c r="L31" s="255" t="s">
        <v>890</v>
      </c>
      <c r="M31" s="259">
        <v>133.66363636363636</v>
      </c>
      <c r="N31" s="259">
        <v>37.418181818181814</v>
      </c>
      <c r="O31" s="264"/>
      <c r="P31" s="260"/>
      <c r="Q31" s="261"/>
      <c r="R31" s="260"/>
      <c r="S31" s="261"/>
      <c r="T31" s="260"/>
      <c r="U31" s="261"/>
      <c r="V31" s="261"/>
      <c r="W31" s="261"/>
      <c r="X31" s="255"/>
      <c r="Y31" s="259"/>
      <c r="Z31" s="259"/>
      <c r="AA31" s="259"/>
      <c r="AB31" s="259"/>
      <c r="AC31" s="259"/>
      <c r="AD31" s="261"/>
      <c r="AE31" s="259">
        <v>24.981818181818181</v>
      </c>
      <c r="AF31" s="260"/>
      <c r="AG31" s="255"/>
      <c r="AH31" s="259"/>
      <c r="AI31" s="255"/>
      <c r="AJ31" s="255"/>
      <c r="AK31" s="259"/>
      <c r="AL31" s="255"/>
      <c r="AM31" s="259"/>
      <c r="AN31" s="259"/>
      <c r="AO31" s="255" t="s">
        <v>613</v>
      </c>
      <c r="AP31" s="258" t="s">
        <v>537</v>
      </c>
      <c r="AQ31" s="258"/>
      <c r="AR31" s="258"/>
      <c r="AS31" s="262"/>
      <c r="AT31" s="258">
        <v>5</v>
      </c>
      <c r="AU31" s="262"/>
      <c r="AV31" s="258"/>
      <c r="AW31" s="262"/>
      <c r="AX31" s="258" t="s">
        <v>537</v>
      </c>
      <c r="AY31" s="258"/>
      <c r="AZ31" s="258">
        <v>0</v>
      </c>
      <c r="BA31" s="258">
        <v>0</v>
      </c>
      <c r="BB31" s="258">
        <v>0</v>
      </c>
      <c r="BC31" s="258">
        <v>0</v>
      </c>
      <c r="BD31" s="258">
        <v>0</v>
      </c>
      <c r="BE31" s="258">
        <v>0</v>
      </c>
      <c r="BF31" s="258">
        <v>0</v>
      </c>
      <c r="BG31" s="258">
        <v>0</v>
      </c>
      <c r="BH31" s="258">
        <v>0</v>
      </c>
      <c r="BI31" s="258">
        <v>0</v>
      </c>
      <c r="BJ31" s="258">
        <v>0</v>
      </c>
      <c r="BK31" s="258">
        <v>0</v>
      </c>
      <c r="BL31" s="258"/>
      <c r="BM31" s="258" t="s">
        <v>537</v>
      </c>
      <c r="BN31" s="258"/>
      <c r="BO31" s="258" t="s">
        <v>537</v>
      </c>
      <c r="BP31" s="349"/>
      <c r="BQ31" s="258"/>
      <c r="BR31" s="258"/>
      <c r="BS31" s="258"/>
      <c r="BT31" s="264"/>
      <c r="BU31" s="264"/>
      <c r="BV31" s="258"/>
      <c r="BW31" s="258" t="s">
        <v>543</v>
      </c>
      <c r="BX31" s="258">
        <v>1</v>
      </c>
      <c r="BY31" s="255" t="s">
        <v>891</v>
      </c>
      <c r="BZ31" s="312" t="s">
        <v>940</v>
      </c>
    </row>
    <row r="32" spans="1:108" customFormat="1" ht="13" customHeight="1" x14ac:dyDescent="0.15">
      <c r="A32" s="255" t="s">
        <v>919</v>
      </c>
      <c r="B32" s="364">
        <v>43657</v>
      </c>
      <c r="C32" s="257" t="s">
        <v>533</v>
      </c>
      <c r="D32" s="255" t="s">
        <v>534</v>
      </c>
      <c r="E32" s="255"/>
      <c r="F32" s="255" t="s">
        <v>612</v>
      </c>
      <c r="G32" s="256">
        <v>43646</v>
      </c>
      <c r="H32" s="355" t="s">
        <v>536</v>
      </c>
      <c r="I32" s="355" t="s">
        <v>537</v>
      </c>
      <c r="J32" s="355"/>
      <c r="K32" s="311" t="s">
        <v>920</v>
      </c>
      <c r="L32" s="255" t="s">
        <v>921</v>
      </c>
      <c r="M32" s="259">
        <v>157.1</v>
      </c>
      <c r="N32" s="259">
        <v>39.6</v>
      </c>
      <c r="O32" s="264"/>
      <c r="P32" s="260"/>
      <c r="Q32" s="261"/>
      <c r="R32" s="260"/>
      <c r="S32" s="261"/>
      <c r="T32" s="260"/>
      <c r="U32" s="261"/>
      <c r="V32" s="261"/>
      <c r="W32" s="261"/>
      <c r="X32" s="255"/>
      <c r="Y32" s="259"/>
      <c r="Z32" s="259"/>
      <c r="AA32" s="259"/>
      <c r="AB32" s="259"/>
      <c r="AC32" s="259"/>
      <c r="AD32" s="259"/>
      <c r="AE32" s="259">
        <v>16</v>
      </c>
      <c r="AF32" s="260"/>
      <c r="AG32" s="255"/>
      <c r="AH32" s="259"/>
      <c r="AI32" s="255"/>
      <c r="AJ32" s="255"/>
      <c r="AK32" s="259"/>
      <c r="AL32" s="255"/>
      <c r="AM32" s="259"/>
      <c r="AN32" s="259"/>
      <c r="AO32" s="255" t="s">
        <v>613</v>
      </c>
      <c r="AP32" s="355" t="s">
        <v>537</v>
      </c>
      <c r="AQ32" s="355"/>
      <c r="AR32" s="355"/>
      <c r="AS32" s="262"/>
      <c r="AT32" s="258">
        <v>3.5</v>
      </c>
      <c r="AU32" s="354"/>
      <c r="AV32" s="355"/>
      <c r="AW32" s="354"/>
      <c r="AX32" s="348" t="s">
        <v>542</v>
      </c>
      <c r="AY32" s="258"/>
      <c r="AZ32" s="355">
        <v>0</v>
      </c>
      <c r="BA32" s="355">
        <v>0</v>
      </c>
      <c r="BB32" s="355">
        <v>0</v>
      </c>
      <c r="BC32" s="355">
        <v>0</v>
      </c>
      <c r="BD32" s="355">
        <v>0</v>
      </c>
      <c r="BE32" s="355">
        <v>0</v>
      </c>
      <c r="BF32" s="355">
        <v>0</v>
      </c>
      <c r="BG32" s="355">
        <v>0</v>
      </c>
      <c r="BH32" s="355">
        <v>0</v>
      </c>
      <c r="BI32" s="355">
        <v>0</v>
      </c>
      <c r="BJ32" s="355">
        <v>0</v>
      </c>
      <c r="BK32" s="355">
        <v>0</v>
      </c>
      <c r="BL32" s="355"/>
      <c r="BM32" s="355" t="s">
        <v>537</v>
      </c>
      <c r="BN32" s="258"/>
      <c r="BO32" s="355" t="s">
        <v>537</v>
      </c>
      <c r="BP32" s="357"/>
      <c r="BQ32" s="355"/>
      <c r="BR32" s="355"/>
      <c r="BS32" s="355"/>
      <c r="BT32" s="356"/>
      <c r="BU32" s="356"/>
      <c r="BV32" s="355"/>
      <c r="BW32" s="355" t="s">
        <v>543</v>
      </c>
      <c r="BX32" s="355"/>
      <c r="BY32" s="255" t="s">
        <v>922</v>
      </c>
      <c r="BZ32" s="312" t="s">
        <v>941</v>
      </c>
    </row>
    <row r="33" spans="1:78" customFormat="1" ht="13" customHeight="1" x14ac:dyDescent="0.15">
      <c r="A33" s="255" t="s">
        <v>919</v>
      </c>
      <c r="B33" s="364">
        <v>43657</v>
      </c>
      <c r="C33" s="257" t="s">
        <v>533</v>
      </c>
      <c r="D33" s="255" t="s">
        <v>534</v>
      </c>
      <c r="E33" s="255"/>
      <c r="F33" s="255" t="s">
        <v>612</v>
      </c>
      <c r="G33" s="256">
        <v>43651</v>
      </c>
      <c r="H33" s="355" t="s">
        <v>536</v>
      </c>
      <c r="I33" s="355" t="s">
        <v>508</v>
      </c>
      <c r="J33" s="355"/>
      <c r="K33" s="311" t="s">
        <v>924</v>
      </c>
      <c r="L33" s="255" t="s">
        <v>949</v>
      </c>
      <c r="M33" s="259">
        <v>115.79999999999998</v>
      </c>
      <c r="N33" s="259">
        <v>37.318181818181813</v>
      </c>
      <c r="O33" s="264"/>
      <c r="P33" s="260"/>
      <c r="Q33" s="261"/>
      <c r="R33" s="260"/>
      <c r="S33" s="261"/>
      <c r="T33" s="260"/>
      <c r="U33" s="261"/>
      <c r="V33" s="261"/>
      <c r="W33" s="261"/>
      <c r="X33" s="255"/>
      <c r="Y33" s="259"/>
      <c r="Z33" s="259"/>
      <c r="AA33" s="259"/>
      <c r="AB33" s="259"/>
      <c r="AC33" s="259"/>
      <c r="AD33" s="259"/>
      <c r="AE33" s="259">
        <v>21.84</v>
      </c>
      <c r="AF33" s="260"/>
      <c r="AG33" s="255"/>
      <c r="AH33" s="259"/>
      <c r="AI33" s="255"/>
      <c r="AJ33" s="255"/>
      <c r="AK33" s="259"/>
      <c r="AL33" s="255"/>
      <c r="AM33" s="259"/>
      <c r="AN33" s="259"/>
      <c r="AO33" s="255" t="s">
        <v>613</v>
      </c>
      <c r="AP33" s="355" t="s">
        <v>537</v>
      </c>
      <c r="AQ33" s="355"/>
      <c r="AR33" s="355"/>
      <c r="AS33" s="262"/>
      <c r="AT33" s="258">
        <v>14</v>
      </c>
      <c r="AU33" s="354"/>
      <c r="AV33" s="355"/>
      <c r="AW33" s="354"/>
      <c r="AX33" s="348" t="s">
        <v>542</v>
      </c>
      <c r="AY33" s="258"/>
      <c r="AZ33" s="355">
        <v>0</v>
      </c>
      <c r="BA33" s="355">
        <v>0</v>
      </c>
      <c r="BB33" s="355">
        <v>0</v>
      </c>
      <c r="BC33" s="355">
        <v>0</v>
      </c>
      <c r="BD33" s="355">
        <v>0</v>
      </c>
      <c r="BE33" s="355">
        <v>0</v>
      </c>
      <c r="BF33" s="355">
        <v>0</v>
      </c>
      <c r="BG33" s="355">
        <v>0</v>
      </c>
      <c r="BH33" s="355">
        <v>0</v>
      </c>
      <c r="BI33" s="355">
        <v>0</v>
      </c>
      <c r="BJ33" s="355">
        <v>0</v>
      </c>
      <c r="BK33" s="355">
        <v>0</v>
      </c>
      <c r="BL33" s="355"/>
      <c r="BM33" s="355" t="s">
        <v>537</v>
      </c>
      <c r="BN33" s="258"/>
      <c r="BO33" s="355" t="s">
        <v>537</v>
      </c>
      <c r="BP33" s="357"/>
      <c r="BQ33" s="355"/>
      <c r="BR33" s="355"/>
      <c r="BS33" s="355"/>
      <c r="BT33" s="368">
        <v>100</v>
      </c>
      <c r="BU33" s="356" t="s">
        <v>925</v>
      </c>
      <c r="BV33" s="355">
        <v>100</v>
      </c>
      <c r="BW33" s="355" t="s">
        <v>543</v>
      </c>
      <c r="BX33" s="355"/>
      <c r="BY33" s="255" t="s">
        <v>926</v>
      </c>
      <c r="BZ33" s="312" t="s">
        <v>951</v>
      </c>
    </row>
    <row r="34" spans="1:78" customFormat="1" ht="13" customHeight="1" x14ac:dyDescent="0.15">
      <c r="A34" s="255" t="s">
        <v>919</v>
      </c>
      <c r="B34" s="364">
        <v>43657</v>
      </c>
      <c r="C34" s="257" t="s">
        <v>533</v>
      </c>
      <c r="D34" s="255" t="s">
        <v>534</v>
      </c>
      <c r="E34" s="255"/>
      <c r="F34" s="255" t="s">
        <v>612</v>
      </c>
      <c r="G34" s="256">
        <v>43655</v>
      </c>
      <c r="H34" s="355" t="s">
        <v>536</v>
      </c>
      <c r="I34" s="355" t="s">
        <v>537</v>
      </c>
      <c r="J34" s="355"/>
      <c r="K34" s="311" t="s">
        <v>927</v>
      </c>
      <c r="L34" s="255" t="s">
        <v>928</v>
      </c>
      <c r="M34" s="259">
        <v>105.99999999999999</v>
      </c>
      <c r="N34" s="259">
        <v>42</v>
      </c>
      <c r="O34" s="264"/>
      <c r="P34" s="260"/>
      <c r="Q34" s="261"/>
      <c r="R34" s="260"/>
      <c r="S34" s="261"/>
      <c r="T34" s="260"/>
      <c r="U34" s="261"/>
      <c r="V34" s="261"/>
      <c r="W34" s="261"/>
      <c r="X34" s="255"/>
      <c r="Y34" s="259"/>
      <c r="Z34" s="259"/>
      <c r="AA34" s="259"/>
      <c r="AB34" s="259"/>
      <c r="AC34" s="259"/>
      <c r="AD34" s="259"/>
      <c r="AE34" s="259">
        <v>20.9</v>
      </c>
      <c r="AF34" s="260"/>
      <c r="AG34" s="255"/>
      <c r="AH34" s="259"/>
      <c r="AI34" s="255"/>
      <c r="AJ34" s="255"/>
      <c r="AK34" s="259"/>
      <c r="AL34" s="255"/>
      <c r="AM34" s="259"/>
      <c r="AN34" s="259"/>
      <c r="AO34" s="255" t="s">
        <v>613</v>
      </c>
      <c r="AP34" s="355" t="s">
        <v>537</v>
      </c>
      <c r="AQ34" s="355"/>
      <c r="AR34" s="355"/>
      <c r="AS34" s="262"/>
      <c r="AT34" s="258">
        <v>5</v>
      </c>
      <c r="AU34" s="354"/>
      <c r="AV34" s="355"/>
      <c r="AW34" s="354"/>
      <c r="AX34" s="348" t="s">
        <v>542</v>
      </c>
      <c r="AY34" s="258"/>
      <c r="AZ34" s="355">
        <v>0</v>
      </c>
      <c r="BA34" s="355">
        <v>0</v>
      </c>
      <c r="BB34" s="355">
        <v>0</v>
      </c>
      <c r="BC34" s="355">
        <v>0</v>
      </c>
      <c r="BD34" s="355">
        <v>0</v>
      </c>
      <c r="BE34" s="355">
        <v>0</v>
      </c>
      <c r="BF34" s="355">
        <v>0</v>
      </c>
      <c r="BG34" s="355">
        <v>0</v>
      </c>
      <c r="BH34" s="355">
        <v>0</v>
      </c>
      <c r="BI34" s="355">
        <v>0</v>
      </c>
      <c r="BJ34" s="355">
        <v>0</v>
      </c>
      <c r="BK34" s="355">
        <v>0</v>
      </c>
      <c r="BL34" s="355"/>
      <c r="BM34" s="355" t="s">
        <v>537</v>
      </c>
      <c r="BN34" s="258"/>
      <c r="BO34" s="355" t="s">
        <v>537</v>
      </c>
      <c r="BP34" s="357"/>
      <c r="BQ34" s="355"/>
      <c r="BR34" s="355"/>
      <c r="BS34" s="355"/>
      <c r="BT34" s="368"/>
      <c r="BU34" s="356"/>
      <c r="BV34" s="355"/>
      <c r="BW34" s="355" t="s">
        <v>543</v>
      </c>
      <c r="BX34" s="355">
        <v>1</v>
      </c>
      <c r="BY34" s="255"/>
      <c r="BZ34" s="312" t="s">
        <v>942</v>
      </c>
    </row>
    <row r="35" spans="1:78" customFormat="1" ht="13" customHeight="1" x14ac:dyDescent="0.15">
      <c r="A35" s="255" t="s">
        <v>919</v>
      </c>
      <c r="B35" s="364">
        <v>43657</v>
      </c>
      <c r="C35" s="257" t="s">
        <v>533</v>
      </c>
      <c r="D35" s="255" t="s">
        <v>534</v>
      </c>
      <c r="E35" s="255"/>
      <c r="F35" s="255" t="s">
        <v>612</v>
      </c>
      <c r="G35" s="364">
        <v>43480</v>
      </c>
      <c r="H35" s="355" t="s">
        <v>536</v>
      </c>
      <c r="I35" s="355" t="s">
        <v>537</v>
      </c>
      <c r="J35" s="355"/>
      <c r="K35" s="311" t="s">
        <v>930</v>
      </c>
      <c r="L35" s="255" t="s">
        <v>931</v>
      </c>
      <c r="M35" s="259">
        <v>94.181818181818173</v>
      </c>
      <c r="N35" s="259">
        <v>33.218181818181812</v>
      </c>
      <c r="O35" s="264"/>
      <c r="P35" s="260"/>
      <c r="Q35" s="261"/>
      <c r="R35" s="260"/>
      <c r="S35" s="261"/>
      <c r="T35" s="260"/>
      <c r="U35" s="261"/>
      <c r="V35" s="261"/>
      <c r="W35" s="261"/>
      <c r="X35" s="255"/>
      <c r="Y35" s="259"/>
      <c r="Z35" s="259"/>
      <c r="AA35" s="259"/>
      <c r="AB35" s="259"/>
      <c r="AC35" s="259"/>
      <c r="AD35" s="259"/>
      <c r="AE35" s="259">
        <v>23.563636363636363</v>
      </c>
      <c r="AF35" s="260"/>
      <c r="AG35" s="255"/>
      <c r="AH35" s="259"/>
      <c r="AI35" s="255"/>
      <c r="AJ35" s="255"/>
      <c r="AK35" s="259"/>
      <c r="AL35" s="255"/>
      <c r="AM35" s="259"/>
      <c r="AN35" s="259"/>
      <c r="AO35" s="255" t="s">
        <v>613</v>
      </c>
      <c r="AP35" s="355" t="s">
        <v>537</v>
      </c>
      <c r="AQ35" s="355"/>
      <c r="AR35" s="355"/>
      <c r="AS35" s="262"/>
      <c r="AT35" s="258">
        <v>5.5</v>
      </c>
      <c r="AU35" s="354"/>
      <c r="AV35" s="355"/>
      <c r="AW35" s="354"/>
      <c r="AX35" s="348" t="s">
        <v>542</v>
      </c>
      <c r="AY35" s="258"/>
      <c r="AZ35" s="355">
        <v>0</v>
      </c>
      <c r="BA35" s="355">
        <v>0</v>
      </c>
      <c r="BB35" s="355">
        <v>0</v>
      </c>
      <c r="BC35" s="355">
        <v>0</v>
      </c>
      <c r="BD35" s="355">
        <v>0</v>
      </c>
      <c r="BE35" s="355">
        <v>0</v>
      </c>
      <c r="BF35" s="355">
        <v>0</v>
      </c>
      <c r="BG35" s="355">
        <v>0</v>
      </c>
      <c r="BH35" s="355">
        <v>0</v>
      </c>
      <c r="BI35" s="355">
        <v>0</v>
      </c>
      <c r="BJ35" s="355">
        <v>0</v>
      </c>
      <c r="BK35" s="355">
        <v>0</v>
      </c>
      <c r="BL35" s="355"/>
      <c r="BM35" s="355" t="s">
        <v>537</v>
      </c>
      <c r="BN35" s="258"/>
      <c r="BO35" s="355" t="s">
        <v>537</v>
      </c>
      <c r="BP35" s="357"/>
      <c r="BQ35" s="355"/>
      <c r="BR35" s="355"/>
      <c r="BS35" s="355"/>
      <c r="BT35" s="356"/>
      <c r="BU35" s="356"/>
      <c r="BV35" s="355"/>
      <c r="BW35" s="355" t="s">
        <v>543</v>
      </c>
      <c r="BX35" s="355"/>
      <c r="BY35" s="255"/>
      <c r="BZ35" s="312" t="s">
        <v>943</v>
      </c>
    </row>
  </sheetData>
  <sheetProtection algorithmName="SHA-512" hashValue="jZcPqC7qo6mwWCSE+hbYJDmRgiWOrPaxxe2886WnJJGXdFRFZLaHtg3mnjLMUhVwIulHpCZC2TxDtHUA4q0H1Q==" saltValue="OeOUdcnESfxSMTUcefR2fA==" spinCount="100000" sheet="1" objects="1" scenarios="1"/>
  <pageMargins left="0.75" right="0.75" top="1" bottom="1" header="0.5" footer="0.5"/>
  <pageSetup paperSize="10" orientation="portrait" horizontalDpi="4294967292" verticalDpi="4294967292"/>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0C6FC-55E8-234A-853E-BBABD6CD527C}">
  <sheetPr codeName="Sheet20"/>
  <dimension ref="A1:DE31"/>
  <sheetViews>
    <sheetView zoomScale="150" zoomScaleNormal="150" workbookViewId="0">
      <pane xSplit="12" ySplit="1" topLeftCell="AR2" activePane="bottomRight" state="frozen"/>
      <selection pane="topRight" activeCell="M1" sqref="M1"/>
      <selection pane="bottomLeft" activeCell="A2" sqref="A2"/>
      <selection pane="bottomRight" activeCell="AU30" sqref="AU30"/>
    </sheetView>
  </sheetViews>
  <sheetFormatPr baseColWidth="10" defaultRowHeight="13" customHeight="1" x14ac:dyDescent="0.15"/>
  <cols>
    <col min="1" max="10" width="10.83203125" style="156"/>
    <col min="11" max="11" width="17" style="156" bestFit="1" customWidth="1"/>
    <col min="12" max="12" width="19" style="156" bestFit="1" customWidth="1"/>
    <col min="13" max="40" width="10.83203125" style="156"/>
    <col min="41" max="41" width="13" style="156" bestFit="1" customWidth="1"/>
    <col min="42" max="67" width="10.83203125" style="156"/>
    <col min="68" max="68" width="11.6640625" style="156" customWidth="1"/>
    <col min="69" max="76" width="10.83203125" style="156"/>
    <col min="77" max="77" width="21.6640625" style="156" customWidth="1"/>
    <col min="78" max="16384" width="10.83203125" style="156"/>
  </cols>
  <sheetData>
    <row r="1" spans="1:109" s="249" customFormat="1" ht="44" customHeight="1" x14ac:dyDescent="0.15">
      <c r="A1" s="215" t="s">
        <v>343</v>
      </c>
      <c r="B1" s="216" t="s">
        <v>718</v>
      </c>
      <c r="C1" s="217" t="s">
        <v>719</v>
      </c>
      <c r="D1" s="218" t="s">
        <v>720</v>
      </c>
      <c r="E1" s="218" t="s">
        <v>721</v>
      </c>
      <c r="F1" s="218" t="s">
        <v>722</v>
      </c>
      <c r="G1" s="216" t="s">
        <v>723</v>
      </c>
      <c r="H1" s="219" t="s">
        <v>724</v>
      </c>
      <c r="I1" s="219" t="s">
        <v>725</v>
      </c>
      <c r="J1" s="219" t="s">
        <v>726</v>
      </c>
      <c r="K1" s="218" t="s">
        <v>231</v>
      </c>
      <c r="L1" s="220" t="s">
        <v>727</v>
      </c>
      <c r="M1" s="221" t="s">
        <v>233</v>
      </c>
      <c r="N1" s="222" t="s">
        <v>728</v>
      </c>
      <c r="O1" s="223" t="s">
        <v>235</v>
      </c>
      <c r="P1" s="223" t="s">
        <v>729</v>
      </c>
      <c r="Q1" s="222" t="s">
        <v>730</v>
      </c>
      <c r="R1" s="223" t="s">
        <v>731</v>
      </c>
      <c r="S1" s="222" t="s">
        <v>732</v>
      </c>
      <c r="T1" s="223" t="s">
        <v>733</v>
      </c>
      <c r="U1" s="222" t="s">
        <v>734</v>
      </c>
      <c r="V1" s="224" t="s">
        <v>735</v>
      </c>
      <c r="W1" s="225" t="s">
        <v>736</v>
      </c>
      <c r="X1" s="226" t="s">
        <v>737</v>
      </c>
      <c r="Y1" s="225" t="s">
        <v>738</v>
      </c>
      <c r="Z1" s="227" t="s">
        <v>739</v>
      </c>
      <c r="AA1" s="225" t="s">
        <v>740</v>
      </c>
      <c r="AB1" s="227" t="s">
        <v>741</v>
      </c>
      <c r="AC1" s="225" t="s">
        <v>742</v>
      </c>
      <c r="AD1" s="225" t="s">
        <v>743</v>
      </c>
      <c r="AE1" s="228" t="s">
        <v>744</v>
      </c>
      <c r="AF1" s="229" t="s">
        <v>745</v>
      </c>
      <c r="AG1" s="230" t="s">
        <v>746</v>
      </c>
      <c r="AH1" s="231" t="s">
        <v>747</v>
      </c>
      <c r="AI1" s="232" t="s">
        <v>748</v>
      </c>
      <c r="AJ1" s="232" t="s">
        <v>749</v>
      </c>
      <c r="AK1" s="231" t="s">
        <v>750</v>
      </c>
      <c r="AL1" s="233" t="s">
        <v>751</v>
      </c>
      <c r="AM1" s="234" t="s">
        <v>752</v>
      </c>
      <c r="AN1" s="234" t="s">
        <v>753</v>
      </c>
      <c r="AO1" s="235" t="s">
        <v>754</v>
      </c>
      <c r="AP1" s="236" t="s">
        <v>755</v>
      </c>
      <c r="AQ1" s="236" t="s">
        <v>756</v>
      </c>
      <c r="AR1" s="237" t="s">
        <v>757</v>
      </c>
      <c r="AS1" s="238" t="s">
        <v>758</v>
      </c>
      <c r="AT1" s="239" t="s">
        <v>759</v>
      </c>
      <c r="AU1" s="343" t="s">
        <v>867</v>
      </c>
      <c r="AV1" s="343" t="s">
        <v>868</v>
      </c>
      <c r="AW1" s="343" t="s">
        <v>866</v>
      </c>
      <c r="AX1" s="241" t="s">
        <v>763</v>
      </c>
      <c r="AY1" s="242" t="s">
        <v>764</v>
      </c>
      <c r="AZ1" s="243" t="s">
        <v>765</v>
      </c>
      <c r="BA1" s="244" t="s">
        <v>766</v>
      </c>
      <c r="BB1" s="243" t="s">
        <v>767</v>
      </c>
      <c r="BC1" s="244" t="s">
        <v>768</v>
      </c>
      <c r="BD1" s="243" t="s">
        <v>769</v>
      </c>
      <c r="BE1" s="244" t="s">
        <v>770</v>
      </c>
      <c r="BF1" s="245" t="s">
        <v>771</v>
      </c>
      <c r="BG1" s="246" t="s">
        <v>772</v>
      </c>
      <c r="BH1" s="245" t="s">
        <v>453</v>
      </c>
      <c r="BI1" s="246" t="s">
        <v>454</v>
      </c>
      <c r="BJ1" s="243" t="s">
        <v>773</v>
      </c>
      <c r="BK1" s="247" t="s">
        <v>774</v>
      </c>
      <c r="BL1" s="219" t="s">
        <v>775</v>
      </c>
      <c r="BM1" s="219" t="s">
        <v>776</v>
      </c>
      <c r="BN1" s="219" t="s">
        <v>777</v>
      </c>
      <c r="BO1" s="219" t="s">
        <v>778</v>
      </c>
      <c r="BP1" s="248" t="s">
        <v>779</v>
      </c>
      <c r="BQ1" s="219" t="s">
        <v>456</v>
      </c>
      <c r="BR1" s="219" t="s">
        <v>457</v>
      </c>
      <c r="BS1" s="219" t="s">
        <v>458</v>
      </c>
      <c r="BT1" s="217" t="s">
        <v>780</v>
      </c>
      <c r="BU1" s="217" t="s">
        <v>781</v>
      </c>
      <c r="BV1" s="219" t="s">
        <v>782</v>
      </c>
      <c r="BW1" s="219" t="s">
        <v>783</v>
      </c>
      <c r="BX1" s="219" t="s">
        <v>784</v>
      </c>
      <c r="BY1" s="217" t="s">
        <v>785</v>
      </c>
      <c r="BZ1" s="219" t="s">
        <v>786</v>
      </c>
      <c r="CA1" s="216" t="s">
        <v>787</v>
      </c>
    </row>
    <row r="2" spans="1:109" customFormat="1" ht="13" customHeight="1" x14ac:dyDescent="0.15">
      <c r="A2" s="255">
        <v>10816</v>
      </c>
      <c r="B2" s="256">
        <v>43290</v>
      </c>
      <c r="C2" s="257" t="s">
        <v>533</v>
      </c>
      <c r="D2" s="255" t="s">
        <v>534</v>
      </c>
      <c r="E2" s="255"/>
      <c r="F2" s="255" t="s">
        <v>535</v>
      </c>
      <c r="G2" s="256">
        <v>43284</v>
      </c>
      <c r="H2" s="258" t="s">
        <v>536</v>
      </c>
      <c r="I2" s="258" t="s">
        <v>508</v>
      </c>
      <c r="J2" s="258"/>
      <c r="K2" s="255" t="s">
        <v>538</v>
      </c>
      <c r="L2" s="255" t="s">
        <v>643</v>
      </c>
      <c r="M2" s="259">
        <v>94.181818181818173</v>
      </c>
      <c r="N2" s="259">
        <v>33.218181818181812</v>
      </c>
      <c r="O2" s="264"/>
      <c r="P2" s="260"/>
      <c r="Q2" s="261"/>
      <c r="R2" s="260"/>
      <c r="S2" s="261"/>
      <c r="T2" s="260"/>
      <c r="U2" s="261"/>
      <c r="V2" s="261"/>
      <c r="W2" s="261"/>
      <c r="X2" s="255"/>
      <c r="Y2" s="259"/>
      <c r="Z2" s="259"/>
      <c r="AA2" s="259"/>
      <c r="AB2" s="259"/>
      <c r="AC2" s="259"/>
      <c r="AD2" s="259"/>
      <c r="AE2" s="261"/>
      <c r="AF2" s="260"/>
      <c r="AG2" s="255"/>
      <c r="AH2" s="259"/>
      <c r="AI2" s="255"/>
      <c r="AJ2" s="255"/>
      <c r="AK2" s="259"/>
      <c r="AL2" s="255"/>
      <c r="AM2" s="259"/>
      <c r="AN2" s="259"/>
      <c r="AO2" s="255" t="s">
        <v>541</v>
      </c>
      <c r="AP2" s="258" t="s">
        <v>537</v>
      </c>
      <c r="AQ2" s="258"/>
      <c r="AR2" s="258"/>
      <c r="AS2" s="258">
        <v>10</v>
      </c>
      <c r="AT2" s="258">
        <v>10</v>
      </c>
      <c r="AU2" s="262">
        <v>1274</v>
      </c>
      <c r="AV2" s="156"/>
      <c r="AW2" s="262">
        <v>5</v>
      </c>
      <c r="AX2" s="348" t="s">
        <v>542</v>
      </c>
      <c r="AY2" s="348"/>
      <c r="AZ2" s="258">
        <v>0</v>
      </c>
      <c r="BA2" s="258">
        <v>0</v>
      </c>
      <c r="BB2" s="258">
        <v>0</v>
      </c>
      <c r="BC2" s="258">
        <v>0</v>
      </c>
      <c r="BD2" s="258">
        <v>0</v>
      </c>
      <c r="BE2" s="258">
        <v>0</v>
      </c>
      <c r="BF2" s="258">
        <v>0</v>
      </c>
      <c r="BG2" s="258">
        <v>0</v>
      </c>
      <c r="BH2" s="258">
        <v>0</v>
      </c>
      <c r="BI2" s="258">
        <v>0</v>
      </c>
      <c r="BJ2" s="258">
        <v>0</v>
      </c>
      <c r="BK2" s="258">
        <v>0</v>
      </c>
      <c r="BL2" s="258"/>
      <c r="BM2" s="258" t="s">
        <v>537</v>
      </c>
      <c r="BN2" s="258">
        <v>12</v>
      </c>
      <c r="BO2" s="258" t="s">
        <v>537</v>
      </c>
      <c r="BP2" s="349"/>
      <c r="BQ2" s="258"/>
      <c r="BR2" s="258"/>
      <c r="BS2" s="258"/>
      <c r="BT2" s="350"/>
      <c r="BU2" s="351"/>
      <c r="BV2" s="348"/>
      <c r="BW2" s="258" t="s">
        <v>543</v>
      </c>
      <c r="BX2" s="258"/>
      <c r="BY2" s="264"/>
      <c r="BZ2" s="342" t="s">
        <v>79</v>
      </c>
      <c r="CA2" s="255" t="s">
        <v>90</v>
      </c>
    </row>
    <row r="3" spans="1:109" customFormat="1" ht="13" customHeight="1" x14ac:dyDescent="0.15">
      <c r="A3" s="255"/>
      <c r="B3" s="352">
        <v>43309</v>
      </c>
      <c r="C3" s="257" t="s">
        <v>533</v>
      </c>
      <c r="D3" s="255" t="s">
        <v>534</v>
      </c>
      <c r="E3" s="255"/>
      <c r="F3" s="255" t="s">
        <v>535</v>
      </c>
      <c r="G3" s="307">
        <v>43299</v>
      </c>
      <c r="H3" s="258" t="s">
        <v>536</v>
      </c>
      <c r="I3" s="258" t="s">
        <v>537</v>
      </c>
      <c r="J3" s="258"/>
      <c r="K3" s="255" t="s">
        <v>544</v>
      </c>
      <c r="L3" s="255" t="s">
        <v>802</v>
      </c>
      <c r="M3" s="259">
        <v>90.690909090909088</v>
      </c>
      <c r="N3" s="259">
        <v>32.672727272727265</v>
      </c>
      <c r="O3" s="264"/>
      <c r="P3" s="260"/>
      <c r="Q3" s="261"/>
      <c r="R3" s="260"/>
      <c r="S3" s="261"/>
      <c r="T3" s="255"/>
      <c r="U3" s="261"/>
      <c r="V3" s="261"/>
      <c r="W3" s="261"/>
      <c r="X3" s="255"/>
      <c r="Y3" s="259"/>
      <c r="Z3" s="259"/>
      <c r="AA3" s="259"/>
      <c r="AB3" s="259"/>
      <c r="AC3" s="259"/>
      <c r="AD3" s="261"/>
      <c r="AE3" s="261"/>
      <c r="AF3" s="260"/>
      <c r="AG3" s="255"/>
      <c r="AH3" s="259"/>
      <c r="AI3" s="255"/>
      <c r="AJ3" s="255"/>
      <c r="AK3" s="259"/>
      <c r="AL3" s="255"/>
      <c r="AM3" s="259"/>
      <c r="AN3" s="259"/>
      <c r="AO3" s="255" t="s">
        <v>541</v>
      </c>
      <c r="AP3" s="258" t="s">
        <v>537</v>
      </c>
      <c r="AQ3" s="258"/>
      <c r="AR3" s="258"/>
      <c r="AS3" s="262"/>
      <c r="AT3" s="258">
        <v>8</v>
      </c>
      <c r="AU3" s="262"/>
      <c r="AV3" s="258"/>
      <c r="AW3" s="262"/>
      <c r="AX3" s="258" t="s">
        <v>537</v>
      </c>
      <c r="AY3" s="258"/>
      <c r="AZ3" s="258">
        <v>0</v>
      </c>
      <c r="BA3" s="258">
        <v>0</v>
      </c>
      <c r="BB3" s="258">
        <v>0</v>
      </c>
      <c r="BC3" s="258">
        <v>0</v>
      </c>
      <c r="BD3" s="258">
        <v>0</v>
      </c>
      <c r="BE3" s="258">
        <v>0</v>
      </c>
      <c r="BF3" s="258">
        <v>0</v>
      </c>
      <c r="BG3" s="258">
        <v>0</v>
      </c>
      <c r="BH3" s="258">
        <v>0</v>
      </c>
      <c r="BI3" s="258">
        <v>0</v>
      </c>
      <c r="BJ3" s="258">
        <v>0</v>
      </c>
      <c r="BK3" s="258">
        <v>0</v>
      </c>
      <c r="BL3" s="258"/>
      <c r="BM3" s="258" t="s">
        <v>537</v>
      </c>
      <c r="BN3" s="258"/>
      <c r="BO3" s="258" t="s">
        <v>537</v>
      </c>
      <c r="BP3" s="349"/>
      <c r="BQ3" s="258"/>
      <c r="BR3" s="258"/>
      <c r="BS3" s="258"/>
      <c r="BT3" s="350"/>
      <c r="BU3" s="350"/>
      <c r="BV3" s="348"/>
      <c r="BW3" s="258" t="s">
        <v>543</v>
      </c>
      <c r="BX3" s="258">
        <v>1</v>
      </c>
      <c r="BY3" s="255"/>
      <c r="BZ3" s="312" t="s">
        <v>872</v>
      </c>
      <c r="CA3" s="255" t="s">
        <v>527</v>
      </c>
    </row>
    <row r="4" spans="1:109" customFormat="1" ht="13" customHeight="1" x14ac:dyDescent="0.15">
      <c r="A4" s="255">
        <v>11132</v>
      </c>
      <c r="B4" s="256">
        <v>43291</v>
      </c>
      <c r="C4" s="257" t="s">
        <v>533</v>
      </c>
      <c r="D4" s="255" t="s">
        <v>534</v>
      </c>
      <c r="E4" s="255"/>
      <c r="F4" s="255" t="s">
        <v>535</v>
      </c>
      <c r="G4" s="307">
        <v>43281</v>
      </c>
      <c r="H4" s="258" t="s">
        <v>536</v>
      </c>
      <c r="I4" s="258" t="s">
        <v>537</v>
      </c>
      <c r="J4" s="258"/>
      <c r="K4" s="255" t="s">
        <v>873</v>
      </c>
      <c r="L4" s="255" t="s">
        <v>874</v>
      </c>
      <c r="M4" s="259">
        <v>80</v>
      </c>
      <c r="N4" s="259">
        <v>32.999999999999993</v>
      </c>
      <c r="O4" s="264" t="s">
        <v>648</v>
      </c>
      <c r="P4" s="260">
        <v>300</v>
      </c>
      <c r="Q4" s="259">
        <v>35.154545454545456</v>
      </c>
      <c r="R4" s="260">
        <v>700</v>
      </c>
      <c r="S4" s="259">
        <v>40</v>
      </c>
      <c r="T4" s="260">
        <v>1500</v>
      </c>
      <c r="U4" s="259">
        <v>42</v>
      </c>
      <c r="V4" s="261"/>
      <c r="W4" s="261"/>
      <c r="X4" s="255"/>
      <c r="Y4" s="259"/>
      <c r="Z4" s="259"/>
      <c r="AA4" s="259"/>
      <c r="AB4" s="259"/>
      <c r="AC4" s="259"/>
      <c r="AD4" s="259"/>
      <c r="AE4" s="261"/>
      <c r="AF4" s="260"/>
      <c r="AG4" s="255"/>
      <c r="AH4" s="259"/>
      <c r="AI4" s="255"/>
      <c r="AJ4" s="255"/>
      <c r="AK4" s="259"/>
      <c r="AL4" s="255"/>
      <c r="AM4" s="259"/>
      <c r="AN4" s="259"/>
      <c r="AO4" s="255" t="s">
        <v>541</v>
      </c>
      <c r="AP4" s="258" t="s">
        <v>537</v>
      </c>
      <c r="AQ4" s="258"/>
      <c r="AR4" s="258"/>
      <c r="AS4" s="258">
        <v>10</v>
      </c>
      <c r="AT4" s="258">
        <v>5.2</v>
      </c>
      <c r="AU4" s="262"/>
      <c r="AV4" s="258"/>
      <c r="AW4" s="262"/>
      <c r="AX4" s="258" t="s">
        <v>542</v>
      </c>
      <c r="AY4" s="315"/>
      <c r="AZ4" s="258">
        <v>0</v>
      </c>
      <c r="BA4" s="258">
        <v>0</v>
      </c>
      <c r="BB4" s="258">
        <v>2</v>
      </c>
      <c r="BC4" s="258">
        <v>0</v>
      </c>
      <c r="BD4" s="258">
        <v>0</v>
      </c>
      <c r="BE4" s="258">
        <v>0</v>
      </c>
      <c r="BF4" s="258">
        <v>0</v>
      </c>
      <c r="BG4" s="258">
        <v>0</v>
      </c>
      <c r="BH4" s="258">
        <v>0</v>
      </c>
      <c r="BI4" s="258">
        <v>0</v>
      </c>
      <c r="BJ4" s="258">
        <v>0</v>
      </c>
      <c r="BK4" s="258">
        <v>0</v>
      </c>
      <c r="BL4" s="258"/>
      <c r="BM4" s="258" t="s">
        <v>537</v>
      </c>
      <c r="BN4" s="258"/>
      <c r="BO4" s="258" t="s">
        <v>537</v>
      </c>
      <c r="BP4" s="349"/>
      <c r="BQ4" s="258"/>
      <c r="BR4" s="258"/>
      <c r="BS4" s="258"/>
      <c r="BT4" s="350"/>
      <c r="BU4" s="350"/>
      <c r="BV4" s="348"/>
      <c r="BW4" s="258" t="s">
        <v>543</v>
      </c>
      <c r="BX4" s="258"/>
      <c r="BY4" s="314"/>
      <c r="BZ4" s="342" t="s">
        <v>702</v>
      </c>
      <c r="CA4" s="264" t="s">
        <v>90</v>
      </c>
      <c r="CB4" s="118"/>
    </row>
    <row r="5" spans="1:109" customFormat="1" ht="13" customHeight="1" x14ac:dyDescent="0.15">
      <c r="A5" s="255">
        <v>16148</v>
      </c>
      <c r="B5" s="353">
        <v>43308</v>
      </c>
      <c r="C5" s="257" t="s">
        <v>533</v>
      </c>
      <c r="D5" s="255" t="s">
        <v>534</v>
      </c>
      <c r="E5" s="255"/>
      <c r="F5" s="255" t="s">
        <v>535</v>
      </c>
      <c r="G5" s="256">
        <v>43251</v>
      </c>
      <c r="H5" s="258" t="s">
        <v>536</v>
      </c>
      <c r="I5" s="258" t="s">
        <v>508</v>
      </c>
      <c r="J5" s="258"/>
      <c r="K5" s="255" t="s">
        <v>875</v>
      </c>
      <c r="L5" s="255" t="s">
        <v>876</v>
      </c>
      <c r="M5" s="259">
        <v>84.5</v>
      </c>
      <c r="N5" s="259">
        <v>34.109090909090909</v>
      </c>
      <c r="O5" s="264"/>
      <c r="P5" s="260"/>
      <c r="Q5" s="261"/>
      <c r="R5" s="260"/>
      <c r="S5" s="261"/>
      <c r="T5" s="260"/>
      <c r="U5" s="261"/>
      <c r="V5" s="261"/>
      <c r="W5" s="261"/>
      <c r="X5" s="260"/>
      <c r="Y5" s="259"/>
      <c r="Z5" s="259"/>
      <c r="AA5" s="259"/>
      <c r="AB5" s="259"/>
      <c r="AC5" s="259"/>
      <c r="AD5" s="259"/>
      <c r="AE5" s="261"/>
      <c r="AF5" s="260"/>
      <c r="AG5" s="255"/>
      <c r="AH5" s="259"/>
      <c r="AI5" s="255"/>
      <c r="AJ5" s="255"/>
      <c r="AK5" s="259"/>
      <c r="AL5" s="255"/>
      <c r="AM5" s="259"/>
      <c r="AN5" s="259"/>
      <c r="AO5" s="255" t="s">
        <v>541</v>
      </c>
      <c r="AP5" s="258" t="s">
        <v>537</v>
      </c>
      <c r="AQ5" s="258"/>
      <c r="AR5" s="258"/>
      <c r="AS5" s="262"/>
      <c r="AT5" s="258">
        <v>10</v>
      </c>
      <c r="AU5" s="262"/>
      <c r="AV5" s="258"/>
      <c r="AW5" s="262"/>
      <c r="AX5" s="258" t="s">
        <v>542</v>
      </c>
      <c r="AY5" s="258"/>
      <c r="AZ5" s="258">
        <v>0</v>
      </c>
      <c r="BA5" s="258">
        <v>0</v>
      </c>
      <c r="BB5" s="258">
        <v>0</v>
      </c>
      <c r="BC5" s="258">
        <v>0</v>
      </c>
      <c r="BD5" s="258">
        <v>0</v>
      </c>
      <c r="BE5" s="258">
        <v>0</v>
      </c>
      <c r="BF5" s="258">
        <v>0</v>
      </c>
      <c r="BG5" s="258">
        <v>0</v>
      </c>
      <c r="BH5" s="258">
        <v>0</v>
      </c>
      <c r="BI5" s="258">
        <v>0</v>
      </c>
      <c r="BJ5" s="258">
        <v>0</v>
      </c>
      <c r="BK5" s="258">
        <v>0</v>
      </c>
      <c r="BL5" s="258"/>
      <c r="BM5" s="258" t="s">
        <v>537</v>
      </c>
      <c r="BN5" s="258">
        <v>12</v>
      </c>
      <c r="BO5" s="258" t="s">
        <v>537</v>
      </c>
      <c r="BP5" s="349"/>
      <c r="BQ5" s="258"/>
      <c r="BR5" s="258"/>
      <c r="BS5" s="258"/>
      <c r="BT5" s="350" t="s">
        <v>877</v>
      </c>
      <c r="BU5" s="351" t="s">
        <v>50</v>
      </c>
      <c r="BV5" s="348">
        <v>25</v>
      </c>
      <c r="BW5" s="258" t="s">
        <v>543</v>
      </c>
      <c r="BX5" s="258"/>
      <c r="BY5" s="255" t="s">
        <v>878</v>
      </c>
      <c r="BZ5" s="312" t="s">
        <v>879</v>
      </c>
      <c r="CA5" s="255" t="s">
        <v>90</v>
      </c>
    </row>
    <row r="6" spans="1:109" customFormat="1" ht="13" customHeight="1" x14ac:dyDescent="0.15">
      <c r="A6" s="255">
        <v>11895</v>
      </c>
      <c r="B6" s="352">
        <v>43309</v>
      </c>
      <c r="C6" s="257" t="s">
        <v>533</v>
      </c>
      <c r="D6" s="255" t="s">
        <v>534</v>
      </c>
      <c r="E6" s="255"/>
      <c r="F6" s="255" t="s">
        <v>535</v>
      </c>
      <c r="G6" s="256">
        <v>43302</v>
      </c>
      <c r="H6" s="258" t="s">
        <v>536</v>
      </c>
      <c r="I6" s="258" t="s">
        <v>537</v>
      </c>
      <c r="J6" s="258"/>
      <c r="K6" s="255" t="s">
        <v>880</v>
      </c>
      <c r="L6" s="255" t="s">
        <v>657</v>
      </c>
      <c r="M6" s="259">
        <v>84.154545454545442</v>
      </c>
      <c r="N6" s="259">
        <v>32.981818181818177</v>
      </c>
      <c r="O6" s="264"/>
      <c r="P6" s="260"/>
      <c r="Q6" s="261"/>
      <c r="R6" s="260"/>
      <c r="S6" s="261"/>
      <c r="T6" s="260"/>
      <c r="U6" s="261"/>
      <c r="V6" s="261"/>
      <c r="W6" s="261"/>
      <c r="X6" s="255"/>
      <c r="Y6" s="259"/>
      <c r="Z6" s="259"/>
      <c r="AA6" s="259"/>
      <c r="AB6" s="259"/>
      <c r="AC6" s="259"/>
      <c r="AD6" s="259"/>
      <c r="AE6" s="261"/>
      <c r="AF6" s="260"/>
      <c r="AG6" s="255"/>
      <c r="AH6" s="259"/>
      <c r="AI6" s="255"/>
      <c r="AJ6" s="255"/>
      <c r="AK6" s="259"/>
      <c r="AL6" s="255"/>
      <c r="AM6" s="259"/>
      <c r="AN6" s="259"/>
      <c r="AO6" s="255" t="s">
        <v>541</v>
      </c>
      <c r="AP6" s="258" t="s">
        <v>537</v>
      </c>
      <c r="AQ6" s="258"/>
      <c r="AR6" s="258"/>
      <c r="AS6" s="262"/>
      <c r="AT6" s="258">
        <v>3</v>
      </c>
      <c r="AU6" s="262"/>
      <c r="AV6" s="258"/>
      <c r="AW6" s="262"/>
      <c r="AX6" s="258" t="s">
        <v>495</v>
      </c>
      <c r="AY6" s="258"/>
      <c r="AZ6" s="258">
        <v>0</v>
      </c>
      <c r="BA6" s="258">
        <v>0</v>
      </c>
      <c r="BB6" s="258">
        <v>0</v>
      </c>
      <c r="BC6" s="258">
        <v>0</v>
      </c>
      <c r="BD6" s="258">
        <v>0</v>
      </c>
      <c r="BE6" s="258">
        <v>0</v>
      </c>
      <c r="BF6" s="258">
        <v>0</v>
      </c>
      <c r="BG6" s="258">
        <v>0</v>
      </c>
      <c r="BH6" s="258">
        <v>0</v>
      </c>
      <c r="BI6" s="258">
        <v>0</v>
      </c>
      <c r="BJ6" s="258">
        <v>0</v>
      </c>
      <c r="BK6" s="258">
        <v>0</v>
      </c>
      <c r="BL6" s="258"/>
      <c r="BM6" s="258" t="s">
        <v>537</v>
      </c>
      <c r="BN6" s="258"/>
      <c r="BO6" s="258" t="s">
        <v>537</v>
      </c>
      <c r="BP6" s="349"/>
      <c r="BQ6" s="258"/>
      <c r="BR6" s="258"/>
      <c r="BS6" s="258"/>
      <c r="BT6" s="255" t="s">
        <v>881</v>
      </c>
      <c r="BU6" s="255"/>
      <c r="BV6" s="258"/>
      <c r="BW6" s="258" t="s">
        <v>543</v>
      </c>
      <c r="BX6" s="258"/>
      <c r="BY6" s="264"/>
      <c r="BZ6" s="312" t="s">
        <v>79</v>
      </c>
      <c r="CA6" s="264" t="s">
        <v>90</v>
      </c>
    </row>
    <row r="7" spans="1:109" customFormat="1" ht="13" customHeight="1" x14ac:dyDescent="0.15">
      <c r="A7" s="255">
        <v>12326</v>
      </c>
      <c r="B7" s="256">
        <v>43291</v>
      </c>
      <c r="C7" s="257" t="s">
        <v>533</v>
      </c>
      <c r="D7" s="255" t="s">
        <v>534</v>
      </c>
      <c r="E7" s="255"/>
      <c r="F7" s="255" t="s">
        <v>535</v>
      </c>
      <c r="G7" s="256">
        <v>43287</v>
      </c>
      <c r="H7" s="258" t="s">
        <v>536</v>
      </c>
      <c r="I7" s="258" t="s">
        <v>508</v>
      </c>
      <c r="J7" s="258"/>
      <c r="K7" s="255" t="s">
        <v>585</v>
      </c>
      <c r="L7" s="255" t="s">
        <v>662</v>
      </c>
      <c r="M7" s="259">
        <v>87.790909090909082</v>
      </c>
      <c r="N7" s="259">
        <v>33.790909090909089</v>
      </c>
      <c r="O7" s="264" t="s">
        <v>546</v>
      </c>
      <c r="P7" s="260">
        <v>1000</v>
      </c>
      <c r="Q7" s="259">
        <v>36.527272727272724</v>
      </c>
      <c r="R7" s="260"/>
      <c r="S7" s="261"/>
      <c r="T7" s="260"/>
      <c r="U7" s="261"/>
      <c r="V7" s="261"/>
      <c r="W7" s="261"/>
      <c r="X7" s="255"/>
      <c r="Y7" s="259"/>
      <c r="Z7" s="259"/>
      <c r="AA7" s="259"/>
      <c r="AB7" s="259"/>
      <c r="AC7" s="259"/>
      <c r="AD7" s="261"/>
      <c r="AE7" s="261"/>
      <c r="AF7" s="260"/>
      <c r="AG7" s="255"/>
      <c r="AH7" s="259"/>
      <c r="AI7" s="255"/>
      <c r="AJ7" s="255"/>
      <c r="AK7" s="259"/>
      <c r="AL7" s="255"/>
      <c r="AM7" s="259"/>
      <c r="AN7" s="259"/>
      <c r="AO7" s="255" t="s">
        <v>541</v>
      </c>
      <c r="AP7" s="258" t="s">
        <v>537</v>
      </c>
      <c r="AQ7" s="258"/>
      <c r="AR7" s="258"/>
      <c r="AS7" s="258"/>
      <c r="AT7" s="258">
        <v>10</v>
      </c>
      <c r="AU7" s="262">
        <v>1274</v>
      </c>
      <c r="AV7" s="258"/>
      <c r="AW7" s="262">
        <v>5</v>
      </c>
      <c r="AX7" s="258" t="s">
        <v>542</v>
      </c>
      <c r="AY7" s="258"/>
      <c r="AZ7" s="258">
        <v>0</v>
      </c>
      <c r="BA7" s="258">
        <v>0</v>
      </c>
      <c r="BB7" s="258">
        <v>0</v>
      </c>
      <c r="BC7" s="258">
        <v>0</v>
      </c>
      <c r="BD7" s="258">
        <v>0</v>
      </c>
      <c r="BE7" s="258">
        <v>0</v>
      </c>
      <c r="BF7" s="258">
        <v>0</v>
      </c>
      <c r="BG7" s="258">
        <v>0</v>
      </c>
      <c r="BH7" s="258">
        <v>0</v>
      </c>
      <c r="BI7" s="258">
        <v>0</v>
      </c>
      <c r="BJ7" s="258">
        <v>0</v>
      </c>
      <c r="BK7" s="258">
        <v>0</v>
      </c>
      <c r="BL7" s="258"/>
      <c r="BM7" s="258" t="s">
        <v>537</v>
      </c>
      <c r="BN7" s="258">
        <v>12</v>
      </c>
      <c r="BO7" s="258" t="s">
        <v>537</v>
      </c>
      <c r="BP7" s="349"/>
      <c r="BQ7" s="258"/>
      <c r="BR7" s="258"/>
      <c r="BS7" s="258"/>
      <c r="BT7" s="264"/>
      <c r="BU7" s="264"/>
      <c r="BV7" s="258"/>
      <c r="BW7" s="258" t="s">
        <v>543</v>
      </c>
      <c r="BX7" s="258"/>
      <c r="BY7" s="255" t="s">
        <v>882</v>
      </c>
      <c r="BZ7" s="322" t="s">
        <v>79</v>
      </c>
      <c r="CA7" s="264" t="s">
        <v>90</v>
      </c>
    </row>
    <row r="8" spans="1:109" customFormat="1" ht="13" customHeight="1" x14ac:dyDescent="0.15">
      <c r="A8" s="255">
        <v>11320</v>
      </c>
      <c r="B8" s="256">
        <v>43292</v>
      </c>
      <c r="C8" s="257" t="s">
        <v>533</v>
      </c>
      <c r="D8" s="255" t="s">
        <v>534</v>
      </c>
      <c r="E8" s="255"/>
      <c r="F8" s="255" t="s">
        <v>535</v>
      </c>
      <c r="G8" s="307">
        <v>43281</v>
      </c>
      <c r="H8" s="258" t="s">
        <v>536</v>
      </c>
      <c r="I8" s="258" t="s">
        <v>537</v>
      </c>
      <c r="J8" s="258"/>
      <c r="K8" s="255" t="s">
        <v>883</v>
      </c>
      <c r="L8" s="255" t="s">
        <v>667</v>
      </c>
      <c r="M8" s="259">
        <v>82</v>
      </c>
      <c r="N8" s="259">
        <v>31.099999999999998</v>
      </c>
      <c r="O8" s="264"/>
      <c r="P8" s="260"/>
      <c r="Q8" s="261"/>
      <c r="R8" s="260"/>
      <c r="S8" s="261"/>
      <c r="T8" s="255"/>
      <c r="U8" s="261"/>
      <c r="V8" s="261"/>
      <c r="W8" s="261"/>
      <c r="X8" s="260"/>
      <c r="Y8" s="259"/>
      <c r="Z8" s="259"/>
      <c r="AA8" s="259"/>
      <c r="AB8" s="259"/>
      <c r="AC8" s="259"/>
      <c r="AD8" s="259"/>
      <c r="AE8" s="261"/>
      <c r="AF8" s="260"/>
      <c r="AG8" s="255"/>
      <c r="AH8" s="259"/>
      <c r="AI8" s="255"/>
      <c r="AJ8" s="255"/>
      <c r="AK8" s="259"/>
      <c r="AL8" s="255"/>
      <c r="AM8" s="259"/>
      <c r="AN8" s="259"/>
      <c r="AO8" s="255" t="s">
        <v>541</v>
      </c>
      <c r="AP8" s="258" t="s">
        <v>537</v>
      </c>
      <c r="AQ8" s="258"/>
      <c r="AR8" s="258"/>
      <c r="AS8" s="262"/>
      <c r="AT8" s="258">
        <v>3</v>
      </c>
      <c r="AU8" s="262"/>
      <c r="AV8" s="258"/>
      <c r="AW8" s="262"/>
      <c r="AX8" s="258" t="s">
        <v>542</v>
      </c>
      <c r="AY8" s="258"/>
      <c r="AZ8" s="258">
        <v>0</v>
      </c>
      <c r="BA8" s="258">
        <v>0</v>
      </c>
      <c r="BB8" s="258">
        <v>0</v>
      </c>
      <c r="BC8" s="258">
        <v>0</v>
      </c>
      <c r="BD8" s="258">
        <v>0</v>
      </c>
      <c r="BE8" s="258">
        <v>0</v>
      </c>
      <c r="BF8" s="258">
        <v>0</v>
      </c>
      <c r="BG8" s="258">
        <v>0</v>
      </c>
      <c r="BH8" s="258">
        <v>0</v>
      </c>
      <c r="BI8" s="258">
        <v>0</v>
      </c>
      <c r="BJ8" s="258">
        <v>0</v>
      </c>
      <c r="BK8" s="258">
        <v>0</v>
      </c>
      <c r="BL8" s="258"/>
      <c r="BM8" s="258" t="s">
        <v>537</v>
      </c>
      <c r="BN8" s="258"/>
      <c r="BO8" s="258" t="s">
        <v>537</v>
      </c>
      <c r="BP8" s="349"/>
      <c r="BQ8" s="258"/>
      <c r="BR8" s="258"/>
      <c r="BS8" s="258"/>
      <c r="BT8" s="264"/>
      <c r="BU8" s="264"/>
      <c r="BV8" s="258"/>
      <c r="BW8" s="258" t="s">
        <v>543</v>
      </c>
      <c r="BX8" s="258"/>
      <c r="BY8" s="264"/>
      <c r="BZ8" t="s">
        <v>79</v>
      </c>
      <c r="CA8" s="255" t="s">
        <v>90</v>
      </c>
    </row>
    <row r="9" spans="1:109" customFormat="1" ht="13" customHeight="1" x14ac:dyDescent="0.15">
      <c r="A9" s="255">
        <v>13693</v>
      </c>
      <c r="B9" s="352">
        <v>43308</v>
      </c>
      <c r="C9" s="257" t="s">
        <v>533</v>
      </c>
      <c r="D9" s="255" t="s">
        <v>534</v>
      </c>
      <c r="E9" s="255"/>
      <c r="F9" s="255" t="s">
        <v>535</v>
      </c>
      <c r="G9" s="256">
        <v>43299</v>
      </c>
      <c r="H9" s="258" t="s">
        <v>536</v>
      </c>
      <c r="I9" s="258" t="s">
        <v>537</v>
      </c>
      <c r="J9" s="258"/>
      <c r="K9" s="255" t="s">
        <v>594</v>
      </c>
      <c r="L9" s="255" t="s">
        <v>884</v>
      </c>
      <c r="M9" s="259">
        <v>72.999999999999986</v>
      </c>
      <c r="N9" s="259">
        <v>28.999999999999996</v>
      </c>
      <c r="O9" s="264"/>
      <c r="P9" s="260"/>
      <c r="Q9" s="261"/>
      <c r="R9" s="260"/>
      <c r="S9" s="261"/>
      <c r="T9" s="255"/>
      <c r="U9" s="261"/>
      <c r="V9" s="261"/>
      <c r="W9" s="261"/>
      <c r="X9" s="255"/>
      <c r="Y9" s="259"/>
      <c r="Z9" s="259"/>
      <c r="AA9" s="259"/>
      <c r="AB9" s="259"/>
      <c r="AC9" s="259"/>
      <c r="AD9" s="259"/>
      <c r="AE9" s="261"/>
      <c r="AF9" s="260"/>
      <c r="AG9" s="255"/>
      <c r="AH9" s="259"/>
      <c r="AI9" s="255"/>
      <c r="AJ9" s="255"/>
      <c r="AK9" s="261"/>
      <c r="AL9" s="255"/>
      <c r="AM9" s="259"/>
      <c r="AN9" s="259"/>
      <c r="AO9" s="255" t="s">
        <v>541</v>
      </c>
      <c r="AP9" s="258" t="s">
        <v>537</v>
      </c>
      <c r="AQ9" s="258"/>
      <c r="AR9" s="258"/>
      <c r="AS9" s="262"/>
      <c r="AT9" s="258">
        <v>9</v>
      </c>
      <c r="AU9" s="262">
        <v>910</v>
      </c>
      <c r="AV9" s="258"/>
      <c r="AW9" s="262">
        <v>6.5</v>
      </c>
      <c r="AX9" s="258" t="s">
        <v>542</v>
      </c>
      <c r="AY9" s="258"/>
      <c r="AZ9" s="258">
        <v>0</v>
      </c>
      <c r="BA9" s="258">
        <v>0</v>
      </c>
      <c r="BB9" s="258">
        <v>0</v>
      </c>
      <c r="BC9" s="258">
        <v>0</v>
      </c>
      <c r="BD9" s="258">
        <v>0</v>
      </c>
      <c r="BE9" s="258">
        <v>0</v>
      </c>
      <c r="BF9" s="258">
        <v>0</v>
      </c>
      <c r="BG9" s="258">
        <v>0</v>
      </c>
      <c r="BH9" s="258">
        <v>0</v>
      </c>
      <c r="BI9" s="258">
        <v>0</v>
      </c>
      <c r="BJ9" s="258">
        <v>0</v>
      </c>
      <c r="BK9" s="258">
        <v>0</v>
      </c>
      <c r="BL9" s="258"/>
      <c r="BM9" s="258" t="s">
        <v>537</v>
      </c>
      <c r="BN9" s="258"/>
      <c r="BO9" s="258" t="s">
        <v>537</v>
      </c>
      <c r="BP9" s="263">
        <v>141.70909090909089</v>
      </c>
      <c r="BQ9" s="258"/>
      <c r="BR9" s="258"/>
      <c r="BS9" s="320"/>
      <c r="BT9" s="144"/>
      <c r="BU9" s="264"/>
      <c r="BV9" s="258"/>
      <c r="BW9" s="258" t="s">
        <v>543</v>
      </c>
      <c r="BX9" s="258"/>
      <c r="BY9" s="264"/>
      <c r="BZ9" s="312" t="s">
        <v>79</v>
      </c>
      <c r="CA9" s="264" t="s">
        <v>90</v>
      </c>
    </row>
    <row r="10" spans="1:109" customFormat="1" ht="13" customHeight="1" x14ac:dyDescent="0.15">
      <c r="A10" s="255">
        <v>3061</v>
      </c>
      <c r="B10" s="256">
        <v>43292</v>
      </c>
      <c r="C10" s="257" t="s">
        <v>533</v>
      </c>
      <c r="D10" s="255" t="s">
        <v>534</v>
      </c>
      <c r="E10" s="255"/>
      <c r="F10" s="255" t="s">
        <v>535</v>
      </c>
      <c r="G10" s="256">
        <v>43281</v>
      </c>
      <c r="H10" s="258" t="s">
        <v>536</v>
      </c>
      <c r="I10" s="258" t="s">
        <v>537</v>
      </c>
      <c r="J10" s="258"/>
      <c r="K10" s="255" t="s">
        <v>885</v>
      </c>
      <c r="L10" s="255" t="s">
        <v>897</v>
      </c>
      <c r="M10" s="259">
        <v>99.809090909090912</v>
      </c>
      <c r="N10" s="259">
        <v>32.709090909090904</v>
      </c>
      <c r="O10" s="48" t="s">
        <v>648</v>
      </c>
      <c r="P10" s="50">
        <v>1000</v>
      </c>
      <c r="Q10" s="259">
        <v>34.209090909090911</v>
      </c>
      <c r="R10" s="260"/>
      <c r="S10" s="261"/>
      <c r="T10" s="260"/>
      <c r="U10" s="261"/>
      <c r="V10" s="261"/>
      <c r="W10" s="261"/>
      <c r="X10" s="255"/>
      <c r="Y10" s="259"/>
      <c r="Z10" s="259"/>
      <c r="AA10" s="259"/>
      <c r="AB10" s="259"/>
      <c r="AC10" s="259"/>
      <c r="AD10" s="261"/>
      <c r="AE10" s="261"/>
      <c r="AF10" s="255"/>
      <c r="AG10" s="255"/>
      <c r="AH10" s="259"/>
      <c r="AI10" s="255"/>
      <c r="AJ10" s="255"/>
      <c r="AK10" s="259"/>
      <c r="AL10" s="255"/>
      <c r="AM10" s="259"/>
      <c r="AN10" s="259"/>
      <c r="AO10" s="255" t="s">
        <v>541</v>
      </c>
      <c r="AP10" s="258" t="s">
        <v>537</v>
      </c>
      <c r="AQ10" s="258"/>
      <c r="AR10" s="258"/>
      <c r="AS10" s="262"/>
      <c r="AT10" s="258">
        <v>6</v>
      </c>
      <c r="AU10" s="262"/>
      <c r="AV10" s="258"/>
      <c r="AW10" s="262"/>
      <c r="AX10" s="258" t="s">
        <v>537</v>
      </c>
      <c r="AY10" s="258"/>
      <c r="AZ10" s="258">
        <v>1</v>
      </c>
      <c r="BA10" s="258">
        <v>0</v>
      </c>
      <c r="BB10" s="258">
        <v>0</v>
      </c>
      <c r="BC10" s="258">
        <v>0</v>
      </c>
      <c r="BD10" s="258">
        <v>0</v>
      </c>
      <c r="BE10" s="258">
        <v>0</v>
      </c>
      <c r="BF10" s="258">
        <v>0</v>
      </c>
      <c r="BG10" s="258">
        <v>0</v>
      </c>
      <c r="BH10" s="258">
        <v>0</v>
      </c>
      <c r="BI10" s="258">
        <v>0</v>
      </c>
      <c r="BJ10" s="258">
        <v>0</v>
      </c>
      <c r="BK10" s="258">
        <v>0</v>
      </c>
      <c r="BL10" s="258"/>
      <c r="BM10" s="258" t="s">
        <v>537</v>
      </c>
      <c r="BN10" s="258"/>
      <c r="BO10" s="258" t="s">
        <v>537</v>
      </c>
      <c r="BP10" s="349"/>
      <c r="BQ10" s="258"/>
      <c r="BR10" s="258"/>
      <c r="BS10" s="258"/>
      <c r="BT10" s="255"/>
      <c r="BU10" s="255"/>
      <c r="BV10" s="258"/>
      <c r="BW10" s="258" t="s">
        <v>543</v>
      </c>
      <c r="BX10" s="258"/>
      <c r="BY10" s="255" t="s">
        <v>898</v>
      </c>
      <c r="BZ10" s="324" t="s">
        <v>899</v>
      </c>
      <c r="CA10" s="255" t="s">
        <v>90</v>
      </c>
    </row>
    <row r="11" spans="1:109" customFormat="1" ht="13" customHeight="1" x14ac:dyDescent="0.15">
      <c r="A11" s="255">
        <v>15304</v>
      </c>
      <c r="B11" s="352">
        <v>43308</v>
      </c>
      <c r="C11" s="257" t="s">
        <v>533</v>
      </c>
      <c r="D11" s="255" t="s">
        <v>534</v>
      </c>
      <c r="E11" s="255"/>
      <c r="F11" s="255" t="s">
        <v>535</v>
      </c>
      <c r="G11" s="256">
        <v>43266</v>
      </c>
      <c r="H11" s="258" t="s">
        <v>536</v>
      </c>
      <c r="I11" s="258" t="s">
        <v>537</v>
      </c>
      <c r="J11" s="258"/>
      <c r="K11" s="255" t="s">
        <v>600</v>
      </c>
      <c r="L11" s="255" t="s">
        <v>814</v>
      </c>
      <c r="M11" s="259">
        <v>115.76363636363635</v>
      </c>
      <c r="N11" s="259">
        <v>30.327272727272724</v>
      </c>
      <c r="O11" s="264"/>
      <c r="P11" s="260"/>
      <c r="Q11" s="261"/>
      <c r="R11" s="260"/>
      <c r="S11" s="261"/>
      <c r="T11" s="260"/>
      <c r="U11" s="261"/>
      <c r="V11" s="261"/>
      <c r="W11" s="261"/>
      <c r="X11" s="255"/>
      <c r="Y11" s="259"/>
      <c r="Z11" s="259"/>
      <c r="AA11" s="259"/>
      <c r="AB11" s="259"/>
      <c r="AC11" s="259"/>
      <c r="AD11" s="261"/>
      <c r="AE11" s="261"/>
      <c r="AF11" s="260"/>
      <c r="AG11" s="255"/>
      <c r="AH11" s="259"/>
      <c r="AI11" s="255"/>
      <c r="AJ11" s="255"/>
      <c r="AK11" s="259"/>
      <c r="AL11" s="255"/>
      <c r="AM11" s="259"/>
      <c r="AN11" s="259"/>
      <c r="AO11" s="255" t="s">
        <v>541</v>
      </c>
      <c r="AP11" s="258" t="s">
        <v>537</v>
      </c>
      <c r="AQ11" s="258"/>
      <c r="AR11" s="258"/>
      <c r="AS11" s="262"/>
      <c r="AT11" s="258">
        <v>3</v>
      </c>
      <c r="AU11" s="262"/>
      <c r="AV11" s="258"/>
      <c r="AW11" s="262"/>
      <c r="AX11" s="258" t="s">
        <v>542</v>
      </c>
      <c r="AY11" s="258"/>
      <c r="AZ11" s="258">
        <v>0</v>
      </c>
      <c r="BA11" s="258">
        <v>0</v>
      </c>
      <c r="BB11" s="258">
        <v>0</v>
      </c>
      <c r="BC11" s="258">
        <v>0</v>
      </c>
      <c r="BD11" s="258">
        <v>0</v>
      </c>
      <c r="BE11" s="258">
        <v>0</v>
      </c>
      <c r="BF11" s="258">
        <v>0</v>
      </c>
      <c r="BG11" s="258">
        <v>0</v>
      </c>
      <c r="BH11" s="258">
        <v>0</v>
      </c>
      <c r="BI11" s="258">
        <v>0</v>
      </c>
      <c r="BJ11" s="258">
        <v>0</v>
      </c>
      <c r="BK11" s="258">
        <v>0</v>
      </c>
      <c r="BL11" s="258"/>
      <c r="BM11" s="258" t="s">
        <v>537</v>
      </c>
      <c r="BN11" s="258"/>
      <c r="BO11" s="258" t="s">
        <v>537</v>
      </c>
      <c r="BP11" s="349"/>
      <c r="BQ11" s="258"/>
      <c r="BR11" s="258"/>
      <c r="BS11" s="258"/>
      <c r="BT11" s="264"/>
      <c r="BU11" s="264"/>
      <c r="BV11" s="258"/>
      <c r="BW11" s="258" t="s">
        <v>543</v>
      </c>
      <c r="BX11" s="258">
        <v>1</v>
      </c>
      <c r="BY11" s="255"/>
      <c r="BZ11" s="312" t="s">
        <v>886</v>
      </c>
      <c r="CA11" s="255" t="s">
        <v>56</v>
      </c>
    </row>
    <row r="12" spans="1:109" customFormat="1" ht="13" customHeight="1" x14ac:dyDescent="0.15">
      <c r="A12" s="255">
        <v>13469</v>
      </c>
      <c r="B12" s="256">
        <v>43290</v>
      </c>
      <c r="C12" s="257" t="s">
        <v>533</v>
      </c>
      <c r="D12" s="255" t="s">
        <v>534</v>
      </c>
      <c r="E12" s="255"/>
      <c r="F12" s="255" t="s">
        <v>535</v>
      </c>
      <c r="G12" s="307">
        <v>43281</v>
      </c>
      <c r="H12" s="258" t="s">
        <v>507</v>
      </c>
      <c r="I12" s="258" t="s">
        <v>537</v>
      </c>
      <c r="J12" s="258"/>
      <c r="K12" s="255" t="s">
        <v>608</v>
      </c>
      <c r="L12" s="255" t="s">
        <v>887</v>
      </c>
      <c r="M12" s="259">
        <v>104.0090909090909</v>
      </c>
      <c r="N12" s="259">
        <v>37.236363636363635</v>
      </c>
      <c r="O12" s="264" t="s">
        <v>648</v>
      </c>
      <c r="P12" s="260">
        <v>2000</v>
      </c>
      <c r="Q12" s="259">
        <v>44.236363636363627</v>
      </c>
      <c r="R12" s="260"/>
      <c r="S12" s="261"/>
      <c r="T12" s="260"/>
      <c r="U12" s="261"/>
      <c r="V12" s="261"/>
      <c r="W12" s="261"/>
      <c r="X12" s="255"/>
      <c r="Y12" s="259"/>
      <c r="Z12" s="259"/>
      <c r="AA12" s="259"/>
      <c r="AB12" s="259"/>
      <c r="AC12" s="259"/>
      <c r="AD12" s="259"/>
      <c r="AE12" s="261"/>
      <c r="AF12" s="260"/>
      <c r="AG12" s="255"/>
      <c r="AH12" s="259"/>
      <c r="AI12" s="255"/>
      <c r="AJ12" s="255"/>
      <c r="AK12" s="259"/>
      <c r="AL12" s="255"/>
      <c r="AM12" s="259"/>
      <c r="AN12" s="259"/>
      <c r="AO12" s="255" t="s">
        <v>541</v>
      </c>
      <c r="AP12" s="258" t="s">
        <v>537</v>
      </c>
      <c r="AQ12" s="258"/>
      <c r="AR12" s="258"/>
      <c r="AS12" s="262"/>
      <c r="AT12" s="258">
        <v>0</v>
      </c>
      <c r="AU12" s="262"/>
      <c r="AV12" s="258"/>
      <c r="AW12" s="262"/>
      <c r="AX12" s="258" t="s">
        <v>542</v>
      </c>
      <c r="AY12" s="258"/>
      <c r="AZ12" s="258">
        <v>0</v>
      </c>
      <c r="BA12" s="258">
        <v>0</v>
      </c>
      <c r="BB12" s="258">
        <v>0</v>
      </c>
      <c r="BC12" s="258">
        <v>0</v>
      </c>
      <c r="BD12" s="258">
        <v>0</v>
      </c>
      <c r="BE12" s="258">
        <v>0</v>
      </c>
      <c r="BF12" s="258">
        <v>0</v>
      </c>
      <c r="BG12" s="258">
        <v>0</v>
      </c>
      <c r="BH12" s="258">
        <v>0</v>
      </c>
      <c r="BI12" s="258">
        <v>0</v>
      </c>
      <c r="BJ12" s="258">
        <v>0</v>
      </c>
      <c r="BK12" s="258">
        <v>0</v>
      </c>
      <c r="BL12" s="258"/>
      <c r="BM12" s="258" t="s">
        <v>537</v>
      </c>
      <c r="BN12" s="258"/>
      <c r="BO12" s="258" t="s">
        <v>537</v>
      </c>
      <c r="BP12" s="263">
        <v>163.63636363636363</v>
      </c>
      <c r="BQ12" s="258"/>
      <c r="BR12" s="258"/>
      <c r="BS12" s="258"/>
      <c r="BT12" s="264"/>
      <c r="BU12" s="255"/>
      <c r="BV12" s="258"/>
      <c r="BW12" s="258" t="s">
        <v>543</v>
      </c>
      <c r="BX12" s="258">
        <v>1</v>
      </c>
      <c r="BY12" s="264" t="s">
        <v>819</v>
      </c>
      <c r="BZ12" s="342" t="s">
        <v>888</v>
      </c>
      <c r="CA12" s="255" t="s">
        <v>90</v>
      </c>
    </row>
    <row r="13" spans="1:109" customFormat="1" ht="13" customHeight="1" x14ac:dyDescent="0.15">
      <c r="A13" s="255">
        <v>1895</v>
      </c>
      <c r="B13" s="256">
        <v>43292</v>
      </c>
      <c r="C13" s="257" t="s">
        <v>533</v>
      </c>
      <c r="D13" s="255" t="s">
        <v>534</v>
      </c>
      <c r="E13" s="255"/>
      <c r="F13" s="255" t="s">
        <v>535</v>
      </c>
      <c r="G13" s="256">
        <v>43252</v>
      </c>
      <c r="H13" s="258" t="s">
        <v>536</v>
      </c>
      <c r="I13" s="258" t="s">
        <v>537</v>
      </c>
      <c r="J13" s="258"/>
      <c r="K13" s="255" t="s">
        <v>792</v>
      </c>
      <c r="L13" s="255" t="s">
        <v>687</v>
      </c>
      <c r="M13" s="259">
        <v>89.999999999999986</v>
      </c>
      <c r="N13" s="259">
        <v>48.999999999999993</v>
      </c>
      <c r="O13" s="264" t="s">
        <v>648</v>
      </c>
      <c r="P13" s="260">
        <v>1824.9900000000002</v>
      </c>
      <c r="Q13" s="259">
        <v>52.999999999999993</v>
      </c>
      <c r="R13" s="260"/>
      <c r="S13" s="261"/>
      <c r="T13" s="255"/>
      <c r="U13" s="261"/>
      <c r="V13" s="261"/>
      <c r="W13" s="261"/>
      <c r="X13" s="260"/>
      <c r="Y13" s="259"/>
      <c r="Z13" s="259"/>
      <c r="AA13" s="259"/>
      <c r="AB13" s="259"/>
      <c r="AC13" s="259"/>
      <c r="AD13" s="259"/>
      <c r="AE13" s="261"/>
      <c r="AF13" s="260"/>
      <c r="AG13" s="255"/>
      <c r="AH13" s="259"/>
      <c r="AI13" s="255"/>
      <c r="AJ13" s="255"/>
      <c r="AK13" s="259"/>
      <c r="AL13" s="255"/>
      <c r="AM13" s="259"/>
      <c r="AN13" s="259"/>
      <c r="AO13" s="255" t="s">
        <v>541</v>
      </c>
      <c r="AP13" s="258" t="s">
        <v>537</v>
      </c>
      <c r="AQ13" s="258"/>
      <c r="AR13" s="258"/>
      <c r="AS13" s="262"/>
      <c r="AT13" s="258">
        <v>1</v>
      </c>
      <c r="AU13" s="262"/>
      <c r="AV13" s="258"/>
      <c r="AW13" s="262"/>
      <c r="AX13" s="258" t="s">
        <v>547</v>
      </c>
      <c r="AY13" s="258"/>
      <c r="AZ13" s="258">
        <v>0</v>
      </c>
      <c r="BA13" s="258">
        <v>0</v>
      </c>
      <c r="BB13" s="258">
        <v>0</v>
      </c>
      <c r="BC13" s="258">
        <v>0</v>
      </c>
      <c r="BD13" s="258">
        <v>0</v>
      </c>
      <c r="BE13" s="258">
        <v>0</v>
      </c>
      <c r="BF13" s="258">
        <v>0</v>
      </c>
      <c r="BG13" s="258">
        <v>0</v>
      </c>
      <c r="BH13" s="258">
        <v>0</v>
      </c>
      <c r="BI13" s="258">
        <v>0</v>
      </c>
      <c r="BJ13" s="258">
        <v>0</v>
      </c>
      <c r="BK13" s="258">
        <v>0</v>
      </c>
      <c r="BL13" s="258"/>
      <c r="BM13" s="258" t="s">
        <v>537</v>
      </c>
      <c r="BN13" s="258"/>
      <c r="BO13" s="258" t="s">
        <v>537</v>
      </c>
      <c r="BP13" s="349"/>
      <c r="BQ13" s="258"/>
      <c r="BR13" s="258"/>
      <c r="BS13" s="258"/>
      <c r="BT13" s="255"/>
      <c r="BU13" s="264"/>
      <c r="BV13" s="258"/>
      <c r="BW13" s="258" t="s">
        <v>543</v>
      </c>
      <c r="BX13" s="258"/>
      <c r="BY13" s="264"/>
      <c r="BZ13" s="322" t="s">
        <v>889</v>
      </c>
      <c r="CA13" s="255" t="s">
        <v>56</v>
      </c>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row>
    <row r="14" spans="1:109" customFormat="1" ht="13" customHeight="1" x14ac:dyDescent="0.15">
      <c r="A14" s="255">
        <v>574</v>
      </c>
      <c r="B14" s="352">
        <v>43309</v>
      </c>
      <c r="C14" s="257" t="s">
        <v>533</v>
      </c>
      <c r="D14" s="255" t="s">
        <v>534</v>
      </c>
      <c r="E14" s="255"/>
      <c r="F14" s="255" t="s">
        <v>535</v>
      </c>
      <c r="G14" s="256">
        <v>43266</v>
      </c>
      <c r="H14" s="258" t="s">
        <v>536</v>
      </c>
      <c r="I14" s="258" t="s">
        <v>537</v>
      </c>
      <c r="J14" s="258"/>
      <c r="K14" s="255" t="s">
        <v>688</v>
      </c>
      <c r="L14" s="255" t="s">
        <v>890</v>
      </c>
      <c r="M14" s="259">
        <v>110.6</v>
      </c>
      <c r="N14" s="259">
        <v>31.127272727272725</v>
      </c>
      <c r="O14" s="264"/>
      <c r="P14" s="260"/>
      <c r="Q14" s="261"/>
      <c r="R14" s="260"/>
      <c r="S14" s="261"/>
      <c r="T14" s="260"/>
      <c r="U14" s="261"/>
      <c r="V14" s="261"/>
      <c r="W14" s="261"/>
      <c r="X14" s="255"/>
      <c r="Y14" s="259"/>
      <c r="Z14" s="259"/>
      <c r="AA14" s="259"/>
      <c r="AB14" s="259"/>
      <c r="AC14" s="259"/>
      <c r="AD14" s="261"/>
      <c r="AE14" s="261"/>
      <c r="AF14" s="260"/>
      <c r="AG14" s="255"/>
      <c r="AH14" s="259"/>
      <c r="AI14" s="255"/>
      <c r="AJ14" s="255"/>
      <c r="AK14" s="259"/>
      <c r="AL14" s="255"/>
      <c r="AM14" s="259"/>
      <c r="AN14" s="259"/>
      <c r="AO14" s="255" t="s">
        <v>541</v>
      </c>
      <c r="AP14" s="258" t="s">
        <v>537</v>
      </c>
      <c r="AQ14" s="258"/>
      <c r="AR14" s="258"/>
      <c r="AS14" s="262"/>
      <c r="AT14" s="258">
        <v>2.06</v>
      </c>
      <c r="AU14" s="262"/>
      <c r="AV14" s="258"/>
      <c r="AW14" s="262"/>
      <c r="AX14" s="258" t="s">
        <v>537</v>
      </c>
      <c r="AY14" s="258"/>
      <c r="AZ14" s="258">
        <v>0</v>
      </c>
      <c r="BA14" s="258">
        <v>0</v>
      </c>
      <c r="BB14" s="258">
        <v>0</v>
      </c>
      <c r="BC14" s="258">
        <v>0</v>
      </c>
      <c r="BD14" s="258">
        <v>0</v>
      </c>
      <c r="BE14" s="258">
        <v>0</v>
      </c>
      <c r="BF14" s="258">
        <v>0</v>
      </c>
      <c r="BG14" s="258">
        <v>0</v>
      </c>
      <c r="BH14" s="258">
        <v>0</v>
      </c>
      <c r="BI14" s="258">
        <v>0</v>
      </c>
      <c r="BJ14" s="258">
        <v>0</v>
      </c>
      <c r="BK14" s="258">
        <v>0</v>
      </c>
      <c r="BL14" s="258"/>
      <c r="BM14" s="258" t="s">
        <v>537</v>
      </c>
      <c r="BN14" s="258"/>
      <c r="BO14" s="258" t="s">
        <v>537</v>
      </c>
      <c r="BP14" s="349"/>
      <c r="BQ14" s="258"/>
      <c r="BR14" s="258"/>
      <c r="BS14" s="258"/>
      <c r="BT14" s="264"/>
      <c r="BU14" s="264"/>
      <c r="BV14" s="258"/>
      <c r="BW14" s="258" t="s">
        <v>543</v>
      </c>
      <c r="BX14" s="258">
        <v>1</v>
      </c>
      <c r="BY14" s="255" t="s">
        <v>891</v>
      </c>
      <c r="BZ14" s="312" t="s">
        <v>892</v>
      </c>
      <c r="CA14" s="255" t="s">
        <v>56</v>
      </c>
    </row>
    <row r="15" spans="1:109" customFormat="1" ht="13" customHeight="1" x14ac:dyDescent="0.15">
      <c r="A15" s="255">
        <v>16569</v>
      </c>
      <c r="B15" s="256">
        <v>43294</v>
      </c>
      <c r="C15" s="257" t="s">
        <v>533</v>
      </c>
      <c r="D15" s="255" t="s">
        <v>534</v>
      </c>
      <c r="E15" s="255"/>
      <c r="F15" s="255" t="s">
        <v>535</v>
      </c>
      <c r="G15" s="256">
        <v>43273</v>
      </c>
      <c r="H15" s="258" t="s">
        <v>536</v>
      </c>
      <c r="I15" s="258" t="s">
        <v>508</v>
      </c>
      <c r="J15" s="258"/>
      <c r="K15" s="255" t="s">
        <v>695</v>
      </c>
      <c r="L15" s="255" t="s">
        <v>830</v>
      </c>
      <c r="M15" s="259">
        <v>103.39090909090909</v>
      </c>
      <c r="N15" s="259">
        <v>39.772727272727266</v>
      </c>
      <c r="O15" s="264"/>
      <c r="P15" s="260"/>
      <c r="Q15" s="261"/>
      <c r="R15" s="260"/>
      <c r="S15" s="261"/>
      <c r="T15" s="260"/>
      <c r="U15" s="261"/>
      <c r="V15" s="261"/>
      <c r="W15" s="261"/>
      <c r="X15" s="255"/>
      <c r="Y15" s="259"/>
      <c r="Z15" s="259"/>
      <c r="AA15" s="259"/>
      <c r="AB15" s="259"/>
      <c r="AC15" s="259"/>
      <c r="AD15" s="261"/>
      <c r="AE15" s="261"/>
      <c r="AF15" s="260"/>
      <c r="AG15" s="255"/>
      <c r="AH15" s="259"/>
      <c r="AI15" s="255"/>
      <c r="AJ15" s="255"/>
      <c r="AK15" s="259"/>
      <c r="AL15" s="255"/>
      <c r="AM15" s="259"/>
      <c r="AN15" s="259"/>
      <c r="AO15" s="255" t="s">
        <v>541</v>
      </c>
      <c r="AP15" s="258" t="s">
        <v>537</v>
      </c>
      <c r="AQ15" s="258"/>
      <c r="AR15" s="258"/>
      <c r="AS15" s="262"/>
      <c r="AT15" s="258">
        <v>0</v>
      </c>
      <c r="AU15" s="262"/>
      <c r="AV15" s="258"/>
      <c r="AW15" s="262"/>
      <c r="AX15" s="258" t="s">
        <v>495</v>
      </c>
      <c r="AY15" s="258"/>
      <c r="AZ15" s="258">
        <v>0</v>
      </c>
      <c r="BA15" s="258">
        <v>0</v>
      </c>
      <c r="BB15" s="258">
        <v>0</v>
      </c>
      <c r="BC15" s="258">
        <v>0</v>
      </c>
      <c r="BD15" s="258">
        <v>0</v>
      </c>
      <c r="BE15" s="258">
        <v>0</v>
      </c>
      <c r="BF15" s="258">
        <v>0</v>
      </c>
      <c r="BG15" s="258">
        <v>0</v>
      </c>
      <c r="BH15" s="258">
        <v>0</v>
      </c>
      <c r="BI15" s="258">
        <v>0</v>
      </c>
      <c r="BJ15" s="258">
        <v>0</v>
      </c>
      <c r="BK15" s="258">
        <v>0</v>
      </c>
      <c r="BL15" s="258"/>
      <c r="BM15" s="258" t="s">
        <v>537</v>
      </c>
      <c r="BN15" s="258"/>
      <c r="BO15" s="258" t="s">
        <v>537</v>
      </c>
      <c r="BP15" s="349"/>
      <c r="BQ15" s="258"/>
      <c r="BR15" s="258"/>
      <c r="BS15" s="258"/>
      <c r="BT15" s="264"/>
      <c r="BU15" s="264"/>
      <c r="BV15" s="258"/>
      <c r="BW15" s="258" t="s">
        <v>543</v>
      </c>
      <c r="BX15" s="258"/>
      <c r="BY15" s="255" t="s">
        <v>893</v>
      </c>
      <c r="BZ15" s="323" t="s">
        <v>79</v>
      </c>
      <c r="CA15" s="255" t="s">
        <v>527</v>
      </c>
    </row>
    <row r="16" spans="1:109" customFormat="1" ht="13" customHeight="1" x14ac:dyDescent="0.15">
      <c r="A16" s="255">
        <v>15770</v>
      </c>
      <c r="B16" s="256">
        <v>43292</v>
      </c>
      <c r="C16" s="257" t="s">
        <v>533</v>
      </c>
      <c r="D16" s="255" t="s">
        <v>534</v>
      </c>
      <c r="E16" s="255"/>
      <c r="F16" s="255" t="s">
        <v>535</v>
      </c>
      <c r="G16" s="256">
        <v>43281</v>
      </c>
      <c r="H16" s="258" t="s">
        <v>536</v>
      </c>
      <c r="I16" s="258" t="s">
        <v>537</v>
      </c>
      <c r="J16" s="258"/>
      <c r="K16" s="255" t="s">
        <v>894</v>
      </c>
      <c r="L16" s="255" t="s">
        <v>895</v>
      </c>
      <c r="M16" s="259">
        <v>99.999999999999986</v>
      </c>
      <c r="N16" s="259">
        <v>32.690909090909088</v>
      </c>
      <c r="O16" s="264"/>
      <c r="P16" s="260"/>
      <c r="Q16" s="261"/>
      <c r="R16" s="260"/>
      <c r="S16" s="261"/>
      <c r="T16" s="260"/>
      <c r="U16" s="261"/>
      <c r="V16" s="261"/>
      <c r="W16" s="261"/>
      <c r="X16" s="255"/>
      <c r="Y16" s="259"/>
      <c r="Z16" s="259"/>
      <c r="AA16" s="259"/>
      <c r="AB16" s="259"/>
      <c r="AC16" s="259"/>
      <c r="AD16" s="261"/>
      <c r="AE16" s="261"/>
      <c r="AF16" s="255"/>
      <c r="AG16" s="255"/>
      <c r="AH16" s="259"/>
      <c r="AI16" s="255"/>
      <c r="AJ16" s="255"/>
      <c r="AK16" s="259"/>
      <c r="AL16" s="255"/>
      <c r="AM16" s="259"/>
      <c r="AN16" s="259"/>
      <c r="AO16" s="255" t="s">
        <v>541</v>
      </c>
      <c r="AP16" s="258" t="s">
        <v>537</v>
      </c>
      <c r="AQ16" s="258"/>
      <c r="AR16" s="258"/>
      <c r="AS16" s="262"/>
      <c r="AT16" s="258">
        <v>7</v>
      </c>
      <c r="AU16" s="262"/>
      <c r="AV16" s="258"/>
      <c r="AW16" s="262"/>
      <c r="AX16" s="258" t="s">
        <v>537</v>
      </c>
      <c r="AY16" s="258"/>
      <c r="AZ16" s="258">
        <v>0</v>
      </c>
      <c r="BA16" s="258">
        <v>0</v>
      </c>
      <c r="BB16" s="258">
        <v>0</v>
      </c>
      <c r="BC16" s="258">
        <v>0</v>
      </c>
      <c r="BD16" s="258">
        <v>0</v>
      </c>
      <c r="BE16" s="258">
        <v>0</v>
      </c>
      <c r="BF16" s="258">
        <v>0</v>
      </c>
      <c r="BG16" s="258">
        <v>0</v>
      </c>
      <c r="BH16" s="258">
        <v>0</v>
      </c>
      <c r="BI16" s="258">
        <v>0</v>
      </c>
      <c r="BJ16" s="258">
        <v>0</v>
      </c>
      <c r="BK16" s="258">
        <v>0</v>
      </c>
      <c r="BL16" s="258"/>
      <c r="BM16" s="258" t="s">
        <v>537</v>
      </c>
      <c r="BN16" s="258"/>
      <c r="BO16" s="258" t="s">
        <v>537</v>
      </c>
      <c r="BP16" s="263">
        <v>47.236363636363635</v>
      </c>
      <c r="BQ16" s="258"/>
      <c r="BR16" s="258"/>
      <c r="BS16" s="258"/>
      <c r="BT16" s="255"/>
      <c r="BU16" s="255"/>
      <c r="BV16" s="258"/>
      <c r="BW16" s="258" t="s">
        <v>543</v>
      </c>
      <c r="BX16" s="258">
        <v>1</v>
      </c>
      <c r="BY16" s="264"/>
      <c r="BZ16" s="323" t="s">
        <v>896</v>
      </c>
      <c r="CA16" s="255" t="s">
        <v>90</v>
      </c>
    </row>
    <row r="17" spans="1:109" customFormat="1" ht="13" customHeight="1" x14ac:dyDescent="0.15">
      <c r="A17" s="255">
        <v>10815</v>
      </c>
      <c r="B17" s="256">
        <v>43290</v>
      </c>
      <c r="C17" s="257" t="s">
        <v>533</v>
      </c>
      <c r="D17" s="255" t="s">
        <v>534</v>
      </c>
      <c r="E17" s="255"/>
      <c r="F17" s="255" t="s">
        <v>612</v>
      </c>
      <c r="G17" s="256">
        <v>43284</v>
      </c>
      <c r="H17" s="355" t="s">
        <v>536</v>
      </c>
      <c r="I17" s="355" t="s">
        <v>508</v>
      </c>
      <c r="J17" s="355"/>
      <c r="K17" s="311" t="s">
        <v>538</v>
      </c>
      <c r="L17" s="255" t="s">
        <v>643</v>
      </c>
      <c r="M17" s="259">
        <v>94.181818181818173</v>
      </c>
      <c r="N17" s="259">
        <v>33.218181818181812</v>
      </c>
      <c r="O17" s="264"/>
      <c r="P17" s="260"/>
      <c r="Q17" s="261"/>
      <c r="R17" s="260"/>
      <c r="S17" s="261"/>
      <c r="T17" s="260"/>
      <c r="U17" s="261"/>
      <c r="V17" s="261"/>
      <c r="W17" s="261"/>
      <c r="X17" s="255"/>
      <c r="Y17" s="259"/>
      <c r="Z17" s="259"/>
      <c r="AA17" s="259"/>
      <c r="AB17" s="259"/>
      <c r="AC17" s="259"/>
      <c r="AD17" s="259"/>
      <c r="AE17" s="259">
        <v>18.272727272727273</v>
      </c>
      <c r="AF17" s="260"/>
      <c r="AG17" s="255"/>
      <c r="AH17" s="259"/>
      <c r="AI17" s="255"/>
      <c r="AJ17" s="255"/>
      <c r="AK17" s="259"/>
      <c r="AL17" s="255"/>
      <c r="AM17" s="259"/>
      <c r="AN17" s="259"/>
      <c r="AO17" s="312" t="s">
        <v>613</v>
      </c>
      <c r="AP17" s="355" t="s">
        <v>537</v>
      </c>
      <c r="AQ17" s="355"/>
      <c r="AR17" s="355"/>
      <c r="AS17" s="258">
        <v>10</v>
      </c>
      <c r="AT17" s="258">
        <v>10</v>
      </c>
      <c r="AU17" s="354">
        <v>1274</v>
      </c>
      <c r="AV17" s="156"/>
      <c r="AW17" s="359">
        <v>5</v>
      </c>
      <c r="AX17" s="348" t="s">
        <v>542</v>
      </c>
      <c r="AY17" s="258"/>
      <c r="AZ17" s="355">
        <v>0</v>
      </c>
      <c r="BA17" s="355">
        <v>0</v>
      </c>
      <c r="BB17" s="355">
        <v>0</v>
      </c>
      <c r="BC17" s="355">
        <v>0</v>
      </c>
      <c r="BD17" s="355">
        <v>0</v>
      </c>
      <c r="BE17" s="355">
        <v>0</v>
      </c>
      <c r="BF17" s="355">
        <v>0</v>
      </c>
      <c r="BG17" s="355">
        <v>0</v>
      </c>
      <c r="BH17" s="355">
        <v>0</v>
      </c>
      <c r="BI17" s="355">
        <v>0</v>
      </c>
      <c r="BJ17" s="355">
        <v>0</v>
      </c>
      <c r="BK17" s="355">
        <v>0</v>
      </c>
      <c r="BL17" s="355"/>
      <c r="BM17" s="355" t="s">
        <v>537</v>
      </c>
      <c r="BN17" s="258">
        <v>12</v>
      </c>
      <c r="BO17" s="355" t="s">
        <v>537</v>
      </c>
      <c r="BP17" s="357"/>
      <c r="BQ17" s="355"/>
      <c r="BR17" s="355"/>
      <c r="BS17" s="355"/>
      <c r="BT17" s="311"/>
      <c r="BU17" s="356"/>
      <c r="BV17" s="355"/>
      <c r="BW17" s="355" t="s">
        <v>543</v>
      </c>
      <c r="BX17" s="355"/>
      <c r="BY17" s="264"/>
      <c r="BZ17" s="312" t="s">
        <v>79</v>
      </c>
      <c r="CA17" s="255" t="s">
        <v>90</v>
      </c>
    </row>
    <row r="18" spans="1:109" customFormat="1" ht="13" customHeight="1" x14ac:dyDescent="0.15">
      <c r="A18" s="255"/>
      <c r="B18" s="352">
        <v>43309</v>
      </c>
      <c r="C18" s="257" t="s">
        <v>533</v>
      </c>
      <c r="D18" s="255" t="s">
        <v>534</v>
      </c>
      <c r="E18" s="255"/>
      <c r="F18" s="255" t="s">
        <v>612</v>
      </c>
      <c r="G18" s="307">
        <v>43299</v>
      </c>
      <c r="H18" s="258" t="s">
        <v>536</v>
      </c>
      <c r="I18" s="258" t="s">
        <v>537</v>
      </c>
      <c r="J18" s="258"/>
      <c r="K18" s="255" t="s">
        <v>544</v>
      </c>
      <c r="L18" s="255" t="s">
        <v>802</v>
      </c>
      <c r="M18" s="259">
        <v>90.690909090909088</v>
      </c>
      <c r="N18" s="259">
        <v>32.672727272727265</v>
      </c>
      <c r="O18" s="264"/>
      <c r="P18" s="260"/>
      <c r="Q18" s="261"/>
      <c r="R18" s="260"/>
      <c r="S18" s="261"/>
      <c r="T18" s="255"/>
      <c r="U18" s="261"/>
      <c r="V18" s="261"/>
      <c r="W18" s="261"/>
      <c r="X18" s="255"/>
      <c r="Y18" s="259"/>
      <c r="Z18" s="259"/>
      <c r="AA18" s="259"/>
      <c r="AB18" s="259"/>
      <c r="AC18" s="259"/>
      <c r="AD18" s="261"/>
      <c r="AE18" s="259">
        <v>17.890909090909091</v>
      </c>
      <c r="AF18" s="260"/>
      <c r="AG18" s="255"/>
      <c r="AH18" s="259"/>
      <c r="AI18" s="255"/>
      <c r="AJ18" s="255"/>
      <c r="AK18" s="259"/>
      <c r="AL18" s="255"/>
      <c r="AM18" s="259"/>
      <c r="AN18" s="259"/>
      <c r="AO18" s="255" t="s">
        <v>613</v>
      </c>
      <c r="AP18" s="258" t="s">
        <v>537</v>
      </c>
      <c r="AQ18" s="258"/>
      <c r="AR18" s="258"/>
      <c r="AS18" s="262"/>
      <c r="AT18" s="258">
        <v>8</v>
      </c>
      <c r="AU18" s="262"/>
      <c r="AV18" s="258"/>
      <c r="AW18" s="262"/>
      <c r="AX18" s="258" t="s">
        <v>537</v>
      </c>
      <c r="AY18" s="258"/>
      <c r="AZ18" s="258">
        <v>0</v>
      </c>
      <c r="BA18" s="258">
        <v>0</v>
      </c>
      <c r="BB18" s="258">
        <v>0</v>
      </c>
      <c r="BC18" s="258">
        <v>0</v>
      </c>
      <c r="BD18" s="258">
        <v>0</v>
      </c>
      <c r="BE18" s="258">
        <v>0</v>
      </c>
      <c r="BF18" s="258">
        <v>0</v>
      </c>
      <c r="BG18" s="258">
        <v>0</v>
      </c>
      <c r="BH18" s="258">
        <v>0</v>
      </c>
      <c r="BI18" s="258">
        <v>0</v>
      </c>
      <c r="BJ18" s="258">
        <v>0</v>
      </c>
      <c r="BK18" s="258">
        <v>0</v>
      </c>
      <c r="BL18" s="258"/>
      <c r="BM18" s="258" t="s">
        <v>537</v>
      </c>
      <c r="BN18" s="258"/>
      <c r="BO18" s="258" t="s">
        <v>537</v>
      </c>
      <c r="BP18" s="349"/>
      <c r="BQ18" s="258"/>
      <c r="BR18" s="258"/>
      <c r="BS18" s="258"/>
      <c r="BT18" s="255"/>
      <c r="BU18" s="255"/>
      <c r="BV18" s="258"/>
      <c r="BW18" s="258" t="s">
        <v>543</v>
      </c>
      <c r="BX18" s="258">
        <v>1</v>
      </c>
      <c r="BY18" s="255"/>
      <c r="BZ18" s="312" t="s">
        <v>79</v>
      </c>
      <c r="CA18" s="255" t="s">
        <v>527</v>
      </c>
    </row>
    <row r="19" spans="1:109" customFormat="1" ht="13" customHeight="1" x14ac:dyDescent="0.15">
      <c r="A19" s="255">
        <v>11133</v>
      </c>
      <c r="B19" s="256">
        <v>43291</v>
      </c>
      <c r="C19" s="257" t="s">
        <v>533</v>
      </c>
      <c r="D19" s="255" t="s">
        <v>534</v>
      </c>
      <c r="E19" s="255"/>
      <c r="F19" s="255" t="s">
        <v>612</v>
      </c>
      <c r="G19" s="307">
        <v>43281</v>
      </c>
      <c r="H19" s="258" t="s">
        <v>536</v>
      </c>
      <c r="I19" s="258" t="s">
        <v>537</v>
      </c>
      <c r="J19" s="258"/>
      <c r="K19" s="255" t="s">
        <v>873</v>
      </c>
      <c r="L19" s="255" t="s">
        <v>874</v>
      </c>
      <c r="M19" s="259">
        <v>80</v>
      </c>
      <c r="N19" s="259">
        <v>32.999999999999993</v>
      </c>
      <c r="O19" s="264" t="s">
        <v>648</v>
      </c>
      <c r="P19" s="260">
        <v>300</v>
      </c>
      <c r="Q19" s="259">
        <v>35.154545454545456</v>
      </c>
      <c r="R19" s="260">
        <v>700</v>
      </c>
      <c r="S19" s="259">
        <v>40</v>
      </c>
      <c r="T19" s="260">
        <v>1500</v>
      </c>
      <c r="U19" s="259">
        <v>42</v>
      </c>
      <c r="V19" s="261"/>
      <c r="W19" s="261"/>
      <c r="X19" s="255"/>
      <c r="Y19" s="259"/>
      <c r="Z19" s="259"/>
      <c r="AA19" s="259"/>
      <c r="AB19" s="259"/>
      <c r="AC19" s="259"/>
      <c r="AD19" s="259"/>
      <c r="AE19" s="259">
        <v>17.536363636363635</v>
      </c>
      <c r="AF19" s="260"/>
      <c r="AG19" s="255"/>
      <c r="AH19" s="259"/>
      <c r="AI19" s="255"/>
      <c r="AJ19" s="255"/>
      <c r="AK19" s="259"/>
      <c r="AL19" s="255"/>
      <c r="AM19" s="259"/>
      <c r="AN19" s="259"/>
      <c r="AO19" s="255" t="s">
        <v>613</v>
      </c>
      <c r="AP19" s="258" t="s">
        <v>537</v>
      </c>
      <c r="AQ19" s="258"/>
      <c r="AR19" s="258"/>
      <c r="AS19" s="258">
        <v>10</v>
      </c>
      <c r="AT19" s="258">
        <v>5.2</v>
      </c>
      <c r="AU19" s="262"/>
      <c r="AV19" s="258"/>
      <c r="AW19" s="262"/>
      <c r="AX19" s="258" t="s">
        <v>542</v>
      </c>
      <c r="AY19" s="315"/>
      <c r="AZ19" s="258">
        <v>0</v>
      </c>
      <c r="BA19" s="258">
        <v>0</v>
      </c>
      <c r="BB19" s="258">
        <v>2</v>
      </c>
      <c r="BC19" s="258">
        <v>0</v>
      </c>
      <c r="BD19" s="258">
        <v>0</v>
      </c>
      <c r="BE19" s="258">
        <v>0</v>
      </c>
      <c r="BF19" s="258">
        <v>0</v>
      </c>
      <c r="BG19" s="258">
        <v>0</v>
      </c>
      <c r="BH19" s="258">
        <v>0</v>
      </c>
      <c r="BI19" s="258">
        <v>0</v>
      </c>
      <c r="BJ19" s="258">
        <v>0</v>
      </c>
      <c r="BK19" s="258">
        <v>0</v>
      </c>
      <c r="BL19" s="258"/>
      <c r="BM19" s="258" t="s">
        <v>537</v>
      </c>
      <c r="BN19" s="258"/>
      <c r="BO19" s="258" t="s">
        <v>537</v>
      </c>
      <c r="BP19" s="349"/>
      <c r="BQ19" s="258"/>
      <c r="BR19" s="258"/>
      <c r="BS19" s="258"/>
      <c r="BT19" s="255"/>
      <c r="BU19" s="255"/>
      <c r="BV19" s="258"/>
      <c r="BW19" s="258" t="s">
        <v>543</v>
      </c>
      <c r="BX19" s="258"/>
      <c r="BY19" s="314"/>
      <c r="BZ19" s="358" t="s">
        <v>702</v>
      </c>
      <c r="CA19" s="264" t="s">
        <v>90</v>
      </c>
    </row>
    <row r="20" spans="1:109" customFormat="1" ht="13" customHeight="1" x14ac:dyDescent="0.15">
      <c r="A20" s="255">
        <v>16149</v>
      </c>
      <c r="B20" s="353">
        <v>43308</v>
      </c>
      <c r="C20" s="257" t="s">
        <v>533</v>
      </c>
      <c r="D20" s="255" t="s">
        <v>534</v>
      </c>
      <c r="E20" s="255"/>
      <c r="F20" s="255" t="s">
        <v>612</v>
      </c>
      <c r="G20" s="256">
        <v>43251</v>
      </c>
      <c r="H20" s="258" t="s">
        <v>536</v>
      </c>
      <c r="I20" s="258" t="s">
        <v>508</v>
      </c>
      <c r="J20" s="258"/>
      <c r="K20" s="255" t="s">
        <v>875</v>
      </c>
      <c r="L20" s="255" t="s">
        <v>876</v>
      </c>
      <c r="M20" s="259">
        <v>84.5</v>
      </c>
      <c r="N20" s="259">
        <v>34.109090909090909</v>
      </c>
      <c r="O20" s="264"/>
      <c r="P20" s="260"/>
      <c r="Q20" s="261"/>
      <c r="R20" s="260"/>
      <c r="S20" s="261"/>
      <c r="T20" s="260"/>
      <c r="U20" s="261"/>
      <c r="V20" s="261"/>
      <c r="W20" s="261"/>
      <c r="X20" s="260"/>
      <c r="Y20" s="259"/>
      <c r="Z20" s="259"/>
      <c r="AA20" s="259"/>
      <c r="AB20" s="259"/>
      <c r="AC20" s="259"/>
      <c r="AD20" s="259"/>
      <c r="AE20" s="259">
        <v>18.18181818181818</v>
      </c>
      <c r="AF20" s="260"/>
      <c r="AG20" s="255"/>
      <c r="AH20" s="259"/>
      <c r="AI20" s="255"/>
      <c r="AJ20" s="255"/>
      <c r="AK20" s="259"/>
      <c r="AL20" s="255"/>
      <c r="AM20" s="259"/>
      <c r="AN20" s="259"/>
      <c r="AO20" s="255" t="s">
        <v>613</v>
      </c>
      <c r="AP20" s="258" t="s">
        <v>537</v>
      </c>
      <c r="AQ20" s="258"/>
      <c r="AR20" s="258"/>
      <c r="AS20" s="262"/>
      <c r="AT20" s="258">
        <v>10</v>
      </c>
      <c r="AU20" s="262"/>
      <c r="AV20" s="258"/>
      <c r="AW20" s="262"/>
      <c r="AX20" s="258" t="s">
        <v>542</v>
      </c>
      <c r="AY20" s="258"/>
      <c r="AZ20" s="258">
        <v>0</v>
      </c>
      <c r="BA20" s="258">
        <v>0</v>
      </c>
      <c r="BB20" s="258">
        <v>0</v>
      </c>
      <c r="BC20" s="258">
        <v>0</v>
      </c>
      <c r="BD20" s="258">
        <v>0</v>
      </c>
      <c r="BE20" s="258">
        <v>0</v>
      </c>
      <c r="BF20" s="258">
        <v>0</v>
      </c>
      <c r="BG20" s="258">
        <v>0</v>
      </c>
      <c r="BH20" s="258">
        <v>0</v>
      </c>
      <c r="BI20" s="258">
        <v>0</v>
      </c>
      <c r="BJ20" s="258">
        <v>0</v>
      </c>
      <c r="BK20" s="258">
        <v>0</v>
      </c>
      <c r="BL20" s="258"/>
      <c r="BM20" s="258" t="s">
        <v>537</v>
      </c>
      <c r="BN20" s="258">
        <v>12</v>
      </c>
      <c r="BO20" s="258" t="s">
        <v>537</v>
      </c>
      <c r="BP20" s="349"/>
      <c r="BQ20" s="258"/>
      <c r="BR20" s="258"/>
      <c r="BS20" s="258"/>
      <c r="BT20" s="255" t="s">
        <v>877</v>
      </c>
      <c r="BU20" s="264" t="s">
        <v>50</v>
      </c>
      <c r="BV20" s="258">
        <v>25</v>
      </c>
      <c r="BW20" s="258" t="s">
        <v>543</v>
      </c>
      <c r="BX20" s="258"/>
      <c r="BY20" s="255" t="s">
        <v>878</v>
      </c>
      <c r="BZ20" s="312" t="s">
        <v>79</v>
      </c>
      <c r="CA20" s="255" t="s">
        <v>90</v>
      </c>
      <c r="CC20" s="118"/>
      <c r="CD20" s="118"/>
      <c r="CE20" s="118"/>
      <c r="CF20" s="118"/>
      <c r="CG20" s="118"/>
      <c r="CH20" s="118"/>
      <c r="CI20" s="118"/>
      <c r="CJ20" s="118"/>
      <c r="CK20" s="118"/>
      <c r="CL20" s="118"/>
      <c r="CM20" s="118"/>
      <c r="CN20" s="118"/>
      <c r="CO20" s="118"/>
      <c r="CP20" s="118"/>
      <c r="CQ20" s="118"/>
      <c r="CR20" s="118"/>
      <c r="CS20" s="118"/>
      <c r="CT20" s="118"/>
      <c r="CU20" s="118"/>
      <c r="CV20" s="118"/>
      <c r="CW20" s="118"/>
      <c r="CX20" s="118"/>
      <c r="CY20" s="118"/>
      <c r="CZ20" s="118"/>
      <c r="DA20" s="118"/>
      <c r="DB20" s="118"/>
      <c r="DC20" s="118"/>
      <c r="DD20" s="118"/>
      <c r="DE20" s="118"/>
    </row>
    <row r="21" spans="1:109" customFormat="1" ht="13" customHeight="1" x14ac:dyDescent="0.15">
      <c r="A21" s="255">
        <v>11894</v>
      </c>
      <c r="B21" s="352">
        <v>43309</v>
      </c>
      <c r="C21" s="257" t="s">
        <v>533</v>
      </c>
      <c r="D21" s="255" t="s">
        <v>534</v>
      </c>
      <c r="E21" s="255"/>
      <c r="F21" s="255" t="s">
        <v>612</v>
      </c>
      <c r="G21" s="256">
        <v>43302</v>
      </c>
      <c r="H21" s="258" t="s">
        <v>536</v>
      </c>
      <c r="I21" s="258" t="s">
        <v>537</v>
      </c>
      <c r="J21" s="258"/>
      <c r="K21" s="255" t="s">
        <v>880</v>
      </c>
      <c r="L21" s="255" t="s">
        <v>657</v>
      </c>
      <c r="M21" s="259">
        <v>84.154545454545442</v>
      </c>
      <c r="N21" s="259">
        <v>32.981818181818177</v>
      </c>
      <c r="O21" s="264"/>
      <c r="P21" s="260"/>
      <c r="Q21" s="261"/>
      <c r="R21" s="260"/>
      <c r="S21" s="261"/>
      <c r="T21" s="260"/>
      <c r="U21" s="261"/>
      <c r="V21" s="261"/>
      <c r="W21" s="261"/>
      <c r="X21" s="255"/>
      <c r="Y21" s="259"/>
      <c r="Z21" s="259"/>
      <c r="AA21" s="259"/>
      <c r="AB21" s="259"/>
      <c r="AC21" s="259"/>
      <c r="AD21" s="259"/>
      <c r="AE21" s="259">
        <v>18</v>
      </c>
      <c r="AF21" s="260"/>
      <c r="AG21" s="255"/>
      <c r="AH21" s="259"/>
      <c r="AI21" s="255"/>
      <c r="AJ21" s="255"/>
      <c r="AK21" s="259"/>
      <c r="AL21" s="255"/>
      <c r="AM21" s="259"/>
      <c r="AN21" s="259"/>
      <c r="AO21" s="255" t="s">
        <v>613</v>
      </c>
      <c r="AP21" s="258" t="s">
        <v>537</v>
      </c>
      <c r="AQ21" s="258"/>
      <c r="AR21" s="258"/>
      <c r="AS21" s="262"/>
      <c r="AT21" s="258">
        <v>3</v>
      </c>
      <c r="AU21" s="262"/>
      <c r="AV21" s="258"/>
      <c r="AW21" s="262"/>
      <c r="AX21" s="258" t="s">
        <v>495</v>
      </c>
      <c r="AY21" s="258"/>
      <c r="AZ21" s="258">
        <v>0</v>
      </c>
      <c r="BA21" s="258">
        <v>0</v>
      </c>
      <c r="BB21" s="258">
        <v>0</v>
      </c>
      <c r="BC21" s="258">
        <v>0</v>
      </c>
      <c r="BD21" s="258">
        <v>0</v>
      </c>
      <c r="BE21" s="258">
        <v>0</v>
      </c>
      <c r="BF21" s="258">
        <v>0</v>
      </c>
      <c r="BG21" s="258">
        <v>0</v>
      </c>
      <c r="BH21" s="258">
        <v>0</v>
      </c>
      <c r="BI21" s="258">
        <v>0</v>
      </c>
      <c r="BJ21" s="258">
        <v>0</v>
      </c>
      <c r="BK21" s="258">
        <v>0</v>
      </c>
      <c r="BL21" s="258"/>
      <c r="BM21" s="258" t="s">
        <v>537</v>
      </c>
      <c r="BN21" s="258"/>
      <c r="BO21" s="258" t="s">
        <v>537</v>
      </c>
      <c r="BP21" s="349"/>
      <c r="BQ21" s="258"/>
      <c r="BR21" s="258"/>
      <c r="BS21" s="258"/>
      <c r="BT21" s="255" t="s">
        <v>881</v>
      </c>
      <c r="BU21" s="255"/>
      <c r="BV21" s="258"/>
      <c r="BW21" s="258" t="s">
        <v>543</v>
      </c>
      <c r="BX21" s="258"/>
      <c r="BY21" s="264"/>
      <c r="BZ21" s="312" t="s">
        <v>843</v>
      </c>
      <c r="CA21" s="264" t="s">
        <v>90</v>
      </c>
    </row>
    <row r="22" spans="1:109" customFormat="1" ht="13" customHeight="1" x14ac:dyDescent="0.15">
      <c r="A22" s="255">
        <v>12325</v>
      </c>
      <c r="B22" s="256">
        <v>43291</v>
      </c>
      <c r="C22" s="257" t="s">
        <v>533</v>
      </c>
      <c r="D22" s="255" t="s">
        <v>534</v>
      </c>
      <c r="E22" s="255"/>
      <c r="F22" s="255" t="s">
        <v>612</v>
      </c>
      <c r="G22" s="256">
        <v>43287</v>
      </c>
      <c r="H22" s="258" t="s">
        <v>536</v>
      </c>
      <c r="I22" s="258" t="s">
        <v>508</v>
      </c>
      <c r="J22" s="258"/>
      <c r="K22" s="255" t="s">
        <v>585</v>
      </c>
      <c r="L22" s="255" t="s">
        <v>662</v>
      </c>
      <c r="M22" s="259">
        <v>87.790909090909082</v>
      </c>
      <c r="N22" s="259">
        <v>33.790909090909089</v>
      </c>
      <c r="O22" s="264" t="s">
        <v>546</v>
      </c>
      <c r="P22" s="260">
        <v>1000</v>
      </c>
      <c r="Q22" s="259">
        <v>36.527272727272724</v>
      </c>
      <c r="R22" s="260"/>
      <c r="S22" s="261"/>
      <c r="T22" s="260"/>
      <c r="U22" s="261"/>
      <c r="V22" s="261"/>
      <c r="W22" s="261"/>
      <c r="X22" s="255"/>
      <c r="Y22" s="259"/>
      <c r="Z22" s="259"/>
      <c r="AA22" s="259"/>
      <c r="AB22" s="259"/>
      <c r="AC22" s="259"/>
      <c r="AD22" s="261"/>
      <c r="AE22" s="259">
        <v>17.890909090909091</v>
      </c>
      <c r="AF22" s="260"/>
      <c r="AG22" s="255"/>
      <c r="AH22" s="259"/>
      <c r="AI22" s="255"/>
      <c r="AJ22" s="255"/>
      <c r="AK22" s="259"/>
      <c r="AL22" s="255"/>
      <c r="AM22" s="259"/>
      <c r="AN22" s="259"/>
      <c r="AO22" s="255" t="s">
        <v>613</v>
      </c>
      <c r="AP22" s="258" t="s">
        <v>537</v>
      </c>
      <c r="AQ22" s="258"/>
      <c r="AR22" s="258"/>
      <c r="AS22" s="258"/>
      <c r="AT22" s="258">
        <v>10</v>
      </c>
      <c r="AU22" s="262">
        <v>1274</v>
      </c>
      <c r="AV22" s="258"/>
      <c r="AW22" s="262">
        <v>5</v>
      </c>
      <c r="AX22" s="258" t="s">
        <v>542</v>
      </c>
      <c r="AY22" s="258"/>
      <c r="AZ22" s="258">
        <v>0</v>
      </c>
      <c r="BA22" s="258">
        <v>0</v>
      </c>
      <c r="BB22" s="258">
        <v>0</v>
      </c>
      <c r="BC22" s="258">
        <v>0</v>
      </c>
      <c r="BD22" s="258">
        <v>0</v>
      </c>
      <c r="BE22" s="258">
        <v>0</v>
      </c>
      <c r="BF22" s="258">
        <v>0</v>
      </c>
      <c r="BG22" s="258">
        <v>0</v>
      </c>
      <c r="BH22" s="258">
        <v>0</v>
      </c>
      <c r="BI22" s="258">
        <v>0</v>
      </c>
      <c r="BJ22" s="258">
        <v>0</v>
      </c>
      <c r="BK22" s="258">
        <v>0</v>
      </c>
      <c r="BL22" s="258"/>
      <c r="BM22" s="258" t="s">
        <v>537</v>
      </c>
      <c r="BN22" s="258">
        <v>12</v>
      </c>
      <c r="BO22" s="258" t="s">
        <v>537</v>
      </c>
      <c r="BP22" s="349"/>
      <c r="BQ22" s="258"/>
      <c r="BR22" s="258"/>
      <c r="BS22" s="258"/>
      <c r="BT22" s="264"/>
      <c r="BU22" s="264"/>
      <c r="BV22" s="258"/>
      <c r="BW22" s="258" t="s">
        <v>543</v>
      </c>
      <c r="BX22" s="258"/>
      <c r="BY22" s="255" t="s">
        <v>882</v>
      </c>
      <c r="BZ22" s="264" t="s">
        <v>79</v>
      </c>
      <c r="CA22" s="264" t="s">
        <v>90</v>
      </c>
    </row>
    <row r="23" spans="1:109" customFormat="1" ht="13" customHeight="1" x14ac:dyDescent="0.15">
      <c r="A23" s="255">
        <v>11319</v>
      </c>
      <c r="B23" s="256">
        <v>43292</v>
      </c>
      <c r="C23" s="257" t="s">
        <v>533</v>
      </c>
      <c r="D23" s="255" t="s">
        <v>534</v>
      </c>
      <c r="E23" s="255"/>
      <c r="F23" s="255" t="s">
        <v>612</v>
      </c>
      <c r="G23" s="307">
        <v>43281</v>
      </c>
      <c r="H23" s="258" t="s">
        <v>536</v>
      </c>
      <c r="I23" s="258" t="s">
        <v>537</v>
      </c>
      <c r="J23" s="258"/>
      <c r="K23" s="255" t="s">
        <v>883</v>
      </c>
      <c r="L23" s="255" t="s">
        <v>667</v>
      </c>
      <c r="M23" s="259">
        <v>82</v>
      </c>
      <c r="N23" s="259">
        <v>31.099999999999998</v>
      </c>
      <c r="O23" s="264"/>
      <c r="P23" s="260"/>
      <c r="Q23" s="261"/>
      <c r="R23" s="260"/>
      <c r="S23" s="261"/>
      <c r="T23" s="255"/>
      <c r="U23" s="261"/>
      <c r="V23" s="261"/>
      <c r="W23" s="261"/>
      <c r="X23" s="260"/>
      <c r="Y23" s="259"/>
      <c r="Z23" s="259"/>
      <c r="AA23" s="259"/>
      <c r="AB23" s="259"/>
      <c r="AC23" s="259"/>
      <c r="AD23" s="259"/>
      <c r="AE23" s="259">
        <v>15.518181818181818</v>
      </c>
      <c r="AF23" s="260"/>
      <c r="AG23" s="255"/>
      <c r="AH23" s="259"/>
      <c r="AI23" s="255"/>
      <c r="AJ23" s="255"/>
      <c r="AK23" s="259"/>
      <c r="AL23" s="255"/>
      <c r="AM23" s="259"/>
      <c r="AN23" s="259"/>
      <c r="AO23" s="255" t="s">
        <v>613</v>
      </c>
      <c r="AP23" s="258" t="s">
        <v>537</v>
      </c>
      <c r="AQ23" s="258"/>
      <c r="AR23" s="258"/>
      <c r="AS23" s="262"/>
      <c r="AT23" s="258">
        <v>3</v>
      </c>
      <c r="AU23" s="262"/>
      <c r="AV23" s="258"/>
      <c r="AW23" s="262"/>
      <c r="AX23" s="258" t="s">
        <v>542</v>
      </c>
      <c r="AY23" s="258"/>
      <c r="AZ23" s="258">
        <v>0</v>
      </c>
      <c r="BA23" s="258">
        <v>0</v>
      </c>
      <c r="BB23" s="258">
        <v>0</v>
      </c>
      <c r="BC23" s="258">
        <v>0</v>
      </c>
      <c r="BD23" s="258">
        <v>0</v>
      </c>
      <c r="BE23" s="258">
        <v>0</v>
      </c>
      <c r="BF23" s="258">
        <v>0</v>
      </c>
      <c r="BG23" s="258">
        <v>0</v>
      </c>
      <c r="BH23" s="258">
        <v>0</v>
      </c>
      <c r="BI23" s="258">
        <v>0</v>
      </c>
      <c r="BJ23" s="258">
        <v>0</v>
      </c>
      <c r="BK23" s="258">
        <v>0</v>
      </c>
      <c r="BL23" s="258"/>
      <c r="BM23" s="258" t="s">
        <v>537</v>
      </c>
      <c r="BN23" s="258"/>
      <c r="BO23" s="258" t="s">
        <v>537</v>
      </c>
      <c r="BP23" s="349"/>
      <c r="BQ23" s="258"/>
      <c r="BR23" s="258"/>
      <c r="BS23" s="258"/>
      <c r="BT23" s="264"/>
      <c r="BU23" s="264"/>
      <c r="BV23" s="258"/>
      <c r="BW23" s="258" t="s">
        <v>543</v>
      </c>
      <c r="BX23" s="258"/>
      <c r="BY23" s="264"/>
      <c r="BZ23" s="48" t="s">
        <v>79</v>
      </c>
      <c r="CA23" s="255" t="s">
        <v>90</v>
      </c>
    </row>
    <row r="24" spans="1:109" customFormat="1" ht="13" customHeight="1" x14ac:dyDescent="0.15">
      <c r="A24" s="255">
        <v>13690</v>
      </c>
      <c r="B24" s="352">
        <v>43308</v>
      </c>
      <c r="C24" s="257" t="s">
        <v>533</v>
      </c>
      <c r="D24" s="255" t="s">
        <v>534</v>
      </c>
      <c r="E24" s="255"/>
      <c r="F24" s="255" t="s">
        <v>612</v>
      </c>
      <c r="G24" s="256">
        <v>43299</v>
      </c>
      <c r="H24" s="258" t="s">
        <v>536</v>
      </c>
      <c r="I24" s="258" t="s">
        <v>537</v>
      </c>
      <c r="J24" s="258"/>
      <c r="K24" s="255" t="s">
        <v>594</v>
      </c>
      <c r="L24" s="255" t="s">
        <v>884</v>
      </c>
      <c r="M24" s="259">
        <v>72.999999999999986</v>
      </c>
      <c r="N24" s="259">
        <v>28.999999999999996</v>
      </c>
      <c r="O24" s="264"/>
      <c r="P24" s="260"/>
      <c r="Q24" s="261"/>
      <c r="R24" s="260"/>
      <c r="S24" s="261"/>
      <c r="T24" s="255"/>
      <c r="U24" s="261"/>
      <c r="V24" s="261"/>
      <c r="W24" s="261"/>
      <c r="X24" s="255"/>
      <c r="Y24" s="259"/>
      <c r="Z24" s="259"/>
      <c r="AA24" s="259"/>
      <c r="AB24" s="259"/>
      <c r="AC24" s="259"/>
      <c r="AD24" s="259"/>
      <c r="AE24" s="259">
        <v>21.499999999999996</v>
      </c>
      <c r="AF24" s="260"/>
      <c r="AG24" s="255"/>
      <c r="AH24" s="259"/>
      <c r="AI24" s="255"/>
      <c r="AJ24" s="255"/>
      <c r="AK24" s="261"/>
      <c r="AL24" s="255"/>
      <c r="AM24" s="259"/>
      <c r="AN24" s="259"/>
      <c r="AO24" s="255" t="s">
        <v>613</v>
      </c>
      <c r="AP24" s="258" t="s">
        <v>537</v>
      </c>
      <c r="AQ24" s="258"/>
      <c r="AR24" s="258"/>
      <c r="AS24" s="262"/>
      <c r="AT24" s="258">
        <v>9</v>
      </c>
      <c r="AU24" s="262">
        <v>910</v>
      </c>
      <c r="AV24" s="258"/>
      <c r="AW24" s="262">
        <v>6.5</v>
      </c>
      <c r="AX24" s="258" t="s">
        <v>542</v>
      </c>
      <c r="AY24" s="258"/>
      <c r="AZ24" s="258">
        <v>0</v>
      </c>
      <c r="BA24" s="258">
        <v>0</v>
      </c>
      <c r="BB24" s="258">
        <v>0</v>
      </c>
      <c r="BC24" s="258">
        <v>0</v>
      </c>
      <c r="BD24" s="258">
        <v>0</v>
      </c>
      <c r="BE24" s="258">
        <v>0</v>
      </c>
      <c r="BF24" s="258">
        <v>0</v>
      </c>
      <c r="BG24" s="258">
        <v>0</v>
      </c>
      <c r="BH24" s="258">
        <v>0</v>
      </c>
      <c r="BI24" s="258">
        <v>0</v>
      </c>
      <c r="BJ24" s="258">
        <v>0</v>
      </c>
      <c r="BK24" s="258">
        <v>0</v>
      </c>
      <c r="BL24" s="258"/>
      <c r="BM24" s="258" t="s">
        <v>537</v>
      </c>
      <c r="BN24" s="258"/>
      <c r="BO24" s="258" t="s">
        <v>537</v>
      </c>
      <c r="BP24" s="263">
        <v>141.70909090909089</v>
      </c>
      <c r="BQ24" s="258"/>
      <c r="BR24" s="258"/>
      <c r="BS24" s="320"/>
      <c r="BT24" s="144"/>
      <c r="BU24" s="264"/>
      <c r="BV24" s="258"/>
      <c r="BW24" s="258" t="s">
        <v>543</v>
      </c>
      <c r="BX24" s="258"/>
      <c r="BY24" s="264"/>
      <c r="BZ24" s="255" t="s">
        <v>79</v>
      </c>
      <c r="CA24" s="264" t="s">
        <v>90</v>
      </c>
    </row>
    <row r="25" spans="1:109" customFormat="1" ht="13" customHeight="1" x14ac:dyDescent="0.15">
      <c r="A25" s="255">
        <v>3062</v>
      </c>
      <c r="B25" s="256">
        <v>43292</v>
      </c>
      <c r="C25" s="257" t="s">
        <v>533</v>
      </c>
      <c r="D25" s="255" t="s">
        <v>534</v>
      </c>
      <c r="E25" s="255"/>
      <c r="F25" s="255" t="s">
        <v>612</v>
      </c>
      <c r="G25" s="256">
        <v>43281</v>
      </c>
      <c r="H25" s="258" t="s">
        <v>536</v>
      </c>
      <c r="I25" s="258" t="s">
        <v>537</v>
      </c>
      <c r="J25" s="258"/>
      <c r="K25" s="255" t="s">
        <v>885</v>
      </c>
      <c r="L25" s="255" t="s">
        <v>897</v>
      </c>
      <c r="M25" s="259">
        <v>99.809090909090912</v>
      </c>
      <c r="N25" s="259">
        <v>32.709090909090904</v>
      </c>
      <c r="O25" s="48" t="s">
        <v>648</v>
      </c>
      <c r="P25" s="50">
        <v>1000</v>
      </c>
      <c r="Q25" s="259">
        <v>34.209090909090911</v>
      </c>
      <c r="R25" s="260"/>
      <c r="S25" s="261"/>
      <c r="T25" s="260"/>
      <c r="U25" s="261"/>
      <c r="V25" s="261"/>
      <c r="W25" s="261"/>
      <c r="X25" s="255"/>
      <c r="Y25" s="259"/>
      <c r="Z25" s="259"/>
      <c r="AA25" s="259"/>
      <c r="AB25" s="259"/>
      <c r="AC25" s="259"/>
      <c r="AD25" s="259"/>
      <c r="AE25" s="259">
        <v>18.18181818181818</v>
      </c>
      <c r="AF25" s="260"/>
      <c r="AG25" s="255"/>
      <c r="AH25" s="259"/>
      <c r="AI25" s="255"/>
      <c r="AJ25" s="255"/>
      <c r="AK25" s="259"/>
      <c r="AL25" s="255"/>
      <c r="AM25" s="259"/>
      <c r="AN25" s="259"/>
      <c r="AO25" s="255" t="s">
        <v>613</v>
      </c>
      <c r="AP25" s="258" t="s">
        <v>537</v>
      </c>
      <c r="AQ25" s="258"/>
      <c r="AR25" s="258"/>
      <c r="AS25" s="262"/>
      <c r="AT25" s="258">
        <v>6</v>
      </c>
      <c r="AU25" s="262"/>
      <c r="AV25" s="258"/>
      <c r="AW25" s="262"/>
      <c r="AX25" s="258" t="s">
        <v>537</v>
      </c>
      <c r="AY25" s="258"/>
      <c r="AZ25" s="258">
        <v>1</v>
      </c>
      <c r="BA25" s="258">
        <v>0</v>
      </c>
      <c r="BB25" s="258">
        <v>0</v>
      </c>
      <c r="BC25" s="258">
        <v>0</v>
      </c>
      <c r="BD25" s="258">
        <v>0</v>
      </c>
      <c r="BE25" s="258">
        <v>0</v>
      </c>
      <c r="BF25" s="258">
        <v>0</v>
      </c>
      <c r="BG25" s="258">
        <v>0</v>
      </c>
      <c r="BH25" s="258">
        <v>0</v>
      </c>
      <c r="BI25" s="258">
        <v>0</v>
      </c>
      <c r="BJ25" s="258">
        <v>0</v>
      </c>
      <c r="BK25" s="258">
        <v>0</v>
      </c>
      <c r="BL25" s="258"/>
      <c r="BM25" s="258" t="s">
        <v>537</v>
      </c>
      <c r="BN25" s="258"/>
      <c r="BO25" s="258" t="s">
        <v>537</v>
      </c>
      <c r="BP25" s="349"/>
      <c r="BQ25" s="258"/>
      <c r="BR25" s="258"/>
      <c r="BS25" s="258"/>
      <c r="BT25" s="255"/>
      <c r="BU25" s="255"/>
      <c r="BV25" s="258"/>
      <c r="BW25" s="258" t="s">
        <v>543</v>
      </c>
      <c r="BX25" s="258"/>
      <c r="BY25" s="255" t="s">
        <v>898</v>
      </c>
      <c r="BZ25" s="323" t="s">
        <v>79</v>
      </c>
      <c r="CA25" s="255" t="s">
        <v>90</v>
      </c>
    </row>
    <row r="26" spans="1:109" customFormat="1" ht="13" customHeight="1" x14ac:dyDescent="0.15">
      <c r="A26" s="255">
        <v>15305</v>
      </c>
      <c r="B26" s="352">
        <v>43308</v>
      </c>
      <c r="C26" s="257" t="s">
        <v>533</v>
      </c>
      <c r="D26" s="255" t="s">
        <v>534</v>
      </c>
      <c r="E26" s="255"/>
      <c r="F26" s="255" t="s">
        <v>612</v>
      </c>
      <c r="G26" s="256">
        <v>43266</v>
      </c>
      <c r="H26" s="258" t="s">
        <v>536</v>
      </c>
      <c r="I26" s="258" t="s">
        <v>537</v>
      </c>
      <c r="J26" s="258"/>
      <c r="K26" s="255" t="s">
        <v>600</v>
      </c>
      <c r="L26" s="255" t="s">
        <v>814</v>
      </c>
      <c r="M26" s="259">
        <v>115.76363636363635</v>
      </c>
      <c r="N26" s="259">
        <v>30.327272727272724</v>
      </c>
      <c r="O26" s="264"/>
      <c r="P26" s="260"/>
      <c r="Q26" s="261"/>
      <c r="R26" s="260"/>
      <c r="S26" s="261"/>
      <c r="T26" s="260"/>
      <c r="U26" s="261"/>
      <c r="V26" s="261"/>
      <c r="W26" s="261"/>
      <c r="X26" s="255"/>
      <c r="Y26" s="259"/>
      <c r="Z26" s="259"/>
      <c r="AA26" s="259"/>
      <c r="AB26" s="259"/>
      <c r="AC26" s="259"/>
      <c r="AD26" s="261"/>
      <c r="AE26" s="259">
        <v>18.454545454545453</v>
      </c>
      <c r="AF26" s="260"/>
      <c r="AG26" s="255"/>
      <c r="AH26" s="259"/>
      <c r="AI26" s="255"/>
      <c r="AJ26" s="255"/>
      <c r="AK26" s="259"/>
      <c r="AL26" s="255"/>
      <c r="AM26" s="259"/>
      <c r="AN26" s="259"/>
      <c r="AO26" s="255" t="s">
        <v>613</v>
      </c>
      <c r="AP26" s="258" t="s">
        <v>537</v>
      </c>
      <c r="AQ26" s="258"/>
      <c r="AR26" s="258"/>
      <c r="AS26" s="262"/>
      <c r="AT26" s="258">
        <v>3</v>
      </c>
      <c r="AU26" s="262"/>
      <c r="AV26" s="258"/>
      <c r="AW26" s="262"/>
      <c r="AX26" s="258" t="s">
        <v>542</v>
      </c>
      <c r="AY26" s="258"/>
      <c r="AZ26" s="258">
        <v>0</v>
      </c>
      <c r="BA26" s="258">
        <v>0</v>
      </c>
      <c r="BB26" s="258">
        <v>0</v>
      </c>
      <c r="BC26" s="258">
        <v>0</v>
      </c>
      <c r="BD26" s="258">
        <v>0</v>
      </c>
      <c r="BE26" s="258">
        <v>0</v>
      </c>
      <c r="BF26" s="258">
        <v>0</v>
      </c>
      <c r="BG26" s="258">
        <v>0</v>
      </c>
      <c r="BH26" s="258">
        <v>0</v>
      </c>
      <c r="BI26" s="258">
        <v>0</v>
      </c>
      <c r="BJ26" s="258">
        <v>0</v>
      </c>
      <c r="BK26" s="258">
        <v>0</v>
      </c>
      <c r="BL26" s="258"/>
      <c r="BM26" s="258" t="s">
        <v>537</v>
      </c>
      <c r="BN26" s="258"/>
      <c r="BO26" s="258" t="s">
        <v>537</v>
      </c>
      <c r="BP26" s="349"/>
      <c r="BQ26" s="258"/>
      <c r="BR26" s="258"/>
      <c r="BS26" s="258"/>
      <c r="BT26" s="264"/>
      <c r="BU26" s="264"/>
      <c r="BV26" s="258"/>
      <c r="BW26" s="258" t="s">
        <v>543</v>
      </c>
      <c r="BX26" s="258">
        <v>1</v>
      </c>
      <c r="BY26" s="255"/>
      <c r="BZ26" s="255" t="s">
        <v>79</v>
      </c>
      <c r="CA26" s="255" t="s">
        <v>56</v>
      </c>
    </row>
    <row r="27" spans="1:109" customFormat="1" ht="13" customHeight="1" x14ac:dyDescent="0.15">
      <c r="A27" s="255">
        <v>13470</v>
      </c>
      <c r="B27" s="256">
        <v>43290</v>
      </c>
      <c r="C27" s="257" t="s">
        <v>533</v>
      </c>
      <c r="D27" s="255" t="s">
        <v>534</v>
      </c>
      <c r="E27" s="255"/>
      <c r="F27" s="255" t="s">
        <v>696</v>
      </c>
      <c r="G27" s="307">
        <v>43281</v>
      </c>
      <c r="H27" s="258" t="s">
        <v>507</v>
      </c>
      <c r="I27" s="258" t="s">
        <v>537</v>
      </c>
      <c r="J27" s="258"/>
      <c r="K27" s="255" t="s">
        <v>608</v>
      </c>
      <c r="L27" s="255" t="s">
        <v>887</v>
      </c>
      <c r="M27" s="259">
        <v>104.0090909090909</v>
      </c>
      <c r="N27" s="259">
        <v>37.236363636363635</v>
      </c>
      <c r="O27" s="264" t="s">
        <v>648</v>
      </c>
      <c r="P27" s="260">
        <v>2000</v>
      </c>
      <c r="Q27" s="259">
        <v>44.236363636363627</v>
      </c>
      <c r="R27" s="260"/>
      <c r="S27" s="261"/>
      <c r="T27" s="260"/>
      <c r="U27" s="261"/>
      <c r="V27" s="261"/>
      <c r="W27" s="261"/>
      <c r="X27" s="255"/>
      <c r="Y27" s="259"/>
      <c r="Z27" s="259"/>
      <c r="AA27" s="259"/>
      <c r="AB27" s="259"/>
      <c r="AC27" s="259"/>
      <c r="AD27" s="259"/>
      <c r="AE27" s="259">
        <v>26.59090909090909</v>
      </c>
      <c r="AF27" s="260"/>
      <c r="AG27" s="255"/>
      <c r="AH27" s="259"/>
      <c r="AI27" s="255"/>
      <c r="AJ27" s="255"/>
      <c r="AK27" s="259"/>
      <c r="AL27" s="255"/>
      <c r="AM27" s="259"/>
      <c r="AN27" s="259"/>
      <c r="AO27" s="255" t="s">
        <v>697</v>
      </c>
      <c r="AP27" s="258" t="s">
        <v>537</v>
      </c>
      <c r="AQ27" s="258"/>
      <c r="AR27" s="258"/>
      <c r="AS27" s="262"/>
      <c r="AT27" s="258">
        <v>0</v>
      </c>
      <c r="AU27" s="262"/>
      <c r="AV27" s="258"/>
      <c r="AW27" s="262"/>
      <c r="AX27" s="258" t="s">
        <v>542</v>
      </c>
      <c r="AY27" s="258"/>
      <c r="AZ27" s="258">
        <v>0</v>
      </c>
      <c r="BA27" s="258">
        <v>0</v>
      </c>
      <c r="BB27" s="258">
        <v>0</v>
      </c>
      <c r="BC27" s="258">
        <v>0</v>
      </c>
      <c r="BD27" s="258">
        <v>0</v>
      </c>
      <c r="BE27" s="258">
        <v>0</v>
      </c>
      <c r="BF27" s="258">
        <v>0</v>
      </c>
      <c r="BG27" s="258">
        <v>0</v>
      </c>
      <c r="BH27" s="258">
        <v>0</v>
      </c>
      <c r="BI27" s="258">
        <v>0</v>
      </c>
      <c r="BJ27" s="258">
        <v>0</v>
      </c>
      <c r="BK27" s="258">
        <v>0</v>
      </c>
      <c r="BL27" s="258"/>
      <c r="BM27" s="258" t="s">
        <v>537</v>
      </c>
      <c r="BN27" s="258"/>
      <c r="BO27" s="258" t="s">
        <v>537</v>
      </c>
      <c r="BP27" s="263">
        <v>163.63636363636363</v>
      </c>
      <c r="BQ27" s="258"/>
      <c r="BR27" s="258"/>
      <c r="BS27" s="258"/>
      <c r="BT27" s="264"/>
      <c r="BU27" s="255"/>
      <c r="BV27" s="258"/>
      <c r="BW27" s="258" t="s">
        <v>543</v>
      </c>
      <c r="BX27" s="258">
        <v>1</v>
      </c>
      <c r="BY27" s="264" t="s">
        <v>819</v>
      </c>
      <c r="BZ27" s="342" t="s">
        <v>888</v>
      </c>
      <c r="CA27" s="255" t="s">
        <v>90</v>
      </c>
    </row>
    <row r="28" spans="1:109" customFormat="1" ht="13" customHeight="1" x14ac:dyDescent="0.15">
      <c r="A28" s="255">
        <v>1896</v>
      </c>
      <c r="B28" s="256">
        <v>43292</v>
      </c>
      <c r="C28" s="257" t="s">
        <v>533</v>
      </c>
      <c r="D28" s="255" t="s">
        <v>534</v>
      </c>
      <c r="E28" s="255"/>
      <c r="F28" s="255" t="s">
        <v>612</v>
      </c>
      <c r="G28" s="256">
        <v>43252</v>
      </c>
      <c r="H28" s="258" t="s">
        <v>536</v>
      </c>
      <c r="I28" s="258" t="s">
        <v>537</v>
      </c>
      <c r="J28" s="258"/>
      <c r="K28" s="255" t="s">
        <v>792</v>
      </c>
      <c r="L28" s="255" t="s">
        <v>687</v>
      </c>
      <c r="M28" s="259">
        <v>89.999999999999986</v>
      </c>
      <c r="N28" s="259">
        <v>48.999999999999993</v>
      </c>
      <c r="O28" s="264" t="s">
        <v>648</v>
      </c>
      <c r="P28" s="260">
        <v>1824.9900000000002</v>
      </c>
      <c r="Q28" s="259">
        <v>52.999999999999993</v>
      </c>
      <c r="R28" s="260"/>
      <c r="S28" s="261"/>
      <c r="T28" s="255"/>
      <c r="U28" s="261"/>
      <c r="V28" s="261"/>
      <c r="W28" s="261"/>
      <c r="X28" s="260"/>
      <c r="Y28" s="259"/>
      <c r="Z28" s="259"/>
      <c r="AA28" s="259"/>
      <c r="AB28" s="259"/>
      <c r="AC28" s="259"/>
      <c r="AD28" s="259"/>
      <c r="AE28" s="259">
        <v>42</v>
      </c>
      <c r="AF28" s="260"/>
      <c r="AG28" s="255"/>
      <c r="AH28" s="259"/>
      <c r="AI28" s="255"/>
      <c r="AJ28" s="255"/>
      <c r="AK28" s="259"/>
      <c r="AL28" s="255"/>
      <c r="AM28" s="259"/>
      <c r="AN28" s="259"/>
      <c r="AO28" s="255" t="s">
        <v>613</v>
      </c>
      <c r="AP28" s="258" t="s">
        <v>537</v>
      </c>
      <c r="AQ28" s="258"/>
      <c r="AR28" s="258"/>
      <c r="AS28" s="262"/>
      <c r="AT28" s="258">
        <v>1</v>
      </c>
      <c r="AU28" s="262"/>
      <c r="AV28" s="258"/>
      <c r="AW28" s="262"/>
      <c r="AX28" s="258" t="s">
        <v>547</v>
      </c>
      <c r="AY28" s="258"/>
      <c r="AZ28" s="258">
        <v>0</v>
      </c>
      <c r="BA28" s="258">
        <v>0</v>
      </c>
      <c r="BB28" s="258">
        <v>0</v>
      </c>
      <c r="BC28" s="258">
        <v>0</v>
      </c>
      <c r="BD28" s="258">
        <v>0</v>
      </c>
      <c r="BE28" s="258">
        <v>0</v>
      </c>
      <c r="BF28" s="258">
        <v>0</v>
      </c>
      <c r="BG28" s="258">
        <v>0</v>
      </c>
      <c r="BH28" s="258">
        <v>0</v>
      </c>
      <c r="BI28" s="258">
        <v>0</v>
      </c>
      <c r="BJ28" s="258">
        <v>0</v>
      </c>
      <c r="BK28" s="258">
        <v>0</v>
      </c>
      <c r="BL28" s="258"/>
      <c r="BM28" s="258" t="s">
        <v>537</v>
      </c>
      <c r="BN28" s="258"/>
      <c r="BO28" s="258" t="s">
        <v>537</v>
      </c>
      <c r="BP28" s="349"/>
      <c r="BQ28" s="258"/>
      <c r="BR28" s="258"/>
      <c r="BS28" s="258"/>
      <c r="BT28" s="255"/>
      <c r="BU28" s="264"/>
      <c r="BV28" s="258"/>
      <c r="BW28" s="258" t="s">
        <v>543</v>
      </c>
      <c r="BX28" s="258"/>
      <c r="BY28" s="264"/>
      <c r="BZ28" s="264" t="s">
        <v>79</v>
      </c>
      <c r="CA28" s="255" t="s">
        <v>56</v>
      </c>
    </row>
    <row r="29" spans="1:109" customFormat="1" ht="13" customHeight="1" x14ac:dyDescent="0.15">
      <c r="A29" s="255">
        <v>575</v>
      </c>
      <c r="B29" s="352">
        <v>43309</v>
      </c>
      <c r="C29" s="257" t="s">
        <v>533</v>
      </c>
      <c r="D29" s="255" t="s">
        <v>534</v>
      </c>
      <c r="E29" s="255"/>
      <c r="F29" s="255" t="s">
        <v>612</v>
      </c>
      <c r="G29" s="256">
        <v>43266</v>
      </c>
      <c r="H29" s="258" t="s">
        <v>536</v>
      </c>
      <c r="I29" s="258" t="s">
        <v>537</v>
      </c>
      <c r="J29" s="258"/>
      <c r="K29" s="255" t="s">
        <v>688</v>
      </c>
      <c r="L29" s="255" t="s">
        <v>890</v>
      </c>
      <c r="M29" s="259">
        <v>110.6</v>
      </c>
      <c r="N29" s="259">
        <v>31.127272727272725</v>
      </c>
      <c r="O29" s="264"/>
      <c r="P29" s="260"/>
      <c r="Q29" s="261"/>
      <c r="R29" s="260"/>
      <c r="S29" s="261"/>
      <c r="T29" s="260"/>
      <c r="U29" s="261"/>
      <c r="V29" s="261"/>
      <c r="W29" s="261"/>
      <c r="X29" s="255"/>
      <c r="Y29" s="259"/>
      <c r="Z29" s="259"/>
      <c r="AA29" s="259"/>
      <c r="AB29" s="259"/>
      <c r="AC29" s="259"/>
      <c r="AD29" s="261"/>
      <c r="AE29" s="259">
        <v>24.418181818181814</v>
      </c>
      <c r="AF29" s="260"/>
      <c r="AG29" s="255"/>
      <c r="AH29" s="259"/>
      <c r="AI29" s="255"/>
      <c r="AJ29" s="255"/>
      <c r="AK29" s="259"/>
      <c r="AL29" s="255"/>
      <c r="AM29" s="259"/>
      <c r="AN29" s="259"/>
      <c r="AO29" s="255" t="s">
        <v>613</v>
      </c>
      <c r="AP29" s="258" t="s">
        <v>537</v>
      </c>
      <c r="AQ29" s="258"/>
      <c r="AR29" s="258"/>
      <c r="AS29" s="262"/>
      <c r="AT29" s="258">
        <v>2.06</v>
      </c>
      <c r="AU29" s="262"/>
      <c r="AV29" s="258"/>
      <c r="AW29" s="262"/>
      <c r="AX29" s="258" t="s">
        <v>537</v>
      </c>
      <c r="AY29" s="258"/>
      <c r="AZ29" s="258">
        <v>0</v>
      </c>
      <c r="BA29" s="258">
        <v>0</v>
      </c>
      <c r="BB29" s="258">
        <v>0</v>
      </c>
      <c r="BC29" s="258">
        <v>0</v>
      </c>
      <c r="BD29" s="258">
        <v>0</v>
      </c>
      <c r="BE29" s="258">
        <v>0</v>
      </c>
      <c r="BF29" s="258">
        <v>0</v>
      </c>
      <c r="BG29" s="258">
        <v>0</v>
      </c>
      <c r="BH29" s="258">
        <v>0</v>
      </c>
      <c r="BI29" s="258">
        <v>0</v>
      </c>
      <c r="BJ29" s="258">
        <v>0</v>
      </c>
      <c r="BK29" s="258">
        <v>0</v>
      </c>
      <c r="BL29" s="258"/>
      <c r="BM29" s="258" t="s">
        <v>537</v>
      </c>
      <c r="BN29" s="258"/>
      <c r="BO29" s="258" t="s">
        <v>537</v>
      </c>
      <c r="BP29" s="349"/>
      <c r="BQ29" s="258"/>
      <c r="BR29" s="258"/>
      <c r="BS29" s="258"/>
      <c r="BT29" s="264"/>
      <c r="BU29" s="264"/>
      <c r="BV29" s="258"/>
      <c r="BW29" s="258" t="s">
        <v>543</v>
      </c>
      <c r="BX29" s="258">
        <v>1</v>
      </c>
      <c r="BY29" s="255" t="s">
        <v>891</v>
      </c>
      <c r="BZ29" s="255" t="s">
        <v>79</v>
      </c>
      <c r="CA29" s="255" t="s">
        <v>56</v>
      </c>
    </row>
    <row r="30" spans="1:109" customFormat="1" ht="13" customHeight="1" x14ac:dyDescent="0.15">
      <c r="A30" s="255">
        <v>16568</v>
      </c>
      <c r="B30" s="256">
        <v>43294</v>
      </c>
      <c r="C30" s="257" t="s">
        <v>533</v>
      </c>
      <c r="D30" s="255" t="s">
        <v>534</v>
      </c>
      <c r="E30" s="255"/>
      <c r="F30" s="255" t="s">
        <v>612</v>
      </c>
      <c r="G30" s="256">
        <v>43273</v>
      </c>
      <c r="H30" s="258" t="s">
        <v>536</v>
      </c>
      <c r="I30" s="258" t="s">
        <v>508</v>
      </c>
      <c r="J30" s="258"/>
      <c r="K30" s="255" t="s">
        <v>695</v>
      </c>
      <c r="L30" s="255" t="s">
        <v>830</v>
      </c>
      <c r="M30" s="259">
        <v>103.39090909090909</v>
      </c>
      <c r="N30" s="259">
        <v>39.772727272727266</v>
      </c>
      <c r="O30" s="264"/>
      <c r="P30" s="260"/>
      <c r="Q30" s="261"/>
      <c r="R30" s="260"/>
      <c r="S30" s="261"/>
      <c r="T30" s="260"/>
      <c r="U30" s="261"/>
      <c r="V30" s="261"/>
      <c r="W30" s="261"/>
      <c r="X30" s="255"/>
      <c r="Y30" s="259"/>
      <c r="Z30" s="259"/>
      <c r="AA30" s="259"/>
      <c r="AB30" s="259"/>
      <c r="AC30" s="259"/>
      <c r="AD30" s="261"/>
      <c r="AE30" s="259">
        <v>32.372727272727268</v>
      </c>
      <c r="AF30" s="260"/>
      <c r="AG30" s="255"/>
      <c r="AH30" s="259"/>
      <c r="AI30" s="255"/>
      <c r="AJ30" s="255"/>
      <c r="AK30" s="259"/>
      <c r="AL30" s="255"/>
      <c r="AM30" s="259"/>
      <c r="AN30" s="259"/>
      <c r="AO30" s="255" t="s">
        <v>613</v>
      </c>
      <c r="AP30" s="258" t="s">
        <v>537</v>
      </c>
      <c r="AQ30" s="258"/>
      <c r="AR30" s="258"/>
      <c r="AS30" s="262"/>
      <c r="AT30" s="258">
        <v>0</v>
      </c>
      <c r="AU30" s="262"/>
      <c r="AV30" s="258"/>
      <c r="AW30" s="262"/>
      <c r="AX30" s="258" t="s">
        <v>495</v>
      </c>
      <c r="AY30" s="258"/>
      <c r="AZ30" s="258">
        <v>0</v>
      </c>
      <c r="BA30" s="258">
        <v>0</v>
      </c>
      <c r="BB30" s="258">
        <v>0</v>
      </c>
      <c r="BC30" s="258">
        <v>0</v>
      </c>
      <c r="BD30" s="258">
        <v>0</v>
      </c>
      <c r="BE30" s="258">
        <v>0</v>
      </c>
      <c r="BF30" s="258">
        <v>0</v>
      </c>
      <c r="BG30" s="258">
        <v>0</v>
      </c>
      <c r="BH30" s="258">
        <v>0</v>
      </c>
      <c r="BI30" s="258">
        <v>0</v>
      </c>
      <c r="BJ30" s="258">
        <v>0</v>
      </c>
      <c r="BK30" s="258">
        <v>0</v>
      </c>
      <c r="BL30" s="258"/>
      <c r="BM30" s="258" t="s">
        <v>537</v>
      </c>
      <c r="BN30" s="258"/>
      <c r="BO30" s="258" t="s">
        <v>537</v>
      </c>
      <c r="BP30" s="349"/>
      <c r="BQ30" s="258"/>
      <c r="BR30" s="258"/>
      <c r="BS30" s="258"/>
      <c r="BT30" s="264"/>
      <c r="BU30" s="264"/>
      <c r="BV30" s="258"/>
      <c r="BW30" s="258" t="s">
        <v>543</v>
      </c>
      <c r="BX30" s="258"/>
      <c r="BY30" s="255" t="s">
        <v>893</v>
      </c>
      <c r="BZ30" s="314" t="s">
        <v>79</v>
      </c>
      <c r="CA30" s="255" t="s">
        <v>527</v>
      </c>
    </row>
    <row r="31" spans="1:109" customFormat="1" ht="13" customHeight="1" x14ac:dyDescent="0.15">
      <c r="A31" s="255">
        <v>15771</v>
      </c>
      <c r="B31" s="256">
        <v>43292</v>
      </c>
      <c r="C31" s="257" t="s">
        <v>533</v>
      </c>
      <c r="D31" s="255" t="s">
        <v>534</v>
      </c>
      <c r="E31" s="255"/>
      <c r="F31" s="255" t="s">
        <v>612</v>
      </c>
      <c r="G31" s="256">
        <v>43281</v>
      </c>
      <c r="H31" s="258" t="s">
        <v>536</v>
      </c>
      <c r="I31" s="258" t="s">
        <v>537</v>
      </c>
      <c r="J31" s="258"/>
      <c r="K31" s="255" t="s">
        <v>894</v>
      </c>
      <c r="L31" s="255" t="s">
        <v>895</v>
      </c>
      <c r="M31" s="259">
        <v>99.999999999999986</v>
      </c>
      <c r="N31" s="259">
        <v>32.690909090909088</v>
      </c>
      <c r="O31" s="264"/>
      <c r="P31" s="260"/>
      <c r="Q31" s="261"/>
      <c r="R31" s="260"/>
      <c r="S31" s="261"/>
      <c r="T31" s="260"/>
      <c r="U31" s="261"/>
      <c r="V31" s="261"/>
      <c r="W31" s="261"/>
      <c r="X31" s="255"/>
      <c r="Y31" s="259"/>
      <c r="Z31" s="259"/>
      <c r="AA31" s="259"/>
      <c r="AB31" s="259"/>
      <c r="AC31" s="259"/>
      <c r="AD31" s="259"/>
      <c r="AE31" s="259">
        <v>18.318181818181817</v>
      </c>
      <c r="AF31" s="260"/>
      <c r="AG31" s="255"/>
      <c r="AH31" s="259"/>
      <c r="AI31" s="255"/>
      <c r="AJ31" s="255"/>
      <c r="AK31" s="259"/>
      <c r="AL31" s="255"/>
      <c r="AM31" s="259"/>
      <c r="AN31" s="259"/>
      <c r="AO31" s="255" t="s">
        <v>613</v>
      </c>
      <c r="AP31" s="258" t="s">
        <v>537</v>
      </c>
      <c r="AQ31" s="258"/>
      <c r="AR31" s="258"/>
      <c r="AS31" s="262"/>
      <c r="AT31" s="258">
        <v>7</v>
      </c>
      <c r="AU31" s="262"/>
      <c r="AV31" s="258"/>
      <c r="AW31" s="262"/>
      <c r="AX31" s="258" t="s">
        <v>537</v>
      </c>
      <c r="AY31" s="258"/>
      <c r="AZ31" s="258">
        <v>0</v>
      </c>
      <c r="BA31" s="258">
        <v>0</v>
      </c>
      <c r="BB31" s="258">
        <v>0</v>
      </c>
      <c r="BC31" s="258">
        <v>0</v>
      </c>
      <c r="BD31" s="258">
        <v>0</v>
      </c>
      <c r="BE31" s="258">
        <v>0</v>
      </c>
      <c r="BF31" s="258">
        <v>0</v>
      </c>
      <c r="BG31" s="258">
        <v>0</v>
      </c>
      <c r="BH31" s="258">
        <v>0</v>
      </c>
      <c r="BI31" s="258">
        <v>0</v>
      </c>
      <c r="BJ31" s="258">
        <v>0</v>
      </c>
      <c r="BK31" s="258">
        <v>0</v>
      </c>
      <c r="BL31" s="258"/>
      <c r="BM31" s="258" t="s">
        <v>537</v>
      </c>
      <c r="BN31" s="258"/>
      <c r="BO31" s="258" t="s">
        <v>537</v>
      </c>
      <c r="BP31" s="263">
        <v>47.236363636363635</v>
      </c>
      <c r="BQ31" s="258"/>
      <c r="BR31" s="258"/>
      <c r="BS31" s="258"/>
      <c r="BT31" s="255"/>
      <c r="BU31" s="255"/>
      <c r="BV31" s="258"/>
      <c r="BW31" s="258" t="s">
        <v>543</v>
      </c>
      <c r="BX31" s="258">
        <v>1</v>
      </c>
      <c r="BY31" s="264"/>
      <c r="BZ31" s="323" t="s">
        <v>79</v>
      </c>
      <c r="CA31" s="255" t="s">
        <v>90</v>
      </c>
    </row>
  </sheetData>
  <sheetProtection algorithmName="SHA-512" hashValue="RlilHA88IA8oQwBlW8mzjLHpyy+vp/B/bvw/3F6/ehioWwm6stBFt9MkuejWoL7pnolZhWZwqKIRcCPgDOWExA==" saltValue="ip5n8h1jJIit7xQr2B43fA==" spinCount="100000" sheet="1" objects="1" scenarios="1"/>
  <pageMargins left="0.75" right="0.75" top="1" bottom="1" header="0.5" footer="0.5"/>
  <pageSetup paperSize="10" orientation="portrait" horizontalDpi="4294967292" verticalDpi="42949672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8BE79-2022-D744-8684-59264BEF9866}">
  <sheetPr codeName="Sheet23"/>
  <dimension ref="A1:OB1342"/>
  <sheetViews>
    <sheetView tabSelected="1" zoomScale="130" zoomScaleNormal="130" workbookViewId="0">
      <selection activeCell="E28" sqref="E28"/>
    </sheetView>
  </sheetViews>
  <sheetFormatPr baseColWidth="10" defaultRowHeight="14" x14ac:dyDescent="0.15"/>
  <cols>
    <col min="1" max="1" width="21.6640625" style="187" customWidth="1"/>
    <col min="2" max="2" width="27" style="187" customWidth="1"/>
    <col min="3" max="10" width="13.83203125" style="187" customWidth="1"/>
    <col min="11" max="12" width="13.83203125" style="187" hidden="1" customWidth="1"/>
    <col min="13" max="18" width="13.83203125" style="187" customWidth="1"/>
    <col min="19" max="24" width="13.83203125" style="187" hidden="1" customWidth="1"/>
    <col min="25" max="28" width="13.83203125" style="187" customWidth="1"/>
    <col min="29" max="392" width="10.83203125" style="187"/>
    <col min="393" max="16384" width="10.83203125" style="213"/>
  </cols>
  <sheetData>
    <row r="1" spans="1:46" s="187" customFormat="1" x14ac:dyDescent="0.15">
      <c r="A1" s="360" t="s">
        <v>340</v>
      </c>
      <c r="B1" s="360"/>
      <c r="C1" s="360"/>
      <c r="D1" s="360"/>
      <c r="E1" s="361"/>
      <c r="F1" s="361"/>
      <c r="G1" s="361"/>
      <c r="H1" s="361"/>
      <c r="I1" s="361"/>
      <c r="J1" s="361"/>
      <c r="K1" s="361">
        <v>3</v>
      </c>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row>
    <row r="2" spans="1:46" s="187" customFormat="1" x14ac:dyDescent="0.15">
      <c r="A2" s="362" t="s">
        <v>152</v>
      </c>
      <c r="B2" s="360"/>
      <c r="C2" s="360"/>
      <c r="D2" s="360"/>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row>
    <row r="3" spans="1:46" s="187" customFormat="1" x14ac:dyDescent="0.15">
      <c r="A3" s="362"/>
      <c r="B3" s="360"/>
      <c r="C3" s="360"/>
      <c r="D3" s="360"/>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row>
    <row r="4" spans="1:46" s="187" customFormat="1" x14ac:dyDescent="0.15">
      <c r="A4" s="331" t="s">
        <v>341</v>
      </c>
      <c r="B4" s="332"/>
      <c r="C4" s="175">
        <v>3</v>
      </c>
      <c r="D4" s="360"/>
      <c r="E4" s="329" t="s">
        <v>366</v>
      </c>
      <c r="F4" s="333">
        <f>IF(C4&lt;K1,(630),(1260))</f>
        <v>1260</v>
      </c>
      <c r="G4" s="331"/>
      <c r="H4" s="178" t="s">
        <v>367</v>
      </c>
      <c r="I4" s="179" t="s">
        <v>368</v>
      </c>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row>
    <row r="5" spans="1:46" s="187" customFormat="1" x14ac:dyDescent="0.15">
      <c r="A5" s="334" t="s">
        <v>369</v>
      </c>
      <c r="B5" s="335"/>
      <c r="C5" s="182">
        <v>1500</v>
      </c>
      <c r="D5" s="360"/>
      <c r="E5" s="329" t="s">
        <v>370</v>
      </c>
      <c r="F5" s="330">
        <f>C5-(F4-F6)</f>
        <v>892.68</v>
      </c>
      <c r="G5" s="334" t="s">
        <v>371</v>
      </c>
      <c r="H5" s="184">
        <f>F5*80/100</f>
        <v>714.14399999999989</v>
      </c>
      <c r="I5" s="185">
        <f>F5*20/100</f>
        <v>178.53599999999997</v>
      </c>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row>
    <row r="6" spans="1:46" s="187" customFormat="1" x14ac:dyDescent="0.15">
      <c r="A6" s="361"/>
      <c r="B6" s="361"/>
      <c r="C6" s="361"/>
      <c r="D6" s="360"/>
      <c r="E6" s="329" t="s">
        <v>372</v>
      </c>
      <c r="F6" s="330">
        <f>IF(C4&lt;K1,(F4*22.1/100),(F4*51.8/100))</f>
        <v>652.67999999999995</v>
      </c>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row>
    <row r="7" spans="1:46" s="187" customFormat="1" ht="15" thickBot="1" x14ac:dyDescent="0.2">
      <c r="A7" s="361"/>
      <c r="B7" s="361"/>
      <c r="C7" s="361"/>
      <c r="D7" s="360"/>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row>
    <row r="8" spans="1:46" s="187" customFormat="1" x14ac:dyDescent="0.15">
      <c r="A8" s="336" t="s">
        <v>356</v>
      </c>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268"/>
      <c r="AC8" s="361"/>
      <c r="AD8" s="361"/>
      <c r="AE8" s="361"/>
      <c r="AF8" s="361"/>
      <c r="AG8" s="361"/>
      <c r="AH8" s="361"/>
      <c r="AI8" s="361"/>
      <c r="AJ8" s="361"/>
      <c r="AK8" s="361"/>
      <c r="AL8" s="361"/>
      <c r="AM8" s="361"/>
      <c r="AN8" s="361"/>
      <c r="AO8" s="361"/>
      <c r="AP8" s="361"/>
      <c r="AQ8" s="361"/>
      <c r="AR8" s="361"/>
      <c r="AS8" s="361"/>
      <c r="AT8" s="361"/>
    </row>
    <row r="9" spans="1:46" s="187" customFormat="1" ht="90" x14ac:dyDescent="0.15">
      <c r="A9" s="271" t="s">
        <v>231</v>
      </c>
      <c r="B9" s="272" t="s">
        <v>243</v>
      </c>
      <c r="C9" s="279" t="s">
        <v>244</v>
      </c>
      <c r="D9" s="279" t="s">
        <v>227</v>
      </c>
      <c r="E9" s="279" t="s">
        <v>357</v>
      </c>
      <c r="F9" s="279" t="s">
        <v>358</v>
      </c>
      <c r="G9" s="279" t="s">
        <v>321</v>
      </c>
      <c r="H9" s="279" t="s">
        <v>328</v>
      </c>
      <c r="I9" s="279" t="s">
        <v>329</v>
      </c>
      <c r="J9" s="273" t="s">
        <v>799</v>
      </c>
      <c r="K9" s="280" t="s">
        <v>246</v>
      </c>
      <c r="L9" s="280" t="s">
        <v>247</v>
      </c>
      <c r="M9" s="274" t="s">
        <v>636</v>
      </c>
      <c r="N9" s="275" t="s">
        <v>249</v>
      </c>
      <c r="O9" s="275" t="s">
        <v>250</v>
      </c>
      <c r="P9" s="275" t="s">
        <v>251</v>
      </c>
      <c r="Q9" s="275" t="s">
        <v>365</v>
      </c>
      <c r="R9" s="276" t="s">
        <v>373</v>
      </c>
      <c r="S9" s="281" t="s">
        <v>637</v>
      </c>
      <c r="T9" s="281" t="s">
        <v>638</v>
      </c>
      <c r="U9" s="282" t="s">
        <v>255</v>
      </c>
      <c r="V9" s="282" t="s">
        <v>224</v>
      </c>
      <c r="W9" s="282" t="s">
        <v>374</v>
      </c>
      <c r="X9" s="282" t="s">
        <v>375</v>
      </c>
      <c r="Y9" s="276" t="s">
        <v>376</v>
      </c>
      <c r="Z9" s="276" t="s">
        <v>436</v>
      </c>
      <c r="AA9" s="275" t="s">
        <v>155</v>
      </c>
      <c r="AB9" s="277" t="s">
        <v>221</v>
      </c>
      <c r="AC9" s="361"/>
      <c r="AD9" s="361"/>
      <c r="AE9" s="361"/>
      <c r="AF9" s="361"/>
      <c r="AG9" s="361"/>
      <c r="AH9" s="361"/>
      <c r="AI9" s="361"/>
      <c r="AJ9" s="361"/>
      <c r="AK9" s="361"/>
      <c r="AL9" s="361"/>
      <c r="AM9" s="361"/>
      <c r="AN9" s="361"/>
      <c r="AO9" s="361"/>
      <c r="AP9" s="361"/>
      <c r="AQ9" s="361"/>
      <c r="AR9" s="361"/>
      <c r="AS9" s="361"/>
      <c r="AT9" s="361"/>
    </row>
    <row r="10" spans="1:46" s="187" customFormat="1" x14ac:dyDescent="0.15">
      <c r="A10" s="186" t="str">
        <f>'Tariff Jul 2023'!K2</f>
        <v>AGL</v>
      </c>
      <c r="B10" s="187" t="str">
        <f>'Tariff Jul 2023'!L2</f>
        <v>Solar Savers</v>
      </c>
      <c r="C10" s="188">
        <f>IF('Tariff Jul 2023'!BP2=0,91*'Tariff Jul 2023'!M2/100,(91*'Tariff Jul 2023'!M2/100)+'Tariff Jul 2023'!BP2/4)</f>
        <v>101.00999999999998</v>
      </c>
      <c r="D10" s="188">
        <f>IF('Tariff Jul 2023'!O2="",$F$5*'Tariff Jul 2023'!N2/100,IF($F$5&gt;='Tariff Jul 2023'!P2,('Tariff Jul 2023'!P2*'Tariff Jul 2023'!N2/100),($F$5*'Tariff Jul 2023'!N2/100)))</f>
        <v>379.63245818181815</v>
      </c>
      <c r="E10" s="188">
        <f>IF(AND('Tariff Jul 2023'!P2&gt;0,'Tariff Jul 2023'!R2&gt;0),IF($F$5&lt;'Tariff Jul 2023'!P2,0,IF($F$5&lt;=('Tariff Jul 2023'!R2+'Tariff Jul 2023'!P2),(($F$5-'Tariff Jul 2023'!P2)*'Tariff Jul 2023'!Q2/100),(('Tariff Jul 2023'!R2)*'Tariff Jul 2023'!Q2/100))),0)</f>
        <v>0</v>
      </c>
      <c r="F10" s="189">
        <f>IF(AND('Tariff Jul 2023'!Q2&gt;0,'Tariff Jul 2023'!S2&gt;0),IF($F$5&lt;('Tariff Jul 2023'!R2+'Tariff Jul 2023'!P2),0,IF($F$5&lt;=('Tariff Jul 2023'!T2+'Tariff Jul 2023'!R2+'Tariff Jul 2023'!P2),(($F$5-('Tariff Jul 2023'!R2+'Tariff Jul 2023'!P2))*'Tariff Jul 2023'!S2/100),('Tariff Jul 2023'!T2*'Tariff Jul 2023'!S2/100))),0)</f>
        <v>0</v>
      </c>
      <c r="G10" s="188">
        <v>0</v>
      </c>
      <c r="H10" s="188">
        <v>0</v>
      </c>
      <c r="I10" s="189">
        <f>IF('Tariff Jul 2023'!T2&gt;0,IF(($F$5&lt;'Tariff Jul 2023'!T2),(0),($F$5-'Tariff Jul 2023'!T2)*'Tariff Jul 2023'!U2/100),IF(AND('Tariff Jul 2023'!R2&gt;0,'Tariff Jul 2023'!T2=""),IF(($F$5&lt;'Tariff Jul 2023'!R2),(0),($F$5-'Tariff Jul 2023'!R2)*'Tariff Jul 2023'!S2/100),IF(AND('Tariff Jul 2023'!P2&gt;0,'Tariff Jul 2023'!R2=""),IF(($F$5&lt;'Tariff Jul 2023'!P2),(0),($F$5-'Tariff Jul 2023'!P2)*'Tariff Jul 2023'!Q2/100),0)))</f>
        <v>0</v>
      </c>
      <c r="J10" s="188">
        <f>SUM(C10:I10)</f>
        <v>480.64245818181814</v>
      </c>
      <c r="K10" s="283">
        <f>(J10-C10)*4</f>
        <v>1518.5298327272726</v>
      </c>
      <c r="L10" s="283">
        <f>J10*4</f>
        <v>1922.5698327272726</v>
      </c>
      <c r="M10" s="191">
        <f>L10*1.1</f>
        <v>2114.8268159999998</v>
      </c>
      <c r="N10" s="187">
        <f>'Tariff Jul 2023'!AZ2</f>
        <v>0</v>
      </c>
      <c r="O10" s="187">
        <f>'Tariff Jul 2023'!BA2</f>
        <v>0</v>
      </c>
      <c r="P10" s="187">
        <f>'Tariff Jul 2023'!BB2</f>
        <v>0</v>
      </c>
      <c r="Q10" s="187">
        <f>'Tariff Jul 2023'!BC2</f>
        <v>0</v>
      </c>
      <c r="R10" s="192">
        <f>($F$6*'Tariff Jul 2023'!AT2/100)*4</f>
        <v>261.07199999999995</v>
      </c>
      <c r="S10" s="193" t="str">
        <f t="shared" ref="S10:S22" si="0">IF(SUM(N10:Q10)=0,"No discount",IF(N10&gt;0,"Guaranteed off bill",IF(O10&gt;0,"Guaranteed off usage",IF(P10&gt;0,"Pay-on-time off bill","Pay-on-time off usage"))))</f>
        <v>No discount</v>
      </c>
      <c r="T10" s="193" t="str">
        <f t="shared" ref="T10:T22" si="1">IF(OR(A10="Origin Energy",A10="Red Energy",A10="Powershop"),"Inclusive","Exclusive")</f>
        <v>Exclusive</v>
      </c>
      <c r="U10" s="304">
        <f t="shared" ref="U10:U22" si="2">IF(AND(S10="Guaranteed off bill",T10="Inclusive"),((L10*1.1)-((L10*1.1)*N10/100))/1.1,IF(AND(S10="Guaranteed off usage",T10="Inclusive"),((L10*1.1)-((K10*1.1)*O10/100))/1.1,IF(AND(S10="Guaranteed off bill",T10="Exclusive"),L10-(L10*N10/100),IF(AND(S10="Guaranteed off usage",T10="Exclusive"),L10-(K10*O10/100),IF(T10="Inclusive",((L10*1.1))/1.1,L10)))))</f>
        <v>1922.5698327272726</v>
      </c>
      <c r="V10" s="283">
        <f t="shared" ref="V10:V22" si="3">IF(AND(S10="Pay-on-time off bill",T10="Inclusive"),((U10*1.1)-((U10*1.1)*P10/100))/1.1,IF(AND(S10="Pay-on-time off usage",T10="Inclusive"),((U10*1.1)-((K10*1.1)*Q10/100))/1.1,IF(AND(S10="Pay-on-time off bill",T10="Exclusive"),U10-(U10*P10/100),IF(AND(S10="Pay-on-time off usage",T10="Exclusive"),U10-(K10*Q10/100),IF(T10="Inclusive",((U10*1.1))/1.1,U10)))))</f>
        <v>1922.5698327272726</v>
      </c>
      <c r="W10" s="283">
        <f t="shared" ref="W10:W22" si="4">U10-R10</f>
        <v>1661.4978327272727</v>
      </c>
      <c r="X10" s="283">
        <f t="shared" ref="X10:X22" si="5">V10-R10</f>
        <v>1661.4978327272727</v>
      </c>
      <c r="Y10" s="285">
        <f t="shared" ref="Y10:Z22" si="6">W10*1.1</f>
        <v>1827.6476160000002</v>
      </c>
      <c r="Z10" s="285">
        <f t="shared" si="6"/>
        <v>1827.6476160000002</v>
      </c>
      <c r="AA10" s="194">
        <f>'Tariff Jul 2023'!AT2</f>
        <v>10</v>
      </c>
      <c r="AB10" s="196">
        <f>'Tariff Jul 2023'!G2</f>
        <v>43648</v>
      </c>
      <c r="AC10" s="361"/>
      <c r="AD10" s="361"/>
      <c r="AE10" s="361"/>
      <c r="AF10" s="361"/>
      <c r="AG10" s="361"/>
      <c r="AH10" s="361"/>
      <c r="AI10" s="361"/>
      <c r="AJ10" s="361"/>
      <c r="AK10" s="361"/>
      <c r="AL10" s="361"/>
      <c r="AM10" s="361"/>
      <c r="AN10" s="361"/>
      <c r="AO10" s="361"/>
      <c r="AP10" s="361"/>
      <c r="AQ10" s="361"/>
      <c r="AR10" s="361"/>
      <c r="AS10" s="361"/>
      <c r="AT10" s="361"/>
    </row>
    <row r="11" spans="1:46" s="187" customFormat="1" x14ac:dyDescent="0.15">
      <c r="A11" s="186" t="str">
        <f>'Tariff Jul 2023'!K3</f>
        <v>Alinta Energy</v>
      </c>
      <c r="B11" s="187" t="str">
        <f>'Tariff Jul 2023'!L3</f>
        <v>Home Deal</v>
      </c>
      <c r="C11" s="188">
        <f>IF('Tariff Jul 2023'!BP3=0,91*'Tariff Jul 2023'!M3/100,(91*'Tariff Jul 2023'!M3/100)+'Tariff Jul 2023'!BP3/4)</f>
        <v>84.208090909090899</v>
      </c>
      <c r="D11" s="188">
        <f>IF('Tariff Jul 2023'!O3="",$F$5*'Tariff Jul 2023'!N3/100,IF($F$5&gt;='Tariff Jul 2023'!P3,('Tariff Jul 2023'!P3*'Tariff Jul 2023'!N3/100),($F$5*'Tariff Jul 2023'!N3/100)))</f>
        <v>385.63775999999996</v>
      </c>
      <c r="E11" s="188">
        <f>IF(AND('Tariff Jul 2023'!P3&gt;0,'Tariff Jul 2023'!R3&gt;0),IF($F$5&lt;'Tariff Jul 2023'!P3,0,IF($F$5&lt;=('Tariff Jul 2023'!R3+'Tariff Jul 2023'!P3),(($F$5-'Tariff Jul 2023'!P3)*'Tariff Jul 2023'!Q3/100),(('Tariff Jul 2023'!R3)*'Tariff Jul 2023'!Q3/100))),0)</f>
        <v>0</v>
      </c>
      <c r="F11" s="189">
        <f>IF(AND('Tariff Jul 2023'!Q3&gt;0,'Tariff Jul 2023'!S3&gt;0),IF($F$5&lt;('Tariff Jul 2023'!R3+'Tariff Jul 2023'!P3),0,IF($F$5&lt;=('Tariff Jul 2023'!T3+'Tariff Jul 2023'!R3+'Tariff Jul 2023'!P3),(($F$5-('Tariff Jul 2023'!R3+'Tariff Jul 2023'!P3))*'Tariff Jul 2023'!S3/100),('Tariff Jul 2023'!T3*'Tariff Jul 2023'!S3/100))),0)</f>
        <v>0</v>
      </c>
      <c r="G11" s="188">
        <v>0</v>
      </c>
      <c r="H11" s="188">
        <v>0</v>
      </c>
      <c r="I11" s="189">
        <f>IF('Tariff Jul 2023'!T3&gt;0,IF(($F$5&lt;'Tariff Jul 2023'!T3),(0),($F$5-'Tariff Jul 2023'!T3)*'Tariff Jul 2023'!U3/100),IF(AND('Tariff Jul 2023'!R3&gt;0,'Tariff Jul 2023'!T3=""),IF(($F$5&lt;'Tariff Jul 2023'!R3),(0),($F$5-'Tariff Jul 2023'!R3)*'Tariff Jul 2023'!S3/100),IF(AND('Tariff Jul 2023'!P3&gt;0,'Tariff Jul 2023'!R3=""),IF(($F$5&lt;'Tariff Jul 2023'!P3),(0),($F$5-'Tariff Jul 2023'!P3)*'Tariff Jul 2023'!Q3/100),0)))</f>
        <v>0</v>
      </c>
      <c r="J11" s="188">
        <f t="shared" ref="J11:J22" si="7">SUM(C11:I11)</f>
        <v>469.84585090909087</v>
      </c>
      <c r="K11" s="283">
        <f>(J11-C11)*4</f>
        <v>1542.5510399999998</v>
      </c>
      <c r="L11" s="283">
        <f t="shared" ref="L11:L22" si="8">J11*4</f>
        <v>1879.3834036363635</v>
      </c>
      <c r="M11" s="191">
        <f t="shared" ref="M11:M22" si="9">L11*1.1</f>
        <v>2067.3217439999999</v>
      </c>
      <c r="N11" s="187">
        <f>'Tariff Jul 2023'!AZ3</f>
        <v>0</v>
      </c>
      <c r="O11" s="187">
        <f>'Tariff Jul 2023'!BA3</f>
        <v>0</v>
      </c>
      <c r="P11" s="187">
        <f>'Tariff Jul 2023'!BB3</f>
        <v>0</v>
      </c>
      <c r="Q11" s="187">
        <f>'Tariff Jul 2023'!BC3</f>
        <v>0</v>
      </c>
      <c r="R11" s="192">
        <f>($F$6*'Tariff Jul 2023'!AT3/100)*4</f>
        <v>208.85759999999999</v>
      </c>
      <c r="S11" s="193" t="str">
        <f t="shared" si="0"/>
        <v>No discount</v>
      </c>
      <c r="T11" s="193" t="str">
        <f t="shared" si="1"/>
        <v>Exclusive</v>
      </c>
      <c r="U11" s="304">
        <f t="shared" si="2"/>
        <v>1879.3834036363635</v>
      </c>
      <c r="V11" s="283">
        <f t="shared" si="3"/>
        <v>1879.3834036363635</v>
      </c>
      <c r="W11" s="283">
        <f t="shared" si="4"/>
        <v>1670.5258036363634</v>
      </c>
      <c r="X11" s="283">
        <f t="shared" si="5"/>
        <v>1670.5258036363634</v>
      </c>
      <c r="Y11" s="285">
        <f t="shared" si="6"/>
        <v>1837.5783839999999</v>
      </c>
      <c r="Z11" s="285">
        <f t="shared" si="6"/>
        <v>1837.5783839999999</v>
      </c>
      <c r="AA11" s="194">
        <f>'Tariff Jul 2023'!AT3</f>
        <v>8</v>
      </c>
      <c r="AB11" s="196">
        <f>'Tariff Jul 2023'!G3</f>
        <v>43646</v>
      </c>
      <c r="AC11" s="361"/>
      <c r="AD11" s="361"/>
      <c r="AE11" s="361"/>
      <c r="AF11" s="361"/>
      <c r="AG11" s="361"/>
      <c r="AH11" s="361"/>
      <c r="AI11" s="361"/>
      <c r="AJ11" s="361"/>
      <c r="AK11" s="361"/>
      <c r="AL11" s="361"/>
      <c r="AM11" s="361"/>
      <c r="AN11" s="361"/>
      <c r="AO11" s="361"/>
      <c r="AP11" s="361"/>
      <c r="AQ11" s="361"/>
      <c r="AR11" s="361"/>
      <c r="AS11" s="361"/>
      <c r="AT11" s="361"/>
    </row>
    <row r="12" spans="1:46" s="187" customFormat="1" x14ac:dyDescent="0.15">
      <c r="A12" s="186" t="str">
        <f>'Tariff Jul 2023'!K4</f>
        <v>Diamond Energy</v>
      </c>
      <c r="B12" s="187" t="str">
        <f>'Tariff Jul 2023'!L4</f>
        <v>Renewable Saver</v>
      </c>
      <c r="C12" s="188">
        <f>IF('Tariff Jul 2023'!BP4=0,91*'Tariff Jul 2023'!M4/100,(91*'Tariff Jul 2023'!M4/100)+'Tariff Jul 2023'!BP4/4)</f>
        <v>72.8</v>
      </c>
      <c r="D12" s="188">
        <f>IF('Tariff Jul 2023'!O4="",$F$5*'Tariff Jul 2023'!N4/100,IF($F$5&gt;='Tariff Jul 2023'!P4,('Tariff Jul 2023'!P4*'Tariff Jul 2023'!N4/100),($F$5*'Tariff Jul 2023'!N4/100)))</f>
        <v>128.99999999999997</v>
      </c>
      <c r="E12" s="188">
        <f>IF(AND('Tariff Jul 2023'!P4&gt;0,'Tariff Jul 2023'!R4&gt;0),IF($F$5&lt;'Tariff Jul 2023'!P4,0,IF($F$5&lt;=('Tariff Jul 2023'!R4+'Tariff Jul 2023'!P4),(($F$5-'Tariff Jul 2023'!P4)*'Tariff Jul 2023'!Q4/100),(('Tariff Jul 2023'!R4)*'Tariff Jul 2023'!Q4/100))),0)</f>
        <v>157.49123999999998</v>
      </c>
      <c r="F12" s="189">
        <f>IF(AND('Tariff Jul 2023'!Q4&gt;0,'Tariff Jul 2023'!S4&gt;0),IF($F$5&lt;('Tariff Jul 2023'!R4+'Tariff Jul 2023'!P4),0,IF($F$5&lt;=('Tariff Jul 2023'!T4+'Tariff Jul 2023'!R4+'Tariff Jul 2023'!P4),(($F$5-('Tariff Jul 2023'!R4+'Tariff Jul 2023'!P4))*'Tariff Jul 2023'!S4/100),('Tariff Jul 2023'!T4*'Tariff Jul 2023'!S4/100))),0)</f>
        <v>0</v>
      </c>
      <c r="G12" s="188">
        <v>0</v>
      </c>
      <c r="H12" s="188">
        <v>0</v>
      </c>
      <c r="I12" s="189">
        <f>IF('Tariff Jul 2023'!T4&gt;0,IF(($F$5&lt;'Tariff Jul 2023'!T4),(0),($F$5-'Tariff Jul 2023'!T4)*'Tariff Jul 2023'!U4/100),IF(AND('Tariff Jul 2023'!R4&gt;0,'Tariff Jul 2023'!T4=""),IF(($F$5&lt;'Tariff Jul 2023'!R4),(0),($F$5-'Tariff Jul 2023'!R4)*'Tariff Jul 2023'!S4/100),IF(AND('Tariff Jul 2023'!P4&gt;0,'Tariff Jul 2023'!R4=""),IF(($F$5&lt;'Tariff Jul 2023'!P4),(0),($F$5-'Tariff Jul 2023'!P4)*'Tariff Jul 2023'!Q4/100),0)))</f>
        <v>0</v>
      </c>
      <c r="J12" s="188">
        <f t="shared" si="7"/>
        <v>359.2912399999999</v>
      </c>
      <c r="K12" s="283">
        <f t="shared" ref="K12:K22" si="10">(J12-C12)*4</f>
        <v>1145.9649599999996</v>
      </c>
      <c r="L12" s="283">
        <f t="shared" si="8"/>
        <v>1437.1649599999996</v>
      </c>
      <c r="M12" s="191">
        <f t="shared" si="9"/>
        <v>1580.8814559999996</v>
      </c>
      <c r="N12" s="187">
        <f>'Tariff Jul 2023'!AZ4</f>
        <v>0</v>
      </c>
      <c r="O12" s="187">
        <f>'Tariff Jul 2023'!BA4</f>
        <v>0</v>
      </c>
      <c r="P12" s="187">
        <f>'Tariff Jul 2023'!BB4</f>
        <v>2</v>
      </c>
      <c r="Q12" s="187">
        <f>'Tariff Jul 2023'!BC4</f>
        <v>0</v>
      </c>
      <c r="R12" s="192">
        <f>($F$6*'Tariff Jul 2023'!AT4/100)*4</f>
        <v>135.75743999999997</v>
      </c>
      <c r="S12" s="193" t="str">
        <f t="shared" si="0"/>
        <v>Pay-on-time off bill</v>
      </c>
      <c r="T12" s="193" t="str">
        <f t="shared" si="1"/>
        <v>Exclusive</v>
      </c>
      <c r="U12" s="304">
        <f t="shared" si="2"/>
        <v>1437.1649599999996</v>
      </c>
      <c r="V12" s="283">
        <f t="shared" si="3"/>
        <v>1408.4216607999997</v>
      </c>
      <c r="W12" s="283">
        <f t="shared" si="4"/>
        <v>1301.4075199999997</v>
      </c>
      <c r="X12" s="283">
        <f t="shared" si="5"/>
        <v>1272.6642207999998</v>
      </c>
      <c r="Y12" s="285">
        <f t="shared" si="6"/>
        <v>1431.5482719999998</v>
      </c>
      <c r="Z12" s="285">
        <f t="shared" si="6"/>
        <v>1399.9306428799998</v>
      </c>
      <c r="AA12" s="194">
        <f>'Tariff Jul 2023'!AT4</f>
        <v>5.2</v>
      </c>
      <c r="AB12" s="196">
        <f>'Tariff Jul 2023'!G4</f>
        <v>43646</v>
      </c>
      <c r="AC12" s="361"/>
      <c r="AD12" s="361"/>
      <c r="AE12" s="361"/>
      <c r="AF12" s="361"/>
      <c r="AG12" s="361"/>
      <c r="AH12" s="361"/>
      <c r="AI12" s="361"/>
      <c r="AJ12" s="361"/>
      <c r="AK12" s="361"/>
      <c r="AL12" s="361"/>
      <c r="AM12" s="361"/>
      <c r="AN12" s="361"/>
      <c r="AO12" s="361"/>
      <c r="AP12" s="361"/>
      <c r="AQ12" s="361"/>
      <c r="AR12" s="361"/>
      <c r="AS12" s="361"/>
      <c r="AT12" s="361"/>
    </row>
    <row r="13" spans="1:46" s="187" customFormat="1" x14ac:dyDescent="0.15">
      <c r="A13" s="186" t="str">
        <f>'Tariff Jul 2023'!K5</f>
        <v>EnergyAustralia</v>
      </c>
      <c r="B13" s="187" t="str">
        <f>'Tariff Jul 2023'!L5</f>
        <v>Solar Max</v>
      </c>
      <c r="C13" s="188">
        <f>IF('Tariff Jul 2023'!BP5=0,91*'Tariff Jul 2023'!M5/100,(91*'Tariff Jul 2023'!M5/100)+'Tariff Jul 2023'!BP5/4)</f>
        <v>86.449999999999989</v>
      </c>
      <c r="D13" s="188">
        <f>IF('Tariff Jul 2023'!O5="",$F$5*'Tariff Jul 2023'!N5/100,IF($F$5&gt;='Tariff Jul 2023'!P5,('Tariff Jul 2023'!P5*'Tariff Jul 2023'!N5/100),($F$5*'Tariff Jul 2023'!N5/100)))</f>
        <v>383.69009454545449</v>
      </c>
      <c r="E13" s="188">
        <f>IF(AND('Tariff Jul 2023'!P5&gt;0,'Tariff Jul 2023'!R5&gt;0),IF($F$5&lt;'Tariff Jul 2023'!P5,0,IF($F$5&lt;=('Tariff Jul 2023'!R5+'Tariff Jul 2023'!P5),(($F$5-'Tariff Jul 2023'!P5)*'Tariff Jul 2023'!Q5/100),(('Tariff Jul 2023'!R5)*'Tariff Jul 2023'!Q5/100))),0)</f>
        <v>0</v>
      </c>
      <c r="F13" s="189">
        <f>IF(AND('Tariff Jul 2023'!Q5&gt;0,'Tariff Jul 2023'!S5&gt;0),IF($F$5&lt;('Tariff Jul 2023'!R5+'Tariff Jul 2023'!P5),0,IF($F$5&lt;=('Tariff Jul 2023'!T5+'Tariff Jul 2023'!R5+'Tariff Jul 2023'!P5),(($F$5-('Tariff Jul 2023'!R5+'Tariff Jul 2023'!P5))*'Tariff Jul 2023'!S5/100),('Tariff Jul 2023'!T5*'Tariff Jul 2023'!S5/100))),0)</f>
        <v>0</v>
      </c>
      <c r="G13" s="188">
        <v>0</v>
      </c>
      <c r="H13" s="188">
        <v>0</v>
      </c>
      <c r="I13" s="189">
        <f>IF('Tariff Jul 2023'!T5&gt;0,IF(($F$5&lt;'Tariff Jul 2023'!T5),(0),($F$5-'Tariff Jul 2023'!T5)*'Tariff Jul 2023'!U5/100),IF(AND('Tariff Jul 2023'!R5&gt;0,'Tariff Jul 2023'!T5=""),IF(($F$5&lt;'Tariff Jul 2023'!R5),(0),($F$5-'Tariff Jul 2023'!R5)*'Tariff Jul 2023'!S5/100),IF(AND('Tariff Jul 2023'!P5&gt;0,'Tariff Jul 2023'!R5=""),IF(($F$5&lt;'Tariff Jul 2023'!P5),(0),($F$5-'Tariff Jul 2023'!P5)*'Tariff Jul 2023'!Q5/100),0)))</f>
        <v>0</v>
      </c>
      <c r="J13" s="188">
        <f t="shared" si="7"/>
        <v>470.14009454545447</v>
      </c>
      <c r="K13" s="283">
        <f t="shared" si="10"/>
        <v>1534.7603781818179</v>
      </c>
      <c r="L13" s="283">
        <f t="shared" si="8"/>
        <v>1880.5603781818179</v>
      </c>
      <c r="M13" s="191">
        <f t="shared" si="9"/>
        <v>2068.6164159999998</v>
      </c>
      <c r="N13" s="187">
        <f>'Tariff Jul 2023'!AZ5</f>
        <v>0</v>
      </c>
      <c r="O13" s="187">
        <f>'Tariff Jul 2023'!BA5</f>
        <v>0</v>
      </c>
      <c r="P13" s="187">
        <f>'Tariff Jul 2023'!BB5</f>
        <v>0</v>
      </c>
      <c r="Q13" s="187">
        <f>'Tariff Jul 2023'!BC5</f>
        <v>0</v>
      </c>
      <c r="R13" s="192">
        <f>($F$6*'Tariff Jul 2023'!AT5/100)*4</f>
        <v>391.60799999999995</v>
      </c>
      <c r="S13" s="193" t="str">
        <f t="shared" si="0"/>
        <v>No discount</v>
      </c>
      <c r="T13" s="193" t="str">
        <f t="shared" si="1"/>
        <v>Exclusive</v>
      </c>
      <c r="U13" s="304">
        <f t="shared" si="2"/>
        <v>1880.5603781818179</v>
      </c>
      <c r="V13" s="283">
        <f t="shared" si="3"/>
        <v>1880.5603781818179</v>
      </c>
      <c r="W13" s="283">
        <f t="shared" si="4"/>
        <v>1488.9523781818179</v>
      </c>
      <c r="X13" s="283">
        <f t="shared" si="5"/>
        <v>1488.9523781818179</v>
      </c>
      <c r="Y13" s="285">
        <f t="shared" si="6"/>
        <v>1637.8476159999998</v>
      </c>
      <c r="Z13" s="285">
        <f t="shared" si="6"/>
        <v>1637.8476159999998</v>
      </c>
      <c r="AA13" s="194">
        <f>'Tariff Jul 2023'!AT5</f>
        <v>15</v>
      </c>
      <c r="AB13" s="196">
        <f>'Tariff Jul 2023'!G5</f>
        <v>43646</v>
      </c>
      <c r="AC13" s="361"/>
      <c r="AD13" s="361"/>
      <c r="AE13" s="361"/>
      <c r="AF13" s="361"/>
      <c r="AG13" s="361"/>
      <c r="AH13" s="361"/>
      <c r="AI13" s="361"/>
      <c r="AJ13" s="361"/>
      <c r="AK13" s="361"/>
      <c r="AL13" s="361"/>
      <c r="AM13" s="361"/>
      <c r="AN13" s="361"/>
      <c r="AO13" s="361"/>
      <c r="AP13" s="361"/>
      <c r="AQ13" s="361"/>
      <c r="AR13" s="361"/>
      <c r="AS13" s="361"/>
      <c r="AT13" s="361"/>
    </row>
    <row r="14" spans="1:46" s="187" customFormat="1" x14ac:dyDescent="0.15">
      <c r="A14" s="186" t="str">
        <f>'Tariff Jul 2023'!K6</f>
        <v>Lumo Energy</v>
      </c>
      <c r="B14" s="187" t="str">
        <f>'Tariff Jul 2023'!L6</f>
        <v>Plus</v>
      </c>
      <c r="C14" s="188">
        <f>IF('Tariff Jul 2023'!BP6=0,91*'Tariff Jul 2023'!M6/100,(91*'Tariff Jul 2023'!M6/100)+'Tariff Jul 2023'!BP6/4)</f>
        <v>76.580636363636344</v>
      </c>
      <c r="D14" s="188">
        <f>IF('Tariff Jul 2023'!O6="",$F$5*'Tariff Jul 2023'!N6/100,IF($F$5&gt;='Tariff Jul 2023'!P6,('Tariff Jul 2023'!P6*'Tariff Jul 2023'!N6/100),($F$5*'Tariff Jul 2023'!N6/100)))</f>
        <v>294.42209454545451</v>
      </c>
      <c r="E14" s="188">
        <f>IF(AND('Tariff Jul 2023'!P6&gt;0,'Tariff Jul 2023'!R6&gt;0),IF($F$5&lt;'Tariff Jul 2023'!P6,0,IF($F$5&lt;=('Tariff Jul 2023'!R6+'Tariff Jul 2023'!P6),(($F$5-'Tariff Jul 2023'!P6)*'Tariff Jul 2023'!Q6/100),(('Tariff Jul 2023'!R6)*'Tariff Jul 2023'!Q6/100))),0)</f>
        <v>0</v>
      </c>
      <c r="F14" s="189">
        <f>IF(AND('Tariff Jul 2023'!Q6&gt;0,'Tariff Jul 2023'!S6&gt;0),IF($F$5&lt;('Tariff Jul 2023'!R6+'Tariff Jul 2023'!P6),0,IF($F$5&lt;=('Tariff Jul 2023'!T6+'Tariff Jul 2023'!R6+'Tariff Jul 2023'!P6),(($F$5-('Tariff Jul 2023'!R6+'Tariff Jul 2023'!P6))*'Tariff Jul 2023'!S6/100),('Tariff Jul 2023'!T6*'Tariff Jul 2023'!S6/100))),0)</f>
        <v>0</v>
      </c>
      <c r="G14" s="188">
        <v>0</v>
      </c>
      <c r="H14" s="188">
        <v>0</v>
      </c>
      <c r="I14" s="189">
        <f>IF('Tariff Jul 2023'!T6&gt;0,IF(($F$5&lt;'Tariff Jul 2023'!T6),(0),($F$5-'Tariff Jul 2023'!T6)*'Tariff Jul 2023'!U6/100),IF(AND('Tariff Jul 2023'!R6&gt;0,'Tariff Jul 2023'!T6=""),IF(($F$5&lt;'Tariff Jul 2023'!R6),(0),($F$5-'Tariff Jul 2023'!R6)*'Tariff Jul 2023'!S6/100),IF(AND('Tariff Jul 2023'!P6&gt;0,'Tariff Jul 2023'!R6=""),IF(($F$5&lt;'Tariff Jul 2023'!P6),(0),($F$5-'Tariff Jul 2023'!P6)*'Tariff Jul 2023'!Q6/100),0)))</f>
        <v>0</v>
      </c>
      <c r="J14" s="188">
        <f t="shared" si="7"/>
        <v>371.00273090909087</v>
      </c>
      <c r="K14" s="283">
        <f t="shared" si="10"/>
        <v>1177.6883781818181</v>
      </c>
      <c r="L14" s="283">
        <f t="shared" si="8"/>
        <v>1484.0109236363635</v>
      </c>
      <c r="M14" s="191">
        <f t="shared" si="9"/>
        <v>1632.412016</v>
      </c>
      <c r="N14" s="187">
        <f>'Tariff Jul 2023'!AZ6</f>
        <v>0</v>
      </c>
      <c r="O14" s="187">
        <f>'Tariff Jul 2023'!BA6</f>
        <v>0</v>
      </c>
      <c r="P14" s="187">
        <f>'Tariff Jul 2023'!BB6</f>
        <v>0</v>
      </c>
      <c r="Q14" s="187">
        <f>'Tariff Jul 2023'!BC6</f>
        <v>0</v>
      </c>
      <c r="R14" s="192">
        <f>($F$6*'Tariff Jul 2023'!AT6/100)*4</f>
        <v>78.321600000000004</v>
      </c>
      <c r="S14" s="193" t="str">
        <f t="shared" si="0"/>
        <v>No discount</v>
      </c>
      <c r="T14" s="193" t="str">
        <f t="shared" si="1"/>
        <v>Exclusive</v>
      </c>
      <c r="U14" s="304">
        <f t="shared" si="2"/>
        <v>1484.0109236363635</v>
      </c>
      <c r="V14" s="283">
        <f t="shared" si="3"/>
        <v>1484.0109236363635</v>
      </c>
      <c r="W14" s="283">
        <f t="shared" si="4"/>
        <v>1405.6893236363635</v>
      </c>
      <c r="X14" s="283">
        <f t="shared" si="5"/>
        <v>1405.6893236363635</v>
      </c>
      <c r="Y14" s="285">
        <f t="shared" si="6"/>
        <v>1546.2582560000001</v>
      </c>
      <c r="Z14" s="285">
        <f t="shared" si="6"/>
        <v>1546.2582560000001</v>
      </c>
      <c r="AA14" s="194">
        <f>'Tariff Jul 2023'!AT6</f>
        <v>3</v>
      </c>
      <c r="AB14" s="196">
        <f>'Tariff Jul 2023'!G6</f>
        <v>43646</v>
      </c>
      <c r="AC14" s="361"/>
      <c r="AD14" s="361"/>
      <c r="AE14" s="361"/>
      <c r="AF14" s="361"/>
      <c r="AG14" s="361"/>
      <c r="AH14" s="361"/>
      <c r="AI14" s="361"/>
      <c r="AJ14" s="361"/>
      <c r="AK14" s="361"/>
      <c r="AL14" s="361"/>
      <c r="AM14" s="361"/>
      <c r="AN14" s="361"/>
      <c r="AO14" s="361"/>
      <c r="AP14" s="361"/>
      <c r="AQ14" s="361"/>
      <c r="AR14" s="361"/>
      <c r="AS14" s="361"/>
      <c r="AT14" s="361"/>
    </row>
    <row r="15" spans="1:46" s="187" customFormat="1" x14ac:dyDescent="0.15">
      <c r="A15" s="186" t="str">
        <f>'Tariff Jul 2023'!K7</f>
        <v>Origin Energy</v>
      </c>
      <c r="B15" s="187" t="str">
        <f>'Tariff Jul 2023'!L7</f>
        <v>Solar Boost</v>
      </c>
      <c r="C15" s="188">
        <f>IF('Tariff Jul 2023'!BP7=0,91*'Tariff Jul 2023'!M7/100,(91*'Tariff Jul 2023'!M7/100)+'Tariff Jul 2023'!BP7/4)</f>
        <v>89.899727272727262</v>
      </c>
      <c r="D15" s="188">
        <f>IF('Tariff Jul 2023'!O7="",$F$5*'Tariff Jul 2023'!N7/100,IF($F$5&gt;='Tariff Jul 2023'!P7,('Tariff Jul 2023'!P7*'Tariff Jul 2023'!N7/100),($F$5*'Tariff Jul 2023'!N7/100)))</f>
        <v>380.52513818181814</v>
      </c>
      <c r="E15" s="188">
        <f>IF(AND('Tariff Jul 2023'!P7&gt;0,'Tariff Jul 2023'!R7&gt;0),IF($F$5&lt;'Tariff Jul 2023'!P7,0,IF($F$5&lt;=('Tariff Jul 2023'!R7+'Tariff Jul 2023'!P7),(($F$5-'Tariff Jul 2023'!P7)*'Tariff Jul 2023'!Q7/100),(('Tariff Jul 2023'!R7)*'Tariff Jul 2023'!Q7/100))),0)</f>
        <v>0</v>
      </c>
      <c r="F15" s="189">
        <f>IF(AND('Tariff Jul 2023'!Q7&gt;0,'Tariff Jul 2023'!S7&gt;0),IF($F$5&lt;('Tariff Jul 2023'!R7+'Tariff Jul 2023'!P7),0,IF($F$5&lt;=('Tariff Jul 2023'!T7+'Tariff Jul 2023'!R7+'Tariff Jul 2023'!P7),(($F$5-('Tariff Jul 2023'!R7+'Tariff Jul 2023'!P7))*'Tariff Jul 2023'!S7/100),('Tariff Jul 2023'!T7*'Tariff Jul 2023'!S7/100))),0)</f>
        <v>0</v>
      </c>
      <c r="G15" s="188">
        <v>0</v>
      </c>
      <c r="H15" s="188">
        <v>0</v>
      </c>
      <c r="I15" s="189">
        <f>IF('Tariff Jul 2023'!T7&gt;0,IF(($F$5&lt;'Tariff Jul 2023'!T7),(0),($F$5-'Tariff Jul 2023'!T7)*'Tariff Jul 2023'!U7/100),IF(AND('Tariff Jul 2023'!R7&gt;0,'Tariff Jul 2023'!T7=""),IF(($F$5&lt;'Tariff Jul 2023'!R7),(0),($F$5-'Tariff Jul 2023'!R7)*'Tariff Jul 2023'!S7/100),IF(AND('Tariff Jul 2023'!P7&gt;0,'Tariff Jul 2023'!R7=""),IF(($F$5&lt;'Tariff Jul 2023'!P7),(0),($F$5-'Tariff Jul 2023'!P7)*'Tariff Jul 2023'!Q7/100),0)))</f>
        <v>0</v>
      </c>
      <c r="J15" s="188">
        <f t="shared" si="7"/>
        <v>470.4248654545454</v>
      </c>
      <c r="K15" s="283">
        <f t="shared" si="10"/>
        <v>1522.1005527272725</v>
      </c>
      <c r="L15" s="283">
        <f t="shared" si="8"/>
        <v>1881.6994618181816</v>
      </c>
      <c r="M15" s="191">
        <f t="shared" si="9"/>
        <v>2069.869408</v>
      </c>
      <c r="N15" s="187">
        <f>'Tariff Jul 2023'!AZ7</f>
        <v>0</v>
      </c>
      <c r="O15" s="187">
        <f>'Tariff Jul 2023'!BA7</f>
        <v>0</v>
      </c>
      <c r="P15" s="187">
        <f>'Tariff Jul 2023'!BB7</f>
        <v>0</v>
      </c>
      <c r="Q15" s="187">
        <f>'Tariff Jul 2023'!BC7</f>
        <v>0</v>
      </c>
      <c r="R15" s="192">
        <f>($F$6*'Tariff Jul 2023'!AT7/100)*4</f>
        <v>313.28640000000001</v>
      </c>
      <c r="S15" s="193" t="str">
        <f t="shared" si="0"/>
        <v>No discount</v>
      </c>
      <c r="T15" s="193" t="str">
        <f t="shared" si="1"/>
        <v>Inclusive</v>
      </c>
      <c r="U15" s="304">
        <f t="shared" si="2"/>
        <v>1881.6994618181816</v>
      </c>
      <c r="V15" s="283">
        <f t="shared" si="3"/>
        <v>1881.6994618181816</v>
      </c>
      <c r="W15" s="283">
        <f t="shared" si="4"/>
        <v>1568.4130618181816</v>
      </c>
      <c r="X15" s="283">
        <f t="shared" si="5"/>
        <v>1568.4130618181816</v>
      </c>
      <c r="Y15" s="285">
        <f t="shared" si="6"/>
        <v>1725.2543679999999</v>
      </c>
      <c r="Z15" s="285">
        <f t="shared" si="6"/>
        <v>1725.2543679999999</v>
      </c>
      <c r="AA15" s="194">
        <f>'Tariff Jul 2023'!AT7</f>
        <v>12</v>
      </c>
      <c r="AB15" s="196">
        <f>'Tariff Jul 2023'!G7</f>
        <v>43287</v>
      </c>
      <c r="AC15" s="361"/>
      <c r="AD15" s="361"/>
      <c r="AE15" s="361"/>
      <c r="AF15" s="361"/>
      <c r="AG15" s="361"/>
      <c r="AH15" s="361"/>
      <c r="AI15" s="361"/>
      <c r="AJ15" s="361"/>
      <c r="AK15" s="361"/>
      <c r="AL15" s="361"/>
      <c r="AM15" s="361"/>
      <c r="AN15" s="361"/>
      <c r="AO15" s="361"/>
      <c r="AP15" s="361"/>
      <c r="AQ15" s="361"/>
      <c r="AR15" s="361"/>
      <c r="AS15" s="361"/>
      <c r="AT15" s="361"/>
    </row>
    <row r="16" spans="1:46" s="187" customFormat="1" x14ac:dyDescent="0.15">
      <c r="A16" s="186" t="str">
        <f>'Tariff Jul 2023'!K8</f>
        <v>Red Energy</v>
      </c>
      <c r="B16" s="187" t="str">
        <f>'Tariff Jul 2023'!L8</f>
        <v>Living Energy Saver</v>
      </c>
      <c r="C16" s="188">
        <f>IF('Tariff Jul 2023'!BP8=0,91*'Tariff Jul 2023'!M8/100,(91*'Tariff Jul 2023'!M8/100)+'Tariff Jul 2023'!BP8/4)</f>
        <v>77.349999999999994</v>
      </c>
      <c r="D16" s="188">
        <f>IF('Tariff Jul 2023'!O8="",$F$5*'Tariff Jul 2023'!N8/100,IF($F$5&gt;='Tariff Jul 2023'!P8,('Tariff Jul 2023'!P8*'Tariff Jul 2023'!N8/100),($F$5*'Tariff Jul 2023'!N8/100)))</f>
        <v>301.32007636363636</v>
      </c>
      <c r="E16" s="188">
        <f>IF(AND('Tariff Jul 2023'!P8&gt;0,'Tariff Jul 2023'!R8&gt;0),IF($F$5&lt;'Tariff Jul 2023'!P8,0,IF($F$5&lt;=('Tariff Jul 2023'!R8+'Tariff Jul 2023'!P8),(($F$5-'Tariff Jul 2023'!P8)*'Tariff Jul 2023'!Q8/100),(('Tariff Jul 2023'!R8)*'Tariff Jul 2023'!Q8/100))),0)</f>
        <v>0</v>
      </c>
      <c r="F16" s="189">
        <f>IF(AND('Tariff Jul 2023'!Q8&gt;0,'Tariff Jul 2023'!S8&gt;0),IF($F$5&lt;('Tariff Jul 2023'!R8+'Tariff Jul 2023'!P8),0,IF($F$5&lt;=('Tariff Jul 2023'!T8+'Tariff Jul 2023'!R8+'Tariff Jul 2023'!P8),(($F$5-('Tariff Jul 2023'!R8+'Tariff Jul 2023'!P8))*'Tariff Jul 2023'!S8/100),('Tariff Jul 2023'!T8*'Tariff Jul 2023'!S8/100))),0)</f>
        <v>0</v>
      </c>
      <c r="G16" s="188">
        <v>0</v>
      </c>
      <c r="H16" s="188">
        <v>0</v>
      </c>
      <c r="I16" s="189">
        <f>IF('Tariff Jul 2023'!T8&gt;0,IF(($F$5&lt;'Tariff Jul 2023'!T8),(0),($F$5-'Tariff Jul 2023'!T8)*'Tariff Jul 2023'!U8/100),IF(AND('Tariff Jul 2023'!R8&gt;0,'Tariff Jul 2023'!T8=""),IF(($F$5&lt;'Tariff Jul 2023'!R8),(0),($F$5-'Tariff Jul 2023'!R8)*'Tariff Jul 2023'!S8/100),IF(AND('Tariff Jul 2023'!P8&gt;0,'Tariff Jul 2023'!R8=""),IF(($F$5&lt;'Tariff Jul 2023'!P8),(0),($F$5-'Tariff Jul 2023'!P8)*'Tariff Jul 2023'!Q8/100),0)))</f>
        <v>0</v>
      </c>
      <c r="J16" s="188">
        <f t="shared" si="7"/>
        <v>378.67007636363633</v>
      </c>
      <c r="K16" s="283">
        <f t="shared" si="10"/>
        <v>1205.2803054545452</v>
      </c>
      <c r="L16" s="283">
        <f t="shared" si="8"/>
        <v>1514.6803054545453</v>
      </c>
      <c r="M16" s="191">
        <f t="shared" si="9"/>
        <v>1666.148336</v>
      </c>
      <c r="N16" s="187">
        <f>'Tariff Jul 2023'!AZ8</f>
        <v>0</v>
      </c>
      <c r="O16" s="187">
        <f>'Tariff Jul 2023'!BA8</f>
        <v>0</v>
      </c>
      <c r="P16" s="187">
        <f>'Tariff Jul 2023'!BB8</f>
        <v>0</v>
      </c>
      <c r="Q16" s="187">
        <f>'Tariff Jul 2023'!BC8</f>
        <v>0</v>
      </c>
      <c r="R16" s="192">
        <f>($F$6*'Tariff Jul 2023'!AT8/100)*4</f>
        <v>78.321600000000004</v>
      </c>
      <c r="S16" s="193" t="str">
        <f t="shared" si="0"/>
        <v>No discount</v>
      </c>
      <c r="T16" s="193" t="str">
        <f t="shared" si="1"/>
        <v>Inclusive</v>
      </c>
      <c r="U16" s="304">
        <f t="shared" si="2"/>
        <v>1514.6803054545453</v>
      </c>
      <c r="V16" s="283">
        <f t="shared" si="3"/>
        <v>1514.6803054545453</v>
      </c>
      <c r="W16" s="283">
        <f t="shared" si="4"/>
        <v>1436.3587054545453</v>
      </c>
      <c r="X16" s="283">
        <f t="shared" si="5"/>
        <v>1436.3587054545453</v>
      </c>
      <c r="Y16" s="285">
        <f t="shared" si="6"/>
        <v>1579.9945760000001</v>
      </c>
      <c r="Z16" s="285">
        <f t="shared" si="6"/>
        <v>1579.9945760000001</v>
      </c>
      <c r="AA16" s="194">
        <f>'Tariff Jul 2023'!AT8</f>
        <v>3</v>
      </c>
      <c r="AB16" s="196">
        <f>'Tariff Jul 2023'!G8</f>
        <v>43646</v>
      </c>
      <c r="AC16" s="361"/>
      <c r="AD16" s="361"/>
      <c r="AE16" s="361"/>
      <c r="AF16" s="361"/>
      <c r="AG16" s="361"/>
      <c r="AH16" s="361"/>
      <c r="AI16" s="361"/>
      <c r="AJ16" s="361"/>
      <c r="AK16" s="361"/>
      <c r="AL16" s="361"/>
      <c r="AM16" s="361"/>
      <c r="AN16" s="361"/>
      <c r="AO16" s="361"/>
      <c r="AP16" s="361"/>
      <c r="AQ16" s="361"/>
      <c r="AR16" s="361"/>
      <c r="AS16" s="361"/>
      <c r="AT16" s="361"/>
    </row>
    <row r="17" spans="1:46" s="187" customFormat="1" x14ac:dyDescent="0.15">
      <c r="A17" s="186" t="str">
        <f>'Tariff Jul 2023'!K9</f>
        <v>Energy Locals</v>
      </c>
      <c r="B17" s="187" t="str">
        <f>'Tariff Jul 2023'!L9</f>
        <v>Online Member</v>
      </c>
      <c r="C17" s="188">
        <f>IF('Tariff Jul 2023'!BP9=0,91*'Tariff Jul 2023'!M9/100,(91*'Tariff Jul 2023'!M9/100)+'Tariff Jul 2023'!BP9/4)</f>
        <v>87.013636363636351</v>
      </c>
      <c r="D17" s="188">
        <f>IF('Tariff Jul 2023'!O9="",$F$5*'Tariff Jul 2023'!N9/100,IF($F$5&gt;='Tariff Jul 2023'!P9,('Tariff Jul 2023'!P9*'Tariff Jul 2023'!N9/100),($F$5*'Tariff Jul 2023'!N9/100)))</f>
        <v>344.89909090909089</v>
      </c>
      <c r="E17" s="188">
        <f>IF(AND('Tariff Jul 2023'!P9&gt;0,'Tariff Jul 2023'!R9&gt;0),IF($F$5&lt;'Tariff Jul 2023'!P9,0,IF($F$5&lt;=('Tariff Jul 2023'!R9+'Tariff Jul 2023'!P9),(($F$5-'Tariff Jul 2023'!P9)*'Tariff Jul 2023'!Q9/100),(('Tariff Jul 2023'!R9)*'Tariff Jul 2023'!Q9/100))),0)</f>
        <v>0</v>
      </c>
      <c r="F17" s="189">
        <f>IF(AND('Tariff Jul 2023'!Q9&gt;0,'Tariff Jul 2023'!S9&gt;0),IF($F$5&lt;('Tariff Jul 2023'!R9+'Tariff Jul 2023'!P9),0,IF($F$5&lt;=('Tariff Jul 2023'!T9+'Tariff Jul 2023'!R9+'Tariff Jul 2023'!P9),(($F$5-('Tariff Jul 2023'!R9+'Tariff Jul 2023'!P9))*'Tariff Jul 2023'!S9/100),('Tariff Jul 2023'!T9*'Tariff Jul 2023'!S9/100))),0)</f>
        <v>0</v>
      </c>
      <c r="G17" s="188">
        <v>0</v>
      </c>
      <c r="H17" s="188">
        <v>0</v>
      </c>
      <c r="I17" s="189">
        <f>IF('Tariff Jul 2023'!T9&gt;0,IF(($F$5&lt;'Tariff Jul 2023'!T9),(0),($F$5-'Tariff Jul 2023'!T9)*'Tariff Jul 2023'!U9/100),IF(AND('Tariff Jul 2023'!R9&gt;0,'Tariff Jul 2023'!T9=""),IF(($F$5&lt;'Tariff Jul 2023'!R9),(0),($F$5-'Tariff Jul 2023'!R9)*'Tariff Jul 2023'!S9/100),IF(AND('Tariff Jul 2023'!P9&gt;0,'Tariff Jul 2023'!R9=""),IF(($F$5&lt;'Tariff Jul 2023'!P9),(0),($F$5-'Tariff Jul 2023'!P9)*'Tariff Jul 2023'!Q9/100),0)))</f>
        <v>0</v>
      </c>
      <c r="J17" s="188">
        <f t="shared" si="7"/>
        <v>431.91272727272724</v>
      </c>
      <c r="K17" s="283">
        <f t="shared" si="10"/>
        <v>1379.5963636363635</v>
      </c>
      <c r="L17" s="283">
        <f t="shared" si="8"/>
        <v>1727.650909090909</v>
      </c>
      <c r="M17" s="191">
        <f t="shared" si="9"/>
        <v>1900.4159999999999</v>
      </c>
      <c r="N17" s="187">
        <f>'Tariff Jul 2023'!AZ9</f>
        <v>0</v>
      </c>
      <c r="O17" s="187">
        <f>'Tariff Jul 2023'!BA9</f>
        <v>0</v>
      </c>
      <c r="P17" s="187">
        <f>'Tariff Jul 2023'!BB9</f>
        <v>0</v>
      </c>
      <c r="Q17" s="187">
        <f>'Tariff Jul 2023'!BC9</f>
        <v>0</v>
      </c>
      <c r="R17" s="192">
        <f>($F$6*'Tariff Jul 2023'!AT9/100)*4</f>
        <v>248.01839999999996</v>
      </c>
      <c r="S17" s="193" t="str">
        <f t="shared" si="0"/>
        <v>No discount</v>
      </c>
      <c r="T17" s="193" t="str">
        <f t="shared" si="1"/>
        <v>Exclusive</v>
      </c>
      <c r="U17" s="304">
        <f t="shared" si="2"/>
        <v>1727.650909090909</v>
      </c>
      <c r="V17" s="283">
        <f t="shared" si="3"/>
        <v>1727.650909090909</v>
      </c>
      <c r="W17" s="283">
        <f t="shared" si="4"/>
        <v>1479.632509090909</v>
      </c>
      <c r="X17" s="283">
        <f t="shared" si="5"/>
        <v>1479.632509090909</v>
      </c>
      <c r="Y17" s="285">
        <f t="shared" si="6"/>
        <v>1627.5957600000002</v>
      </c>
      <c r="Z17" s="285">
        <f t="shared" si="6"/>
        <v>1627.5957600000002</v>
      </c>
      <c r="AA17" s="194">
        <f>'Tariff Jul 2023'!AT9</f>
        <v>9.5</v>
      </c>
      <c r="AB17" s="196">
        <f>'Tariff Jul 2023'!G9</f>
        <v>43646</v>
      </c>
      <c r="AC17" s="361"/>
      <c r="AD17" s="361"/>
      <c r="AE17" s="361"/>
      <c r="AF17" s="361"/>
      <c r="AG17" s="361"/>
      <c r="AH17" s="361"/>
      <c r="AI17" s="361"/>
      <c r="AJ17" s="361"/>
      <c r="AK17" s="361"/>
      <c r="AL17" s="361"/>
      <c r="AM17" s="361"/>
      <c r="AN17" s="361"/>
      <c r="AO17" s="361"/>
      <c r="AP17" s="361"/>
      <c r="AQ17" s="361"/>
      <c r="AR17" s="361"/>
      <c r="AS17" s="361"/>
      <c r="AT17" s="361"/>
    </row>
    <row r="18" spans="1:46" s="187" customFormat="1" x14ac:dyDescent="0.15">
      <c r="A18" s="186" t="str">
        <f>'Tariff Jul 2023'!K10</f>
        <v>Simply Energy</v>
      </c>
      <c r="B18" s="187" t="str">
        <f>'Tariff Jul 2023'!L10</f>
        <v>Solar</v>
      </c>
      <c r="C18" s="188">
        <f>IF('Tariff Jul 2023'!BP10=0,91*'Tariff Jul 2023'!M10/100,(91*'Tariff Jul 2023'!M10/100)+'Tariff Jul 2023'!BP10/4)</f>
        <v>99.909727272727267</v>
      </c>
      <c r="D18" s="188">
        <f>IF('Tariff Jul 2023'!O10="",$F$5*'Tariff Jul 2023'!N10/100,IF($F$5&gt;='Tariff Jul 2023'!P10,('Tariff Jul 2023'!P10*'Tariff Jul 2023'!N10/100),($F$5*'Tariff Jul 2023'!N10/100)))</f>
        <v>371.59833818181812</v>
      </c>
      <c r="E18" s="188">
        <f>IF(AND('Tariff Jul 2023'!P10&gt;0,'Tariff Jul 2023'!R10&gt;0),IF($F$5&lt;'Tariff Jul 2023'!P10,0,IF($F$5&lt;=('Tariff Jul 2023'!R10+'Tariff Jul 2023'!P10),(($F$5-'Tariff Jul 2023'!P10)*'Tariff Jul 2023'!Q10/100),(('Tariff Jul 2023'!R10)*'Tariff Jul 2023'!Q10/100))),0)</f>
        <v>0</v>
      </c>
      <c r="F18" s="189">
        <f>IF(AND('Tariff Jul 2023'!Q10&gt;0,'Tariff Jul 2023'!S10&gt;0),IF($F$5&lt;('Tariff Jul 2023'!R10+'Tariff Jul 2023'!P10),0,IF($F$5&lt;=('Tariff Jul 2023'!T10+'Tariff Jul 2023'!R10+'Tariff Jul 2023'!P10),(($F$5-('Tariff Jul 2023'!R10+'Tariff Jul 2023'!P10))*'Tariff Jul 2023'!S10/100),('Tariff Jul 2023'!T10*'Tariff Jul 2023'!S10/100))),0)</f>
        <v>0</v>
      </c>
      <c r="G18" s="188">
        <v>0</v>
      </c>
      <c r="H18" s="188">
        <v>0</v>
      </c>
      <c r="I18" s="189">
        <f>IF('Tariff Jul 2023'!T10&gt;0,IF(($F$5&lt;'Tariff Jul 2023'!T10),(0),($F$5-'Tariff Jul 2023'!T10)*'Tariff Jul 2023'!U10/100),IF(AND('Tariff Jul 2023'!R10&gt;0,'Tariff Jul 2023'!T10=""),IF(($F$5&lt;'Tariff Jul 2023'!R10),(0),($F$5-'Tariff Jul 2023'!R10)*'Tariff Jul 2023'!S10/100),IF(AND('Tariff Jul 2023'!P10&gt;0,'Tariff Jul 2023'!R10=""),IF(($F$5&lt;'Tariff Jul 2023'!P10),(0),($F$5-'Tariff Jul 2023'!P10)*'Tariff Jul 2023'!Q10/100),0)))</f>
        <v>0</v>
      </c>
      <c r="J18" s="188">
        <f t="shared" si="7"/>
        <v>471.50806545454537</v>
      </c>
      <c r="K18" s="283">
        <f t="shared" si="10"/>
        <v>1486.3933527272725</v>
      </c>
      <c r="L18" s="283">
        <f t="shared" si="8"/>
        <v>1886.0322618181815</v>
      </c>
      <c r="M18" s="191">
        <f t="shared" si="9"/>
        <v>2074.6354879999999</v>
      </c>
      <c r="N18" s="187">
        <f>'Tariff Jul 2023'!AZ10</f>
        <v>0</v>
      </c>
      <c r="O18" s="187">
        <f>'Tariff Jul 2023'!BA10</f>
        <v>0</v>
      </c>
      <c r="P18" s="187">
        <f>'Tariff Jul 2023'!BB10</f>
        <v>0</v>
      </c>
      <c r="Q18" s="187">
        <f>'Tariff Jul 2023'!BC10</f>
        <v>0</v>
      </c>
      <c r="R18" s="192">
        <f>($F$6*'Tariff Jul 2023'!AT10/100)*4</f>
        <v>208.85759999999999</v>
      </c>
      <c r="S18" s="193" t="str">
        <f t="shared" si="0"/>
        <v>No discount</v>
      </c>
      <c r="T18" s="193" t="str">
        <f t="shared" si="1"/>
        <v>Exclusive</v>
      </c>
      <c r="U18" s="304">
        <f t="shared" si="2"/>
        <v>1886.0322618181815</v>
      </c>
      <c r="V18" s="283">
        <f t="shared" si="3"/>
        <v>1886.0322618181815</v>
      </c>
      <c r="W18" s="283">
        <f t="shared" si="4"/>
        <v>1677.1746618181814</v>
      </c>
      <c r="X18" s="283">
        <f t="shared" si="5"/>
        <v>1677.1746618181814</v>
      </c>
      <c r="Y18" s="285">
        <f t="shared" si="6"/>
        <v>1844.8921279999997</v>
      </c>
      <c r="Z18" s="285">
        <f t="shared" si="6"/>
        <v>1844.8921279999997</v>
      </c>
      <c r="AA18" s="194">
        <f>'Tariff Jul 2023'!AT10</f>
        <v>8</v>
      </c>
      <c r="AB18" s="196">
        <f>'Tariff Jul 2023'!G10</f>
        <v>43646</v>
      </c>
      <c r="AC18" s="361"/>
      <c r="AD18" s="361"/>
      <c r="AE18" s="361"/>
      <c r="AF18" s="361"/>
      <c r="AG18" s="361"/>
      <c r="AH18" s="361"/>
      <c r="AI18" s="361"/>
      <c r="AJ18" s="361"/>
      <c r="AK18" s="361"/>
      <c r="AL18" s="361"/>
      <c r="AM18" s="361"/>
      <c r="AN18" s="361"/>
      <c r="AO18" s="361"/>
      <c r="AP18" s="361"/>
      <c r="AQ18" s="361"/>
      <c r="AR18" s="361"/>
      <c r="AS18" s="361"/>
      <c r="AT18" s="361"/>
    </row>
    <row r="19" spans="1:46" s="187" customFormat="1" x14ac:dyDescent="0.15">
      <c r="A19" s="186" t="str">
        <f>'Tariff Jul 2023'!K11</f>
        <v>Powershop</v>
      </c>
      <c r="B19" s="187" t="str">
        <f>'Tariff Jul 2023'!L11</f>
        <v>Carbon neutral</v>
      </c>
      <c r="C19" s="188">
        <f>IF('Tariff Jul 2023'!BP11=0,91*'Tariff Jul 2023'!M11/100,(91*'Tariff Jul 2023'!M11/100)+'Tariff Jul 2023'!BP11/4)</f>
        <v>121.63390909090909</v>
      </c>
      <c r="D19" s="188">
        <f>IF('Tariff Jul 2023'!O11="",$F$5*'Tariff Jul 2023'!N11/100,IF($F$5&gt;='Tariff Jul 2023'!P11,('Tariff Jul 2023'!P11*'Tariff Jul 2023'!N11/100),($F$5*'Tariff Jul 2023'!N11/100)))</f>
        <v>334.0246254545454</v>
      </c>
      <c r="E19" s="188">
        <f>IF(AND('Tariff Jul 2023'!P11&gt;0,'Tariff Jul 2023'!R11&gt;0),IF($F$5&lt;'Tariff Jul 2023'!P11,0,IF($F$5&lt;=('Tariff Jul 2023'!R11+'Tariff Jul 2023'!P11),(($F$5-'Tariff Jul 2023'!P11)*'Tariff Jul 2023'!Q11/100),(('Tariff Jul 2023'!R11)*'Tariff Jul 2023'!Q11/100))),0)</f>
        <v>0</v>
      </c>
      <c r="F19" s="189">
        <f>IF(AND('Tariff Jul 2023'!Q11&gt;0,'Tariff Jul 2023'!S11&gt;0),IF($F$5&lt;('Tariff Jul 2023'!R11+'Tariff Jul 2023'!P11),0,IF($F$5&lt;=('Tariff Jul 2023'!T11+'Tariff Jul 2023'!R11+'Tariff Jul 2023'!P11),(($F$5-('Tariff Jul 2023'!R11+'Tariff Jul 2023'!P11))*'Tariff Jul 2023'!S11/100),('Tariff Jul 2023'!T11*'Tariff Jul 2023'!S11/100))),0)</f>
        <v>0</v>
      </c>
      <c r="G19" s="188">
        <v>0</v>
      </c>
      <c r="H19" s="188">
        <v>0</v>
      </c>
      <c r="I19" s="189">
        <f>IF('Tariff Jul 2023'!T11&gt;0,IF(($F$5&lt;'Tariff Jul 2023'!T11),(0),($F$5-'Tariff Jul 2023'!T11)*'Tariff Jul 2023'!U11/100),IF(AND('Tariff Jul 2023'!R11&gt;0,'Tariff Jul 2023'!T11=""),IF(($F$5&lt;'Tariff Jul 2023'!R11),(0),($F$5-'Tariff Jul 2023'!R11)*'Tariff Jul 2023'!S11/100),IF(AND('Tariff Jul 2023'!P11&gt;0,'Tariff Jul 2023'!R11=""),IF(($F$5&lt;'Tariff Jul 2023'!P11),(0),($F$5-'Tariff Jul 2023'!P11)*'Tariff Jul 2023'!Q11/100),0)))</f>
        <v>0</v>
      </c>
      <c r="J19" s="188">
        <f t="shared" si="7"/>
        <v>455.65853454545447</v>
      </c>
      <c r="K19" s="283">
        <f t="shared" si="10"/>
        <v>1336.0985018181816</v>
      </c>
      <c r="L19" s="283">
        <f t="shared" si="8"/>
        <v>1822.6341381818179</v>
      </c>
      <c r="M19" s="191">
        <f t="shared" si="9"/>
        <v>2004.8975519999999</v>
      </c>
      <c r="N19" s="187">
        <f>'Tariff Jul 2023'!AZ11</f>
        <v>0</v>
      </c>
      <c r="O19" s="187">
        <f>'Tariff Jul 2023'!BA11</f>
        <v>0</v>
      </c>
      <c r="P19" s="187">
        <f>'Tariff Jul 2023'!BB11</f>
        <v>0</v>
      </c>
      <c r="Q19" s="187">
        <f>'Tariff Jul 2023'!BC11</f>
        <v>0</v>
      </c>
      <c r="R19" s="192">
        <f>($F$6*'Tariff Jul 2023'!AT11/100)*4</f>
        <v>130.53599999999997</v>
      </c>
      <c r="S19" s="193" t="str">
        <f t="shared" si="0"/>
        <v>No discount</v>
      </c>
      <c r="T19" s="193" t="str">
        <f t="shared" si="1"/>
        <v>Inclusive</v>
      </c>
      <c r="U19" s="304">
        <f t="shared" si="2"/>
        <v>1822.6341381818179</v>
      </c>
      <c r="V19" s="283">
        <f t="shared" si="3"/>
        <v>1822.6341381818179</v>
      </c>
      <c r="W19" s="283">
        <f t="shared" si="4"/>
        <v>1692.0981381818178</v>
      </c>
      <c r="X19" s="283">
        <f t="shared" si="5"/>
        <v>1692.0981381818178</v>
      </c>
      <c r="Y19" s="285">
        <f t="shared" si="6"/>
        <v>1861.3079519999997</v>
      </c>
      <c r="Z19" s="285">
        <f t="shared" si="6"/>
        <v>1861.3079519999997</v>
      </c>
      <c r="AA19" s="194">
        <f>'Tariff Jul 2023'!AT11</f>
        <v>5</v>
      </c>
      <c r="AB19" s="196">
        <f>'Tariff Jul 2023'!G11</f>
        <v>43646</v>
      </c>
      <c r="AC19" s="361"/>
      <c r="AD19" s="361"/>
      <c r="AE19" s="361"/>
      <c r="AF19" s="361"/>
      <c r="AG19" s="361"/>
      <c r="AH19" s="361"/>
      <c r="AI19" s="361"/>
      <c r="AJ19" s="361"/>
      <c r="AK19" s="361"/>
      <c r="AL19" s="361"/>
      <c r="AM19" s="361"/>
      <c r="AN19" s="361"/>
      <c r="AO19" s="361"/>
      <c r="AP19" s="361"/>
      <c r="AQ19" s="361"/>
      <c r="AR19" s="361"/>
      <c r="AS19" s="361"/>
      <c r="AT19" s="361"/>
    </row>
    <row r="20" spans="1:46" s="187" customFormat="1" x14ac:dyDescent="0.15">
      <c r="A20" s="186" t="str">
        <f>'Tariff Jul 2023'!K12</f>
        <v>Amber Electric</v>
      </c>
      <c r="B20" s="187" t="str">
        <f>'Tariff Jul 2023'!L12</f>
        <v>Amber Plan</v>
      </c>
      <c r="C20" s="188">
        <f>IF('Tariff Jul 2023'!BP12=0,91*'Tariff Jul 2023'!M12/100,(91*'Tariff Jul 2023'!M12/100)+'Tariff Jul 2023'!BP12/4)</f>
        <v>138.25163636363635</v>
      </c>
      <c r="D20" s="188">
        <f>IF('Tariff Jul 2023'!O12="",$F$5*'Tariff Jul 2023'!N12/100,IF($F$5&gt;='Tariff Jul 2023'!P12,('Tariff Jul 2023'!P12*'Tariff Jul 2023'!N12/100),($F$5*'Tariff Jul 2023'!N12/100)))</f>
        <v>412.58046545454539</v>
      </c>
      <c r="E20" s="188">
        <f>IF(AND('Tariff Jul 2023'!P12&gt;0,'Tariff Jul 2023'!R12&gt;0),IF($F$5&lt;'Tariff Jul 2023'!P12,0,IF($F$5&lt;=('Tariff Jul 2023'!R12+'Tariff Jul 2023'!P12),(($F$5-'Tariff Jul 2023'!P12)*'Tariff Jul 2023'!Q12/100),(('Tariff Jul 2023'!R12)*'Tariff Jul 2023'!Q12/100))),0)</f>
        <v>0</v>
      </c>
      <c r="F20" s="189">
        <f>IF(AND('Tariff Jul 2023'!Q12&gt;0,'Tariff Jul 2023'!S12&gt;0),IF($F$5&lt;('Tariff Jul 2023'!R12+'Tariff Jul 2023'!P12),0,IF($F$5&lt;=('Tariff Jul 2023'!T12+'Tariff Jul 2023'!R12+'Tariff Jul 2023'!P12),(($F$5-('Tariff Jul 2023'!R12+'Tariff Jul 2023'!P12))*'Tariff Jul 2023'!S12/100),('Tariff Jul 2023'!T12*'Tariff Jul 2023'!S12/100))),0)</f>
        <v>0</v>
      </c>
      <c r="G20" s="188">
        <v>0</v>
      </c>
      <c r="H20" s="188">
        <v>0</v>
      </c>
      <c r="I20" s="189">
        <f>IF('Tariff Jul 2023'!T12&gt;0,IF(($F$5&lt;'Tariff Jul 2023'!T12),(0),($F$5-'Tariff Jul 2023'!T12)*'Tariff Jul 2023'!U12/100),IF(AND('Tariff Jul 2023'!R12&gt;0,'Tariff Jul 2023'!T12=""),IF(($F$5&lt;'Tariff Jul 2023'!R12),(0),($F$5-'Tariff Jul 2023'!R12)*'Tariff Jul 2023'!S12/100),IF(AND('Tariff Jul 2023'!P12&gt;0,'Tariff Jul 2023'!R12=""),IF(($F$5&lt;'Tariff Jul 2023'!P12),(0),($F$5-'Tariff Jul 2023'!P12)*'Tariff Jul 2023'!Q12/100),0)))</f>
        <v>0</v>
      </c>
      <c r="J20" s="188">
        <f t="shared" si="7"/>
        <v>550.83210181818174</v>
      </c>
      <c r="K20" s="283">
        <f t="shared" si="10"/>
        <v>1650.3218618181816</v>
      </c>
      <c r="L20" s="283">
        <f t="shared" si="8"/>
        <v>2203.328407272727</v>
      </c>
      <c r="M20" s="191">
        <f t="shared" si="9"/>
        <v>2423.6612479999999</v>
      </c>
      <c r="N20" s="187">
        <f>'Tariff Jul 2023'!AZ12</f>
        <v>0</v>
      </c>
      <c r="O20" s="187">
        <f>'Tariff Jul 2023'!BA12</f>
        <v>0</v>
      </c>
      <c r="P20" s="187">
        <f>'Tariff Jul 2023'!BB12</f>
        <v>0</v>
      </c>
      <c r="Q20" s="187">
        <f>'Tariff Jul 2023'!BC12</f>
        <v>0</v>
      </c>
      <c r="R20" s="192">
        <f>($F$6*'Tariff Jul 2023'!AT12/100)*4</f>
        <v>0</v>
      </c>
      <c r="S20" s="193" t="str">
        <f t="shared" si="0"/>
        <v>No discount</v>
      </c>
      <c r="T20" s="193" t="str">
        <f t="shared" si="1"/>
        <v>Exclusive</v>
      </c>
      <c r="U20" s="304">
        <f t="shared" si="2"/>
        <v>2203.328407272727</v>
      </c>
      <c r="V20" s="283">
        <f t="shared" si="3"/>
        <v>2203.328407272727</v>
      </c>
      <c r="W20" s="283">
        <f t="shared" si="4"/>
        <v>2203.328407272727</v>
      </c>
      <c r="X20" s="283">
        <f t="shared" si="5"/>
        <v>2203.328407272727</v>
      </c>
      <c r="Y20" s="285">
        <f t="shared" si="6"/>
        <v>2423.6612479999999</v>
      </c>
      <c r="Z20" s="285">
        <f t="shared" si="6"/>
        <v>2423.6612479999999</v>
      </c>
      <c r="AA20" s="194">
        <f>'Tariff Jul 2023'!AT12</f>
        <v>0</v>
      </c>
      <c r="AB20" s="196">
        <f>'Tariff Jul 2023'!G12</f>
        <v>43646</v>
      </c>
      <c r="AC20" s="361"/>
      <c r="AD20" s="361"/>
      <c r="AE20" s="361"/>
      <c r="AF20" s="361"/>
      <c r="AG20" s="361"/>
      <c r="AH20" s="361"/>
      <c r="AI20" s="361"/>
      <c r="AJ20" s="361"/>
      <c r="AK20" s="361"/>
      <c r="AL20" s="361"/>
      <c r="AM20" s="361"/>
      <c r="AN20" s="361"/>
      <c r="AO20" s="361"/>
      <c r="AP20" s="361"/>
      <c r="AQ20" s="361"/>
      <c r="AR20" s="361"/>
      <c r="AS20" s="361"/>
      <c r="AT20" s="361"/>
    </row>
    <row r="21" spans="1:46" s="187" customFormat="1" x14ac:dyDescent="0.15">
      <c r="A21" s="186" t="str">
        <f>'Tariff Jul 2023'!K13</f>
        <v>GloBird Energy</v>
      </c>
      <c r="B21" s="187" t="str">
        <f>'Tariff Jul 2023'!L13</f>
        <v>GloSave</v>
      </c>
      <c r="C21" s="188">
        <f>IF('Tariff Jul 2023'!BP13=0,91*'Tariff Jul 2023'!M13/100,(91*'Tariff Jul 2023'!M13/100)+'Tariff Jul 2023'!BP13/4)</f>
        <v>80.079999999999984</v>
      </c>
      <c r="D21" s="188">
        <f>IF('Tariff Jul 2023'!O13="",$F$5*'Tariff Jul 2023'!N13/100,IF($F$5&gt;='Tariff Jul 2023'!P13,('Tariff Jul 2023'!P13*'Tariff Jul 2023'!N13/100),($F$5*'Tariff Jul 2023'!N13/100)))</f>
        <v>291.90635999999995</v>
      </c>
      <c r="E21" s="188">
        <f>IF(AND('Tariff Jul 2023'!P13&gt;0,'Tariff Jul 2023'!R13&gt;0),IF($F$5&lt;'Tariff Jul 2023'!P13,0,IF($F$5&lt;=('Tariff Jul 2023'!R13+'Tariff Jul 2023'!P13),(($F$5-'Tariff Jul 2023'!P13)*'Tariff Jul 2023'!Q13/100),(('Tariff Jul 2023'!R13)*'Tariff Jul 2023'!Q13/100))),0)</f>
        <v>0</v>
      </c>
      <c r="F21" s="189">
        <f>IF(AND('Tariff Jul 2023'!Q13&gt;0,'Tariff Jul 2023'!S13&gt;0),IF($F$5&lt;('Tariff Jul 2023'!R13+'Tariff Jul 2023'!P13),0,IF($F$5&lt;=('Tariff Jul 2023'!T13+'Tariff Jul 2023'!R13+'Tariff Jul 2023'!P13),(($F$5-('Tariff Jul 2023'!R13+'Tariff Jul 2023'!P13))*'Tariff Jul 2023'!S13/100),('Tariff Jul 2023'!T13*'Tariff Jul 2023'!S13/100))),0)</f>
        <v>0</v>
      </c>
      <c r="G21" s="188">
        <v>0</v>
      </c>
      <c r="H21" s="188">
        <v>0</v>
      </c>
      <c r="I21" s="189">
        <f>IF('Tariff Jul 2023'!T13&gt;0,IF(($F$5&lt;'Tariff Jul 2023'!T13),(0),($F$5-'Tariff Jul 2023'!T13)*'Tariff Jul 2023'!U13/100),IF(AND('Tariff Jul 2023'!R13&gt;0,'Tariff Jul 2023'!T13=""),IF(($F$5&lt;'Tariff Jul 2023'!R13),(0),($F$5-'Tariff Jul 2023'!R13)*'Tariff Jul 2023'!S13/100),IF(AND('Tariff Jul 2023'!P13&gt;0,'Tariff Jul 2023'!R13=""),IF(($F$5&lt;'Tariff Jul 2023'!P13),(0),($F$5-'Tariff Jul 2023'!P13)*'Tariff Jul 2023'!Q13/100),0)))</f>
        <v>0</v>
      </c>
      <c r="J21" s="188">
        <f t="shared" si="7"/>
        <v>371.98635999999993</v>
      </c>
      <c r="K21" s="283">
        <f>(J21-C21)*4</f>
        <v>1167.6254399999998</v>
      </c>
      <c r="L21" s="283">
        <f t="shared" si="8"/>
        <v>1487.9454399999997</v>
      </c>
      <c r="M21" s="191">
        <f t="shared" si="9"/>
        <v>1636.7399839999998</v>
      </c>
      <c r="N21" s="187">
        <f>'Tariff Jul 2023'!AZ13</f>
        <v>0</v>
      </c>
      <c r="O21" s="187">
        <f>'Tariff Jul 2023'!BA13</f>
        <v>0</v>
      </c>
      <c r="P21" s="187">
        <f>'Tariff Jul 2023'!BB13</f>
        <v>2</v>
      </c>
      <c r="Q21" s="187">
        <f>'Tariff Jul 2023'!BC13</f>
        <v>0</v>
      </c>
      <c r="R21" s="192">
        <f>($F$6*'Tariff Jul 2023'!AT13/100)*4</f>
        <v>26.107199999999999</v>
      </c>
      <c r="S21" s="193" t="str">
        <f t="shared" si="0"/>
        <v>Pay-on-time off bill</v>
      </c>
      <c r="T21" s="193" t="str">
        <f t="shared" si="1"/>
        <v>Exclusive</v>
      </c>
      <c r="U21" s="304">
        <f t="shared" si="2"/>
        <v>1487.9454399999997</v>
      </c>
      <c r="V21" s="283">
        <f t="shared" si="3"/>
        <v>1458.1865311999998</v>
      </c>
      <c r="W21" s="283">
        <f t="shared" si="4"/>
        <v>1461.8382399999998</v>
      </c>
      <c r="X21" s="283">
        <f t="shared" si="5"/>
        <v>1432.0793311999998</v>
      </c>
      <c r="Y21" s="285">
        <f t="shared" si="6"/>
        <v>1608.022064</v>
      </c>
      <c r="Z21" s="285">
        <f t="shared" si="6"/>
        <v>1575.2872643199998</v>
      </c>
      <c r="AA21" s="194">
        <f>'Tariff Jul 2023'!AT13</f>
        <v>1</v>
      </c>
      <c r="AB21" s="196">
        <f>'Tariff Jul 2023'!G13</f>
        <v>43652</v>
      </c>
      <c r="AC21" s="361"/>
      <c r="AD21" s="361"/>
      <c r="AE21" s="361"/>
      <c r="AF21" s="361"/>
      <c r="AG21" s="361"/>
      <c r="AH21" s="361"/>
      <c r="AI21" s="361"/>
      <c r="AJ21" s="361"/>
      <c r="AK21" s="361"/>
      <c r="AL21" s="361"/>
      <c r="AM21" s="361"/>
      <c r="AN21" s="361"/>
      <c r="AO21" s="361"/>
      <c r="AP21" s="361"/>
      <c r="AQ21" s="361"/>
      <c r="AR21" s="361"/>
      <c r="AS21" s="361"/>
      <c r="AT21" s="361"/>
    </row>
    <row r="22" spans="1:46" s="187" customFormat="1" x14ac:dyDescent="0.15">
      <c r="A22" s="186" t="str">
        <f>'Tariff Jul 2023'!K14</f>
        <v>Kogan Energy</v>
      </c>
      <c r="B22" s="187" t="str">
        <f>'Tariff Jul 2023'!L14</f>
        <v>Free Kogan First Membership</v>
      </c>
      <c r="C22" s="188">
        <f>IF('Tariff Jul 2023'!BP14=0,91*'Tariff Jul 2023'!M14/100,(91*'Tariff Jul 2023'!M14/100)+'Tariff Jul 2023'!BP14/4)</f>
        <v>121.63390909090909</v>
      </c>
      <c r="D22" s="188">
        <f>IF('Tariff Jul 2023'!O14="",$F$5*'Tariff Jul 2023'!N14/100,IF($F$5&gt;='Tariff Jul 2023'!P14,('Tariff Jul 2023'!P14*'Tariff Jul 2023'!N14/100),($F$5*'Tariff Jul 2023'!N14/100)))</f>
        <v>334.0246254545454</v>
      </c>
      <c r="E22" s="188">
        <f>IF(AND('Tariff Jul 2023'!P14&gt;0,'Tariff Jul 2023'!R14&gt;0),IF($F$5&lt;'Tariff Jul 2023'!P14,0,IF($F$5&lt;=('Tariff Jul 2023'!R14+'Tariff Jul 2023'!P14),(($F$5-'Tariff Jul 2023'!P14)*'Tariff Jul 2023'!Q14/100),(('Tariff Jul 2023'!R14)*'Tariff Jul 2023'!Q14/100))),0)</f>
        <v>0</v>
      </c>
      <c r="F22" s="189">
        <f>IF(AND('Tariff Jul 2023'!Q14&gt;0,'Tariff Jul 2023'!S14&gt;0),IF($F$5&lt;('Tariff Jul 2023'!R14+'Tariff Jul 2023'!P14),0,IF($F$5&lt;=('Tariff Jul 2023'!T14+'Tariff Jul 2023'!R14+'Tariff Jul 2023'!P14),(($F$5-('Tariff Jul 2023'!R14+'Tariff Jul 2023'!P14))*'Tariff Jul 2023'!S14/100),('Tariff Jul 2023'!T14*'Tariff Jul 2023'!S14/100))),0)</f>
        <v>0</v>
      </c>
      <c r="G22" s="188">
        <v>0</v>
      </c>
      <c r="H22" s="188">
        <v>0</v>
      </c>
      <c r="I22" s="189">
        <f>IF('Tariff Jul 2023'!T14&gt;0,IF(($F$5&lt;'Tariff Jul 2023'!T14),(0),($F$5-'Tariff Jul 2023'!T14)*'Tariff Jul 2023'!U14/100),IF(AND('Tariff Jul 2023'!R14&gt;0,'Tariff Jul 2023'!T14=""),IF(($F$5&lt;'Tariff Jul 2023'!R14),(0),($F$5-'Tariff Jul 2023'!R14)*'Tariff Jul 2023'!S14/100),IF(AND('Tariff Jul 2023'!P14&gt;0,'Tariff Jul 2023'!R14=""),IF(($F$5&lt;'Tariff Jul 2023'!P14),(0),($F$5-'Tariff Jul 2023'!P14)*'Tariff Jul 2023'!Q14/100),0)))</f>
        <v>0</v>
      </c>
      <c r="J22" s="188">
        <f t="shared" si="7"/>
        <v>455.65853454545447</v>
      </c>
      <c r="K22" s="283">
        <f t="shared" si="10"/>
        <v>1336.0985018181816</v>
      </c>
      <c r="L22" s="283">
        <f t="shared" si="8"/>
        <v>1822.6341381818179</v>
      </c>
      <c r="M22" s="191">
        <f t="shared" si="9"/>
        <v>2004.8975519999999</v>
      </c>
      <c r="N22" s="187">
        <f>'Tariff Jul 2023'!AZ14</f>
        <v>0</v>
      </c>
      <c r="O22" s="187">
        <f>'Tariff Jul 2023'!BA14</f>
        <v>0</v>
      </c>
      <c r="P22" s="187">
        <f>'Tariff Jul 2023'!BB14</f>
        <v>0</v>
      </c>
      <c r="Q22" s="187">
        <f>'Tariff Jul 2023'!BC14</f>
        <v>0</v>
      </c>
      <c r="R22" s="192">
        <f>($F$6*'Tariff Jul 2023'!AT14/100)*4</f>
        <v>130.53599999999997</v>
      </c>
      <c r="S22" s="193" t="str">
        <f t="shared" si="0"/>
        <v>No discount</v>
      </c>
      <c r="T22" s="193" t="str">
        <f t="shared" si="1"/>
        <v>Exclusive</v>
      </c>
      <c r="U22" s="304">
        <f t="shared" si="2"/>
        <v>1822.6341381818179</v>
      </c>
      <c r="V22" s="283">
        <f t="shared" si="3"/>
        <v>1822.6341381818179</v>
      </c>
      <c r="W22" s="283">
        <f t="shared" si="4"/>
        <v>1692.0981381818178</v>
      </c>
      <c r="X22" s="283">
        <f t="shared" si="5"/>
        <v>1692.0981381818178</v>
      </c>
      <c r="Y22" s="285">
        <f t="shared" si="6"/>
        <v>1861.3079519999997</v>
      </c>
      <c r="Z22" s="285">
        <f t="shared" si="6"/>
        <v>1861.3079519999997</v>
      </c>
      <c r="AA22" s="194">
        <f>'Tariff Jul 2023'!AT14</f>
        <v>5</v>
      </c>
      <c r="AB22" s="196">
        <f>'Tariff Jul 2023'!G14</f>
        <v>43646</v>
      </c>
      <c r="AC22" s="361"/>
      <c r="AD22" s="361"/>
      <c r="AE22" s="361"/>
      <c r="AF22" s="361"/>
      <c r="AG22" s="361"/>
      <c r="AH22" s="361"/>
      <c r="AI22" s="361"/>
      <c r="AJ22" s="361"/>
      <c r="AK22" s="361"/>
      <c r="AL22" s="361"/>
      <c r="AM22" s="361"/>
      <c r="AN22" s="361"/>
      <c r="AO22" s="361"/>
      <c r="AP22" s="361"/>
      <c r="AQ22" s="361"/>
      <c r="AR22" s="361"/>
      <c r="AS22" s="361"/>
      <c r="AT22" s="361"/>
    </row>
    <row r="23" spans="1:46" s="187" customFormat="1" x14ac:dyDescent="0.15">
      <c r="A23" s="186" t="str">
        <f>'Tariff Jul 2023'!K15</f>
        <v>Momentum</v>
      </c>
      <c r="B23" s="187" t="str">
        <f>'Tariff Jul 2023'!L15</f>
        <v>Suit Yourself</v>
      </c>
      <c r="C23" s="188">
        <f>IF('Tariff Jul 2023'!BP15=0,91*'Tariff Jul 2023'!M15/100,(91*'Tariff Jul 2023'!M15/100)+'Tariff Jul 2023'!BP15/4)</f>
        <v>141.505</v>
      </c>
      <c r="D23" s="188">
        <f>IF('Tariff Jul 2023'!O15="",$F$5*'Tariff Jul 2023'!N15/100,IF($F$5&gt;='Tariff Jul 2023'!P15,('Tariff Jul 2023'!P15*'Tariff Jul 2023'!N15/100),($F$5*'Tariff Jul 2023'!N15/100)))</f>
        <v>333.86231999999995</v>
      </c>
      <c r="E23" s="188">
        <f>IF(AND('Tariff Jul 2023'!P15&gt;0,'Tariff Jul 2023'!R15&gt;0),IF($F$5&lt;'Tariff Jul 2023'!P15,0,IF($F$5&lt;=('Tariff Jul 2023'!R15+'Tariff Jul 2023'!P15),(($F$5-'Tariff Jul 2023'!P15)*'Tariff Jul 2023'!Q15/100),(('Tariff Jul 2023'!R15)*'Tariff Jul 2023'!Q15/100))),0)</f>
        <v>0</v>
      </c>
      <c r="F23" s="189">
        <f>IF(AND('Tariff Jul 2023'!Q15&gt;0,'Tariff Jul 2023'!S15&gt;0),IF($F$5&lt;('Tariff Jul 2023'!R15+'Tariff Jul 2023'!P15),0,IF($F$5&lt;=('Tariff Jul 2023'!T15+'Tariff Jul 2023'!R15+'Tariff Jul 2023'!P15),(($F$5-('Tariff Jul 2023'!R15+'Tariff Jul 2023'!P15))*'Tariff Jul 2023'!S15/100),('Tariff Jul 2023'!T15*'Tariff Jul 2023'!S15/100))),0)</f>
        <v>0</v>
      </c>
      <c r="G23" s="188">
        <v>0</v>
      </c>
      <c r="H23" s="188">
        <v>0</v>
      </c>
      <c r="I23" s="189">
        <f>IF('Tariff Jul 2023'!T15&gt;0,IF(($F$5&lt;'Tariff Jul 2023'!T15),(0),($F$5-'Tariff Jul 2023'!T15)*'Tariff Jul 2023'!U15/100),IF(AND('Tariff Jul 2023'!R15&gt;0,'Tariff Jul 2023'!T15=""),IF(($F$5&lt;'Tariff Jul 2023'!R15),(0),($F$5-'Tariff Jul 2023'!R15)*'Tariff Jul 2023'!S15/100),IF(AND('Tariff Jul 2023'!P15&gt;0,'Tariff Jul 2023'!R15=""),IF(($F$5&lt;'Tariff Jul 2023'!P15),(0),($F$5-'Tariff Jul 2023'!P15)*'Tariff Jul 2023'!Q15/100),0)))</f>
        <v>0</v>
      </c>
      <c r="J23" s="188">
        <f t="shared" ref="J23:J26" si="11">SUM(C23:I23)</f>
        <v>475.36731999999995</v>
      </c>
      <c r="K23" s="283">
        <f t="shared" ref="K23:K26" si="12">(J23-C23)*4</f>
        <v>1335.4492799999998</v>
      </c>
      <c r="L23" s="283">
        <f t="shared" ref="L23:L26" si="13">J23*4</f>
        <v>1901.4692799999998</v>
      </c>
      <c r="M23" s="191">
        <f t="shared" ref="M23:M26" si="14">L23*1.1</f>
        <v>2091.6162079999999</v>
      </c>
      <c r="N23" s="187">
        <f>'Tariff Jul 2023'!AZ15</f>
        <v>0</v>
      </c>
      <c r="O23" s="187">
        <f>'Tariff Jul 2023'!BA15</f>
        <v>0</v>
      </c>
      <c r="P23" s="187">
        <f>'Tariff Jul 2023'!BB15</f>
        <v>0</v>
      </c>
      <c r="Q23" s="187">
        <f>'Tariff Jul 2023'!BC15</f>
        <v>0</v>
      </c>
      <c r="R23" s="192">
        <f>($F$6*'Tariff Jul 2023'!AT15/100)*4</f>
        <v>91.375199999999992</v>
      </c>
      <c r="S23" s="193" t="str">
        <f t="shared" ref="S23:S26" si="15">IF(SUM(N23:Q23)=0,"No discount",IF(N23&gt;0,"Guaranteed off bill",IF(O23&gt;0,"Guaranteed off usage",IF(P23&gt;0,"Pay-on-time off bill","Pay-on-time off usage"))))</f>
        <v>No discount</v>
      </c>
      <c r="T23" s="193" t="str">
        <f t="shared" ref="T23:T26" si="16">IF(OR(A23="Origin Energy",A23="Red Energy",A23="Powershop"),"Inclusive","Exclusive")</f>
        <v>Exclusive</v>
      </c>
      <c r="U23" s="304">
        <f t="shared" ref="U23:U26" si="17">IF(AND(S23="Guaranteed off bill",T23="Inclusive"),((L23*1.1)-((L23*1.1)*N23/100))/1.1,IF(AND(S23="Guaranteed off usage",T23="Inclusive"),((L23*1.1)-((K23*1.1)*O23/100))/1.1,IF(AND(S23="Guaranteed off bill",T23="Exclusive"),L23-(L23*N23/100),IF(AND(S23="Guaranteed off usage",T23="Exclusive"),L23-(K23*O23/100),IF(T23="Inclusive",((L23*1.1))/1.1,L23)))))</f>
        <v>1901.4692799999998</v>
      </c>
      <c r="V23" s="283">
        <f t="shared" ref="V23:V26" si="18">IF(AND(S23="Pay-on-time off bill",T23="Inclusive"),((U23*1.1)-((U23*1.1)*P23/100))/1.1,IF(AND(S23="Pay-on-time off usage",T23="Inclusive"),((U23*1.1)-((K23*1.1)*Q23/100))/1.1,IF(AND(S23="Pay-on-time off bill",T23="Exclusive"),U23-(U23*P23/100),IF(AND(S23="Pay-on-time off usage",T23="Exclusive"),U23-(K23*Q23/100),IF(T23="Inclusive",((U23*1.1))/1.1,U23)))))</f>
        <v>1901.4692799999998</v>
      </c>
      <c r="W23" s="283">
        <f t="shared" ref="W23:W26" si="19">U23-R23</f>
        <v>1810.0940799999998</v>
      </c>
      <c r="X23" s="283">
        <f t="shared" ref="X23:X26" si="20">V23-R23</f>
        <v>1810.0940799999998</v>
      </c>
      <c r="Y23" s="285">
        <f t="shared" ref="Y23:Y26" si="21">W23*1.1</f>
        <v>1991.103488</v>
      </c>
      <c r="Z23" s="285">
        <f t="shared" ref="Z23:Z26" si="22">X23*1.1</f>
        <v>1991.103488</v>
      </c>
      <c r="AA23" s="194">
        <f>'Tariff Jul 2023'!AT15</f>
        <v>3.5</v>
      </c>
      <c r="AB23" s="196">
        <f>'Tariff Jul 2023'!G15</f>
        <v>43646</v>
      </c>
      <c r="AC23" s="361"/>
      <c r="AD23" s="361"/>
      <c r="AE23" s="361"/>
      <c r="AF23" s="361"/>
      <c r="AG23" s="361"/>
      <c r="AH23" s="361"/>
      <c r="AI23" s="361"/>
      <c r="AJ23" s="361"/>
      <c r="AK23" s="361"/>
      <c r="AL23" s="361"/>
      <c r="AM23" s="361"/>
      <c r="AN23" s="361"/>
      <c r="AO23" s="361"/>
      <c r="AP23" s="361"/>
      <c r="AQ23" s="361"/>
      <c r="AR23" s="361"/>
      <c r="AS23" s="361"/>
      <c r="AT23" s="361"/>
    </row>
    <row r="24" spans="1:46" s="187" customFormat="1" x14ac:dyDescent="0.15">
      <c r="A24" s="186" t="str">
        <f>'Tariff Jul 2023'!K16</f>
        <v>OVO</v>
      </c>
      <c r="B24" s="187" t="str">
        <f>'Tariff Jul 2023'!L16</f>
        <v>Solar Plan</v>
      </c>
      <c r="C24" s="188">
        <f>IF('Tariff Jul 2023'!BP16=0,91*'Tariff Jul 2023'!M16/100,(91*'Tariff Jul 2023'!M16/100)+'Tariff Jul 2023'!BP16/4)</f>
        <v>105.37799999999999</v>
      </c>
      <c r="D24" s="188">
        <f>IF('Tariff Jul 2023'!O16="",$F$5*'Tariff Jul 2023'!N16/100,IF($F$5&gt;='Tariff Jul 2023'!P16,('Tariff Jul 2023'!P16*'Tariff Jul 2023'!N16/100),($F$5*'Tariff Jul 2023'!N16/100)))</f>
        <v>333.13194545454542</v>
      </c>
      <c r="E24" s="188">
        <f>IF(AND('Tariff Jul 2023'!P16&gt;0,'Tariff Jul 2023'!R16&gt;0),IF($F$5&lt;'Tariff Jul 2023'!P16,0,IF($F$5&lt;=('Tariff Jul 2023'!R16+'Tariff Jul 2023'!P16),(($F$5-'Tariff Jul 2023'!P16)*'Tariff Jul 2023'!Q16/100),(('Tariff Jul 2023'!R16)*'Tariff Jul 2023'!Q16/100))),0)</f>
        <v>0</v>
      </c>
      <c r="F24" s="189">
        <f>IF(AND('Tariff Jul 2023'!Q16&gt;0,'Tariff Jul 2023'!S16&gt;0),IF($F$5&lt;('Tariff Jul 2023'!R16+'Tariff Jul 2023'!P16),0,IF($F$5&lt;=('Tariff Jul 2023'!T16+'Tariff Jul 2023'!R16+'Tariff Jul 2023'!P16),(($F$5-('Tariff Jul 2023'!R16+'Tariff Jul 2023'!P16))*'Tariff Jul 2023'!S16/100),('Tariff Jul 2023'!T16*'Tariff Jul 2023'!S16/100))),0)</f>
        <v>0</v>
      </c>
      <c r="G24" s="188">
        <v>0</v>
      </c>
      <c r="H24" s="188">
        <v>0</v>
      </c>
      <c r="I24" s="189">
        <f>IF('Tariff Jul 2023'!T16&gt;0,IF(($F$5&lt;'Tariff Jul 2023'!T16),(0),($F$5-'Tariff Jul 2023'!T16)*'Tariff Jul 2023'!U16/100),IF(AND('Tariff Jul 2023'!R16&gt;0,'Tariff Jul 2023'!T16=""),IF(($F$5&lt;'Tariff Jul 2023'!R16),(0),($F$5-'Tariff Jul 2023'!R16)*'Tariff Jul 2023'!S16/100),IF(AND('Tariff Jul 2023'!P16&gt;0,'Tariff Jul 2023'!R16=""),IF(($F$5&lt;'Tariff Jul 2023'!P16),(0),($F$5-'Tariff Jul 2023'!P16)*'Tariff Jul 2023'!Q16/100),0)))</f>
        <v>0</v>
      </c>
      <c r="J24" s="188">
        <f t="shared" si="11"/>
        <v>438.5099454545454</v>
      </c>
      <c r="K24" s="283">
        <f t="shared" si="12"/>
        <v>1332.5277818181817</v>
      </c>
      <c r="L24" s="283">
        <f t="shared" si="13"/>
        <v>1754.0397818181816</v>
      </c>
      <c r="M24" s="191">
        <f t="shared" si="14"/>
        <v>1929.4437599999999</v>
      </c>
      <c r="N24" s="187">
        <f>'Tariff Jul 2023'!AZ16</f>
        <v>0</v>
      </c>
      <c r="O24" s="187">
        <f>'Tariff Jul 2023'!BA16</f>
        <v>0</v>
      </c>
      <c r="P24" s="187">
        <f>'Tariff Jul 2023'!BB16</f>
        <v>0</v>
      </c>
      <c r="Q24" s="187">
        <f>'Tariff Jul 2023'!BC16</f>
        <v>0</v>
      </c>
      <c r="R24" s="192">
        <f>($F$6*'Tariff Jul 2023'!AT16/100)*4</f>
        <v>365.50079999999997</v>
      </c>
      <c r="S24" s="193" t="str">
        <f t="shared" si="15"/>
        <v>No discount</v>
      </c>
      <c r="T24" s="193" t="str">
        <f t="shared" si="16"/>
        <v>Exclusive</v>
      </c>
      <c r="U24" s="304">
        <f t="shared" si="17"/>
        <v>1754.0397818181816</v>
      </c>
      <c r="V24" s="283">
        <f t="shared" si="18"/>
        <v>1754.0397818181816</v>
      </c>
      <c r="W24" s="283">
        <f t="shared" si="19"/>
        <v>1388.5389818181816</v>
      </c>
      <c r="X24" s="283">
        <f t="shared" si="20"/>
        <v>1388.5389818181816</v>
      </c>
      <c r="Y24" s="285">
        <f t="shared" si="21"/>
        <v>1527.3928799999999</v>
      </c>
      <c r="Z24" s="285">
        <f t="shared" si="22"/>
        <v>1527.3928799999999</v>
      </c>
      <c r="AA24" s="194">
        <f>'Tariff Jul 2023'!AT16</f>
        <v>14</v>
      </c>
      <c r="AB24" s="196">
        <f>'Tariff Jul 2023'!G16</f>
        <v>43651</v>
      </c>
      <c r="AC24" s="361"/>
      <c r="AD24" s="361"/>
      <c r="AE24" s="361"/>
      <c r="AF24" s="361"/>
      <c r="AG24" s="361"/>
      <c r="AH24" s="361"/>
      <c r="AI24" s="361"/>
      <c r="AJ24" s="361"/>
      <c r="AK24" s="361"/>
      <c r="AL24" s="361"/>
      <c r="AM24" s="361"/>
      <c r="AN24" s="361"/>
      <c r="AO24" s="361"/>
      <c r="AP24" s="361"/>
      <c r="AQ24" s="361"/>
      <c r="AR24" s="361"/>
      <c r="AS24" s="361"/>
      <c r="AT24" s="361"/>
    </row>
    <row r="25" spans="1:46" s="187" customFormat="1" x14ac:dyDescent="0.15">
      <c r="A25" s="186" t="str">
        <f>'Tariff Jul 2023'!K17</f>
        <v>Sumo Power</v>
      </c>
      <c r="B25" s="187" t="str">
        <f>'Tariff Jul 2023'!L17</f>
        <v>Lite</v>
      </c>
      <c r="C25" s="188">
        <f>IF('Tariff Jul 2023'!BP17=0,91*'Tariff Jul 2023'!M17/100,(91*'Tariff Jul 2023'!M17/100)+'Tariff Jul 2023'!BP17/4)</f>
        <v>96.45999999999998</v>
      </c>
      <c r="D25" s="188">
        <f>IF('Tariff Jul 2023'!O17="",$F$5*'Tariff Jul 2023'!N17/100,IF($F$5&gt;='Tariff Jul 2023'!P17,('Tariff Jul 2023'!P17*'Tariff Jul 2023'!N17/100),($F$5*'Tariff Jul 2023'!N17/100)))</f>
        <v>374.92559999999997</v>
      </c>
      <c r="E25" s="188">
        <f>IF(AND('Tariff Jul 2023'!P17&gt;0,'Tariff Jul 2023'!R17&gt;0),IF($F$5&lt;'Tariff Jul 2023'!P17,0,IF($F$5&lt;=('Tariff Jul 2023'!R17+'Tariff Jul 2023'!P17),(($F$5-'Tariff Jul 2023'!P17)*'Tariff Jul 2023'!Q17/100),(('Tariff Jul 2023'!R17)*'Tariff Jul 2023'!Q17/100))),0)</f>
        <v>0</v>
      </c>
      <c r="F25" s="189">
        <f>IF(AND('Tariff Jul 2023'!Q17&gt;0,'Tariff Jul 2023'!S17&gt;0),IF($F$5&lt;('Tariff Jul 2023'!R17+'Tariff Jul 2023'!P17),0,IF($F$5&lt;=('Tariff Jul 2023'!T17+'Tariff Jul 2023'!R17+'Tariff Jul 2023'!P17),(($F$5-('Tariff Jul 2023'!R17+'Tariff Jul 2023'!P17))*'Tariff Jul 2023'!S17/100),('Tariff Jul 2023'!T17*'Tariff Jul 2023'!S17/100))),0)</f>
        <v>0</v>
      </c>
      <c r="G25" s="188">
        <v>0</v>
      </c>
      <c r="H25" s="188">
        <v>0</v>
      </c>
      <c r="I25" s="189">
        <f>IF('Tariff Jul 2023'!T17&gt;0,IF(($F$5&lt;'Tariff Jul 2023'!T17),(0),($F$5-'Tariff Jul 2023'!T17)*'Tariff Jul 2023'!U17/100),IF(AND('Tariff Jul 2023'!R17&gt;0,'Tariff Jul 2023'!T17=""),IF(($F$5&lt;'Tariff Jul 2023'!R17),(0),($F$5-'Tariff Jul 2023'!R17)*'Tariff Jul 2023'!S17/100),IF(AND('Tariff Jul 2023'!P17&gt;0,'Tariff Jul 2023'!R17=""),IF(($F$5&lt;'Tariff Jul 2023'!P17),(0),($F$5-'Tariff Jul 2023'!P17)*'Tariff Jul 2023'!Q17/100),0)))</f>
        <v>0</v>
      </c>
      <c r="J25" s="188">
        <f t="shared" si="11"/>
        <v>471.38559999999995</v>
      </c>
      <c r="K25" s="283">
        <f t="shared" si="12"/>
        <v>1499.7023999999999</v>
      </c>
      <c r="L25" s="283">
        <f t="shared" si="13"/>
        <v>1885.5423999999998</v>
      </c>
      <c r="M25" s="191">
        <f t="shared" si="14"/>
        <v>2074.0966399999998</v>
      </c>
      <c r="N25" s="187">
        <f>'Tariff Jul 2023'!AZ17</f>
        <v>0</v>
      </c>
      <c r="O25" s="187">
        <f>'Tariff Jul 2023'!BA17</f>
        <v>0</v>
      </c>
      <c r="P25" s="187">
        <f>'Tariff Jul 2023'!BB17</f>
        <v>0</v>
      </c>
      <c r="Q25" s="187">
        <f>'Tariff Jul 2023'!BC17</f>
        <v>0</v>
      </c>
      <c r="R25" s="192">
        <f>($F$6*'Tariff Jul 2023'!AT17/100)*4</f>
        <v>130.53599999999997</v>
      </c>
      <c r="S25" s="193" t="str">
        <f t="shared" si="15"/>
        <v>No discount</v>
      </c>
      <c r="T25" s="193" t="str">
        <f t="shared" si="16"/>
        <v>Exclusive</v>
      </c>
      <c r="U25" s="304">
        <f t="shared" si="17"/>
        <v>1885.5423999999998</v>
      </c>
      <c r="V25" s="283">
        <f t="shared" si="18"/>
        <v>1885.5423999999998</v>
      </c>
      <c r="W25" s="283">
        <f t="shared" si="19"/>
        <v>1755.0063999999998</v>
      </c>
      <c r="X25" s="283">
        <f t="shared" si="20"/>
        <v>1755.0063999999998</v>
      </c>
      <c r="Y25" s="285">
        <f t="shared" si="21"/>
        <v>1930.50704</v>
      </c>
      <c r="Z25" s="285">
        <f t="shared" si="22"/>
        <v>1930.50704</v>
      </c>
      <c r="AA25" s="194">
        <f>'Tariff Jul 2023'!AT17</f>
        <v>5</v>
      </c>
      <c r="AB25" s="196">
        <f>'Tariff Jul 2023'!G17</f>
        <v>43655</v>
      </c>
      <c r="AC25" s="361"/>
      <c r="AD25" s="361"/>
      <c r="AE25" s="361"/>
      <c r="AF25" s="361"/>
      <c r="AG25" s="361"/>
      <c r="AH25" s="361"/>
      <c r="AI25" s="361"/>
      <c r="AJ25" s="361"/>
      <c r="AK25" s="361"/>
      <c r="AL25" s="361"/>
      <c r="AM25" s="361"/>
      <c r="AN25" s="361"/>
      <c r="AO25" s="361"/>
      <c r="AP25" s="361"/>
      <c r="AQ25" s="361"/>
      <c r="AR25" s="361"/>
      <c r="AS25" s="361"/>
      <c r="AT25" s="361"/>
    </row>
    <row r="26" spans="1:46" s="187" customFormat="1" x14ac:dyDescent="0.15">
      <c r="A26" s="186" t="str">
        <f>'Tariff Jul 2023'!K18</f>
        <v>CovaU</v>
      </c>
      <c r="B26" s="187" t="str">
        <f>'Tariff Jul 2023'!L18</f>
        <v>Freedom</v>
      </c>
      <c r="C26" s="188">
        <f>IF('Tariff Jul 2023'!BP18=0,91*'Tariff Jul 2023'!M18/100,(91*'Tariff Jul 2023'!M18/100)+'Tariff Jul 2023'!BP18/4)</f>
        <v>85.705454545454543</v>
      </c>
      <c r="D26" s="188">
        <f>IF('Tariff Jul 2023'!O18="",$F$5*'Tariff Jul 2023'!N18/100,IF($F$5&gt;='Tariff Jul 2023'!P18,('Tariff Jul 2023'!P18*'Tariff Jul 2023'!N18/100),($F$5*'Tariff Jul 2023'!N18/100)))</f>
        <v>296.53206545454537</v>
      </c>
      <c r="E26" s="188">
        <f>IF(AND('Tariff Jul 2023'!P18&gt;0,'Tariff Jul 2023'!R18&gt;0),IF($F$5&lt;'Tariff Jul 2023'!P18,0,IF($F$5&lt;=('Tariff Jul 2023'!R18+'Tariff Jul 2023'!P18),(($F$5-'Tariff Jul 2023'!P18)*'Tariff Jul 2023'!Q18/100),(('Tariff Jul 2023'!R18)*'Tariff Jul 2023'!Q18/100))),0)</f>
        <v>0</v>
      </c>
      <c r="F26" s="189">
        <f>IF(AND('Tariff Jul 2023'!Q18&gt;0,'Tariff Jul 2023'!S18&gt;0),IF($F$5&lt;('Tariff Jul 2023'!R18+'Tariff Jul 2023'!P18),0,IF($F$5&lt;=('Tariff Jul 2023'!T18+'Tariff Jul 2023'!R18+'Tariff Jul 2023'!P18),(($F$5-('Tariff Jul 2023'!R18+'Tariff Jul 2023'!P18))*'Tariff Jul 2023'!S18/100),('Tariff Jul 2023'!T18*'Tariff Jul 2023'!S18/100))),0)</f>
        <v>0</v>
      </c>
      <c r="G26" s="188">
        <v>0</v>
      </c>
      <c r="H26" s="188">
        <v>0</v>
      </c>
      <c r="I26" s="189">
        <f>IF('Tariff Jul 2023'!T18&gt;0,IF(($F$5&lt;'Tariff Jul 2023'!T18),(0),($F$5-'Tariff Jul 2023'!T18)*'Tariff Jul 2023'!U18/100),IF(AND('Tariff Jul 2023'!R18&gt;0,'Tariff Jul 2023'!T18=""),IF(($F$5&lt;'Tariff Jul 2023'!R18),(0),($F$5-'Tariff Jul 2023'!R18)*'Tariff Jul 2023'!S18/100),IF(AND('Tariff Jul 2023'!P18&gt;0,'Tariff Jul 2023'!R18=""),IF(($F$5&lt;'Tariff Jul 2023'!P18),(0),($F$5-'Tariff Jul 2023'!P18)*'Tariff Jul 2023'!Q18/100),0)))</f>
        <v>0</v>
      </c>
      <c r="J26" s="188">
        <f t="shared" si="11"/>
        <v>382.2375199999999</v>
      </c>
      <c r="K26" s="283">
        <f t="shared" si="12"/>
        <v>1186.1282618181815</v>
      </c>
      <c r="L26" s="283">
        <f t="shared" si="13"/>
        <v>1528.9500799999996</v>
      </c>
      <c r="M26" s="191">
        <f t="shared" si="14"/>
        <v>1681.8450879999998</v>
      </c>
      <c r="N26" s="187">
        <f>'Tariff Jul 2023'!AZ18</f>
        <v>0</v>
      </c>
      <c r="O26" s="187">
        <f>'Tariff Jul 2023'!BA18</f>
        <v>0</v>
      </c>
      <c r="P26" s="187">
        <f>'Tariff Jul 2023'!BB18</f>
        <v>0</v>
      </c>
      <c r="Q26" s="187">
        <f>'Tariff Jul 2023'!BC18</f>
        <v>0</v>
      </c>
      <c r="R26" s="192">
        <f>($F$6*'Tariff Jul 2023'!AT18/100)*4</f>
        <v>143.58959999999999</v>
      </c>
      <c r="S26" s="193" t="str">
        <f t="shared" si="15"/>
        <v>No discount</v>
      </c>
      <c r="T26" s="193" t="str">
        <f t="shared" si="16"/>
        <v>Exclusive</v>
      </c>
      <c r="U26" s="304">
        <f t="shared" si="17"/>
        <v>1528.9500799999996</v>
      </c>
      <c r="V26" s="283">
        <f t="shared" si="18"/>
        <v>1528.9500799999996</v>
      </c>
      <c r="W26" s="283">
        <f t="shared" si="19"/>
        <v>1385.3604799999996</v>
      </c>
      <c r="X26" s="283">
        <f t="shared" si="20"/>
        <v>1385.3604799999996</v>
      </c>
      <c r="Y26" s="285">
        <f t="shared" si="21"/>
        <v>1523.8965279999998</v>
      </c>
      <c r="Z26" s="285">
        <f t="shared" si="22"/>
        <v>1523.8965279999998</v>
      </c>
      <c r="AA26" s="194">
        <f>'Tariff Jul 2023'!AT18</f>
        <v>5.5</v>
      </c>
      <c r="AB26" s="196">
        <f>'Tariff Jul 2023'!G18</f>
        <v>43480</v>
      </c>
      <c r="AC26" s="361"/>
      <c r="AD26" s="361"/>
      <c r="AE26" s="361"/>
      <c r="AF26" s="361"/>
      <c r="AG26" s="361"/>
      <c r="AH26" s="361"/>
      <c r="AI26" s="361"/>
      <c r="AJ26" s="361"/>
      <c r="AK26" s="361"/>
      <c r="AL26" s="361"/>
      <c r="AM26" s="361"/>
      <c r="AN26" s="361"/>
      <c r="AO26" s="361"/>
      <c r="AP26" s="361"/>
      <c r="AQ26" s="361"/>
      <c r="AR26" s="361"/>
      <c r="AS26" s="361"/>
      <c r="AT26" s="361"/>
    </row>
    <row r="27" spans="1:46" s="187" customFormat="1" x14ac:dyDescent="0.15">
      <c r="A27" s="361"/>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1"/>
      <c r="AD27" s="361"/>
      <c r="AE27" s="361"/>
      <c r="AF27" s="361"/>
      <c r="AG27" s="361"/>
      <c r="AH27" s="361"/>
      <c r="AI27" s="361"/>
      <c r="AJ27" s="361"/>
      <c r="AK27" s="361"/>
      <c r="AL27" s="361"/>
      <c r="AM27" s="361"/>
      <c r="AN27" s="361"/>
      <c r="AO27" s="361"/>
      <c r="AP27" s="361"/>
      <c r="AQ27" s="361"/>
      <c r="AR27" s="361"/>
      <c r="AS27" s="361"/>
      <c r="AT27" s="361"/>
    </row>
    <row r="28" spans="1:46" s="187" customFormat="1" ht="15" thickBot="1" x14ac:dyDescent="0.2">
      <c r="A28" s="361"/>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row>
    <row r="29" spans="1:46" s="187" customFormat="1" x14ac:dyDescent="0.15">
      <c r="A29" s="336" t="s">
        <v>154</v>
      </c>
      <c r="B29" s="337"/>
      <c r="C29" s="338"/>
      <c r="D29" s="338"/>
      <c r="E29" s="338"/>
      <c r="F29" s="338"/>
      <c r="G29" s="339"/>
      <c r="H29" s="339"/>
      <c r="I29" s="337"/>
      <c r="J29" s="337"/>
      <c r="K29" s="339"/>
      <c r="L29" s="337"/>
      <c r="M29" s="337"/>
      <c r="N29" s="337"/>
      <c r="O29" s="337"/>
      <c r="P29" s="337"/>
      <c r="Q29" s="337"/>
      <c r="R29" s="337"/>
      <c r="S29" s="337"/>
      <c r="T29" s="337"/>
      <c r="U29" s="337"/>
      <c r="V29" s="337"/>
      <c r="W29" s="337"/>
      <c r="X29" s="337"/>
      <c r="Y29" s="337"/>
      <c r="Z29" s="337"/>
      <c r="AA29" s="337"/>
      <c r="AB29" s="268"/>
      <c r="AC29" s="361"/>
      <c r="AD29" s="361"/>
      <c r="AE29" s="361"/>
      <c r="AF29" s="361"/>
      <c r="AG29" s="361"/>
      <c r="AH29" s="361"/>
      <c r="AI29" s="361"/>
      <c r="AJ29" s="361"/>
      <c r="AK29" s="361"/>
      <c r="AL29" s="361"/>
      <c r="AM29" s="361"/>
      <c r="AN29" s="361"/>
      <c r="AO29" s="361"/>
      <c r="AP29" s="361"/>
      <c r="AQ29" s="361"/>
      <c r="AR29" s="361"/>
      <c r="AS29" s="361"/>
      <c r="AT29" s="361"/>
    </row>
    <row r="30" spans="1:46" s="187" customFormat="1" ht="90" x14ac:dyDescent="0.15">
      <c r="A30" s="271" t="s">
        <v>231</v>
      </c>
      <c r="B30" s="272" t="s">
        <v>243</v>
      </c>
      <c r="C30" s="279" t="s">
        <v>244</v>
      </c>
      <c r="D30" s="279" t="s">
        <v>227</v>
      </c>
      <c r="E30" s="279" t="s">
        <v>357</v>
      </c>
      <c r="F30" s="279" t="s">
        <v>358</v>
      </c>
      <c r="G30" s="279" t="s">
        <v>329</v>
      </c>
      <c r="H30" s="279" t="s">
        <v>222</v>
      </c>
      <c r="I30" s="279" t="s">
        <v>223</v>
      </c>
      <c r="J30" s="273" t="s">
        <v>799</v>
      </c>
      <c r="K30" s="280" t="s">
        <v>246</v>
      </c>
      <c r="L30" s="280" t="s">
        <v>247</v>
      </c>
      <c r="M30" s="274" t="s">
        <v>636</v>
      </c>
      <c r="N30" s="275" t="s">
        <v>249</v>
      </c>
      <c r="O30" s="275" t="s">
        <v>250</v>
      </c>
      <c r="P30" s="275" t="s">
        <v>251</v>
      </c>
      <c r="Q30" s="275" t="s">
        <v>365</v>
      </c>
      <c r="R30" s="276" t="s">
        <v>373</v>
      </c>
      <c r="S30" s="281" t="s">
        <v>637</v>
      </c>
      <c r="T30" s="281" t="s">
        <v>638</v>
      </c>
      <c r="U30" s="282" t="s">
        <v>255</v>
      </c>
      <c r="V30" s="282" t="s">
        <v>224</v>
      </c>
      <c r="W30" s="282" t="s">
        <v>374</v>
      </c>
      <c r="X30" s="282" t="s">
        <v>375</v>
      </c>
      <c r="Y30" s="276" t="s">
        <v>376</v>
      </c>
      <c r="Z30" s="276" t="s">
        <v>436</v>
      </c>
      <c r="AA30" s="275" t="s">
        <v>155</v>
      </c>
      <c r="AB30" s="277" t="s">
        <v>221</v>
      </c>
      <c r="AC30" s="361"/>
      <c r="AD30" s="361"/>
      <c r="AE30" s="361"/>
      <c r="AF30" s="361"/>
      <c r="AG30" s="361"/>
      <c r="AH30" s="361"/>
      <c r="AI30" s="361"/>
      <c r="AJ30" s="361"/>
      <c r="AK30" s="361"/>
      <c r="AL30" s="361"/>
      <c r="AM30" s="361"/>
      <c r="AN30" s="361"/>
      <c r="AO30" s="361"/>
      <c r="AP30" s="361"/>
      <c r="AQ30" s="361"/>
      <c r="AR30" s="361"/>
      <c r="AS30" s="361"/>
      <c r="AT30" s="361"/>
    </row>
    <row r="31" spans="1:46" s="187" customFormat="1" x14ac:dyDescent="0.15">
      <c r="A31" s="186" t="str">
        <f>'Tariff Jul 2023'!K19</f>
        <v>AGL</v>
      </c>
      <c r="B31" s="187" t="str">
        <f>'Tariff Jul 2023'!L19</f>
        <v>Solar Savers</v>
      </c>
      <c r="C31" s="208">
        <f>IF('Tariff Jul 2023'!BP19=0,91*'Tariff Jul 2023'!M19/100,(91*'Tariff Jul 2023'!M19/100)+'Tariff Jul 2023'!BP19/4)</f>
        <v>101.00999999999998</v>
      </c>
      <c r="D31" s="208">
        <f>IF('Tariff Jul 2023'!O19="",$H$5*'Tariff Jul 2023'!N19/100,IF($H$5&gt;='Tariff Jul 2023'!P19,('Tariff Jul 2023'!P19*'Tariff Jul 2023'!N19/100),($H$5*'Tariff Jul 2023'!N19/100)))</f>
        <v>303.70596654545449</v>
      </c>
      <c r="E31" s="208">
        <f>IF(AND('Tariff Jul 2023'!P19&gt;0,'Tariff Jul 2023'!R19&gt;0),IF($H$5&lt;'Tariff Jul 2023'!P19,0,IF($H$5&lt;=('Tariff Jul 2023'!R19+'Tariff Jul 2023'!P19),(($H$5-'Tariff Jul 2023'!P19)*'Tariff Jul 2023'!Q19/100),(('Tariff Jul 2023'!R19)*'Tariff Jul 2023'!Q19/100))),0)</f>
        <v>0</v>
      </c>
      <c r="F31" s="208">
        <f>IF(AND('Tariff Jul 2023'!Q19&gt;0,'Tariff Jul 2023'!S19&gt;0),IF($H$5&lt;('Tariff Jul 2023'!R19+'Tariff Jul 2023'!P19),0,IF($H$5&lt;=('Tariff Jul 2023'!T19+'Tariff Jul 2023'!R19+'Tariff Jul 2023'!P19),(($H$5-('Tariff Jul 2023'!R19+'Tariff Jul 2023'!P19))*'Tariff Jul 2023'!S19/100),('Tariff Jul 2023'!T19*'Tariff Jul 2023'!S19/100))),0)</f>
        <v>0</v>
      </c>
      <c r="G31" s="208">
        <f>IF('Tariff Jul 2023'!T19&gt;0,IF(($H$5&lt;'Tariff Jul 2023'!T19),(0),($H$5-'Tariff Jul 2023'!T19)*'Tariff Jul 2023'!U19/100),IF(AND('Tariff Jul 2023'!R19&gt;0,'Tariff Jul 2023'!T19=""),IF(($H$5&lt;'Tariff Jul 2023'!R19),(0),($H$5-'Tariff Jul 2023'!R19)*'Tariff Jul 2023'!S19/100),IF(AND('Tariff Jul 2023'!P19&gt;0,'Tariff Jul 2023'!R19=""),IF(($H$5&lt;'Tariff Jul 2023'!P19),(0),($H$5-'Tariff Jul 2023'!P19)*'Tariff Jul 2023'!Q19/100),0)))</f>
        <v>0</v>
      </c>
      <c r="H31" s="208">
        <f>($I$5)*'Tariff Jul 2023'!AE19/100</f>
        <v>37.224755999999999</v>
      </c>
      <c r="I31" s="208">
        <v>0</v>
      </c>
      <c r="J31" s="208">
        <f>SUM(C31:I31)</f>
        <v>441.94072254545449</v>
      </c>
      <c r="K31" s="283">
        <f>(J31-C31)*4</f>
        <v>1363.722890181818</v>
      </c>
      <c r="L31" s="283">
        <f>J31*4</f>
        <v>1767.762890181818</v>
      </c>
      <c r="M31" s="191">
        <f>L31*1.1</f>
        <v>1944.5391791999998</v>
      </c>
      <c r="N31" s="187">
        <f>'Tariff Jul 2023'!AZ19</f>
        <v>0</v>
      </c>
      <c r="O31" s="187">
        <f>'Tariff Jul 2023'!BA19</f>
        <v>0</v>
      </c>
      <c r="P31" s="187">
        <f>'Tariff Jul 2023'!BB19</f>
        <v>0</v>
      </c>
      <c r="Q31" s="187">
        <f>'Tariff Jul 2023'!BC19</f>
        <v>0</v>
      </c>
      <c r="R31" s="192">
        <f>($F$6*'Tariff Jul 2023'!AT19/100)*4</f>
        <v>261.07199999999995</v>
      </c>
      <c r="S31" s="193" t="str">
        <f t="shared" ref="S31:S43" si="23">IF(SUM(N31:Q31)=0,"No discount",IF(N31&gt;0,"Guaranteed off bill",IF(O31&gt;0,"Guaranteed off usage",IF(P31&gt;0,"Pay-on-time off bill","Pay-on-time off usage"))))</f>
        <v>No discount</v>
      </c>
      <c r="T31" s="193" t="str">
        <f t="shared" ref="T31:T43" si="24">IF(OR(A31="Origin Energy",A31="Red Energy",A31="Powershop"),"Inclusive","Exclusive")</f>
        <v>Exclusive</v>
      </c>
      <c r="U31" s="304">
        <f t="shared" ref="U31:U43" si="25">IF(AND(S31="Guaranteed off bill",T31="Inclusive"),((L31*1.1)-((L31*1.1)*N31/100))/1.1,IF(AND(S31="Guaranteed off usage",T31="Inclusive"),((L31*1.1)-((K31*1.1)*O31/100))/1.1,IF(AND(S31="Guaranteed off bill",T31="Exclusive"),L31-(L31*N31/100),IF(AND(S31="Guaranteed off usage",T31="Exclusive"),L31-(K31*O31/100),IF(T31="Inclusive",((L31*1.1))/1.1,L31)))))</f>
        <v>1767.762890181818</v>
      </c>
      <c r="V31" s="283">
        <f t="shared" ref="V31:V43" si="26">IF(AND(S31="Pay-on-time off bill",T31="Inclusive"),((U31*1.1)-((U31*1.1)*P31/100))/1.1,IF(AND(S31="Pay-on-time off usage",T31="Inclusive"),((U31*1.1)-((K31*1.1)*Q31/100))/1.1,IF(AND(S31="Pay-on-time off bill",T31="Exclusive"),U31-(U31*P31/100),IF(AND(S31="Pay-on-time off usage",T31="Exclusive"),U31-(K31*Q31/100),IF(T31="Inclusive",((U31*1.1))/1.1,U31)))))</f>
        <v>1767.762890181818</v>
      </c>
      <c r="W31" s="283">
        <f t="shared" ref="W31:W43" si="27">U31-R31</f>
        <v>1506.6908901818181</v>
      </c>
      <c r="X31" s="283">
        <f t="shared" ref="X31:X43" si="28">V31-R31</f>
        <v>1506.6908901818181</v>
      </c>
      <c r="Y31" s="285">
        <f t="shared" ref="Y31:Z43" si="29">W31*1.1</f>
        <v>1657.3599792</v>
      </c>
      <c r="Z31" s="285">
        <f t="shared" si="29"/>
        <v>1657.3599792</v>
      </c>
      <c r="AA31" s="194">
        <f>'Tariff Jul 2023'!AT14</f>
        <v>5</v>
      </c>
      <c r="AB31" s="196">
        <f>'Tariff Jul 2023'!G19</f>
        <v>43648</v>
      </c>
      <c r="AC31" s="361"/>
      <c r="AD31" s="361"/>
      <c r="AE31" s="361"/>
      <c r="AF31" s="361"/>
      <c r="AG31" s="361"/>
      <c r="AH31" s="361"/>
      <c r="AI31" s="361"/>
      <c r="AJ31" s="361"/>
      <c r="AK31" s="361"/>
      <c r="AL31" s="361"/>
      <c r="AM31" s="361"/>
      <c r="AN31" s="361"/>
      <c r="AO31" s="361"/>
      <c r="AP31" s="361"/>
      <c r="AQ31" s="361"/>
      <c r="AR31" s="361"/>
      <c r="AS31" s="361"/>
      <c r="AT31" s="361"/>
    </row>
    <row r="32" spans="1:46" s="187" customFormat="1" x14ac:dyDescent="0.15">
      <c r="A32" s="186" t="str">
        <f>'Tariff Jul 2023'!K20</f>
        <v>Alinta Energy</v>
      </c>
      <c r="B32" s="187" t="str">
        <f>'Tariff Jul 2023'!L20</f>
        <v>Home Deal</v>
      </c>
      <c r="C32" s="208">
        <f>IF('Tariff Jul 2023'!BP20=0,91*'Tariff Jul 2023'!M20/100,(91*'Tariff Jul 2023'!M20/100)+'Tariff Jul 2023'!BP20/4)</f>
        <v>84.208090909090899</v>
      </c>
      <c r="D32" s="208">
        <f>IF('Tariff Jul 2023'!O20="",$H$5*'Tariff Jul 2023'!N20/100,IF($H$5&gt;='Tariff Jul 2023'!P20,('Tariff Jul 2023'!P20*'Tariff Jul 2023'!N20/100),($H$5*'Tariff Jul 2023'!N20/100)))</f>
        <v>308.51020799999998</v>
      </c>
      <c r="E32" s="208">
        <f>IF(AND('Tariff Jul 2023'!P20&gt;0,'Tariff Jul 2023'!R20&gt;0),IF($H$5&lt;'Tariff Jul 2023'!P20,0,IF($H$5&lt;=('Tariff Jul 2023'!R20+'Tariff Jul 2023'!P20),(($H$5-'Tariff Jul 2023'!P20)*'Tariff Jul 2023'!Q20/100),(('Tariff Jul 2023'!R20)*'Tariff Jul 2023'!Q20/100))),0)</f>
        <v>0</v>
      </c>
      <c r="F32" s="208">
        <f>IF(AND('Tariff Jul 2023'!Q20&gt;0,'Tariff Jul 2023'!S20&gt;0),IF($H$5&lt;('Tariff Jul 2023'!R20+'Tariff Jul 2023'!P20),0,IF($H$5&lt;=('Tariff Jul 2023'!T20+'Tariff Jul 2023'!R20+'Tariff Jul 2023'!P20),(($H$5-('Tariff Jul 2023'!R20+'Tariff Jul 2023'!P20))*'Tariff Jul 2023'!S20/100),('Tariff Jul 2023'!T20*'Tariff Jul 2023'!S20/100))),0)</f>
        <v>0</v>
      </c>
      <c r="G32" s="208">
        <f>IF('Tariff Jul 2023'!T20&gt;0,IF(($H$5&lt;'Tariff Jul 2023'!T20),(0),($H$5-'Tariff Jul 2023'!T20)*'Tariff Jul 2023'!U20/100),IF(AND('Tariff Jul 2023'!R20&gt;0,'Tariff Jul 2023'!T20=""),IF(($H$5&lt;'Tariff Jul 2023'!R20),(0),($H$5-'Tariff Jul 2023'!R20)*'Tariff Jul 2023'!S20/100),IF(AND('Tariff Jul 2023'!P20&gt;0,'Tariff Jul 2023'!R20=""),IF(($H$5&lt;'Tariff Jul 2023'!P20),(0),($H$5-'Tariff Jul 2023'!P20)*'Tariff Jul 2023'!Q20/100),0)))</f>
        <v>0</v>
      </c>
      <c r="H32" s="208">
        <f>($I$5)*'Tariff Jul 2023'!AE20/100</f>
        <v>37.103026909090907</v>
      </c>
      <c r="I32" s="208">
        <f>IF((I5&lt;'Tariff Jul 2023'!AF20),(0),(I5-'Tariff Jul 2023'!AF20)*'Tariff Jul 2023'!AG20/100)</f>
        <v>0</v>
      </c>
      <c r="J32" s="208">
        <f t="shared" ref="J32:J43" si="30">SUM(C32:I32)</f>
        <v>429.82132581818178</v>
      </c>
      <c r="K32" s="283">
        <f>(J32-C32)*4</f>
        <v>1382.4529396363635</v>
      </c>
      <c r="L32" s="283">
        <f t="shared" ref="L32:L43" si="31">J32*4</f>
        <v>1719.2853032727271</v>
      </c>
      <c r="M32" s="191">
        <f t="shared" ref="M32:M43" si="32">L32*1.1</f>
        <v>1891.2138336</v>
      </c>
      <c r="N32" s="187">
        <f>'Tariff Jul 2023'!AZ20</f>
        <v>0</v>
      </c>
      <c r="O32" s="187">
        <f>'Tariff Jul 2023'!BA20</f>
        <v>0</v>
      </c>
      <c r="P32" s="187">
        <f>'Tariff Jul 2023'!BB20</f>
        <v>0</v>
      </c>
      <c r="Q32" s="187">
        <f>'Tariff Jul 2023'!BC20</f>
        <v>0</v>
      </c>
      <c r="R32" s="192">
        <f>($F$6*'Tariff Jul 2023'!AT20/100)*4</f>
        <v>208.85759999999999</v>
      </c>
      <c r="S32" s="193" t="str">
        <f t="shared" si="23"/>
        <v>No discount</v>
      </c>
      <c r="T32" s="193" t="str">
        <f t="shared" si="24"/>
        <v>Exclusive</v>
      </c>
      <c r="U32" s="304">
        <f t="shared" si="25"/>
        <v>1719.2853032727271</v>
      </c>
      <c r="V32" s="283">
        <f t="shared" si="26"/>
        <v>1719.2853032727271</v>
      </c>
      <c r="W32" s="283">
        <f t="shared" si="27"/>
        <v>1510.4277032727271</v>
      </c>
      <c r="X32" s="283">
        <f t="shared" si="28"/>
        <v>1510.4277032727271</v>
      </c>
      <c r="Y32" s="285">
        <f t="shared" si="29"/>
        <v>1661.4704735999999</v>
      </c>
      <c r="Z32" s="285">
        <f t="shared" si="29"/>
        <v>1661.4704735999999</v>
      </c>
      <c r="AA32" s="194">
        <f>'Tariff Jul 2023'!AT19</f>
        <v>10</v>
      </c>
      <c r="AB32" s="196">
        <f>'Tariff Jul 2023'!G20</f>
        <v>43646</v>
      </c>
      <c r="AC32" s="361"/>
      <c r="AD32" s="361"/>
      <c r="AE32" s="361"/>
      <c r="AF32" s="361"/>
      <c r="AG32" s="361"/>
      <c r="AH32" s="361"/>
      <c r="AI32" s="361"/>
      <c r="AJ32" s="361"/>
      <c r="AK32" s="361"/>
      <c r="AL32" s="361"/>
      <c r="AM32" s="361"/>
      <c r="AN32" s="361"/>
      <c r="AO32" s="361"/>
      <c r="AP32" s="361"/>
      <c r="AQ32" s="361"/>
      <c r="AR32" s="361"/>
      <c r="AS32" s="361"/>
      <c r="AT32" s="361"/>
    </row>
    <row r="33" spans="1:46" s="187" customFormat="1" x14ac:dyDescent="0.15">
      <c r="A33" s="186" t="str">
        <f>'Tariff Jul 2023'!K21</f>
        <v>Diamond Energy</v>
      </c>
      <c r="B33" s="187" t="str">
        <f>'Tariff Jul 2023'!L21</f>
        <v>Renewable Saver</v>
      </c>
      <c r="C33" s="208">
        <f>IF('Tariff Jul 2023'!BP21=0,91*'Tariff Jul 2023'!M21/100,(91*'Tariff Jul 2023'!M21/100)+'Tariff Jul 2023'!BP21/4)</f>
        <v>72.8</v>
      </c>
      <c r="D33" s="208">
        <f>IF('Tariff Jul 2023'!O21="",$H$5*'Tariff Jul 2023'!N21/100,IF($H$5&gt;='Tariff Jul 2023'!P21,('Tariff Jul 2023'!P21*'Tariff Jul 2023'!N21/100),($H$5*'Tariff Jul 2023'!N21/100)))</f>
        <v>128.99999999999997</v>
      </c>
      <c r="E33" s="208">
        <f>IF(AND('Tariff Jul 2023'!P21&gt;0,'Tariff Jul 2023'!R21&gt;0),IF($H$5&lt;'Tariff Jul 2023'!P21,0,IF($H$5&lt;=('Tariff Jul 2023'!R21+'Tariff Jul 2023'!P21),(($H$5-'Tariff Jul 2023'!P21)*'Tariff Jul 2023'!Q21/100),(('Tariff Jul 2023'!R21)*'Tariff Jul 2023'!Q21/100))),0)</f>
        <v>110.0493556363636</v>
      </c>
      <c r="F33" s="208">
        <f>IF(AND('Tariff Jul 2023'!Q21&gt;0,'Tariff Jul 2023'!S21&gt;0),IF($H$5&lt;('Tariff Jul 2023'!R21+'Tariff Jul 2023'!P21),0,IF($H$5&lt;=('Tariff Jul 2023'!T21+'Tariff Jul 2023'!R21+'Tariff Jul 2023'!P21),(($H$5-('Tariff Jul 2023'!R21+'Tariff Jul 2023'!P21))*'Tariff Jul 2023'!S21/100),('Tariff Jul 2023'!T21*'Tariff Jul 2023'!S21/100))),0)</f>
        <v>0</v>
      </c>
      <c r="G33" s="208">
        <f>IF('Tariff Jul 2023'!T21&gt;0,IF(($H$5&lt;'Tariff Jul 2023'!T21),(0),($H$5-'Tariff Jul 2023'!T21)*'Tariff Jul 2023'!U21/100),IF(AND('Tariff Jul 2023'!R21&gt;0,'Tariff Jul 2023'!T21=""),IF(($H$5&lt;'Tariff Jul 2023'!R21),(0),($H$5-'Tariff Jul 2023'!R21)*'Tariff Jul 2023'!S21/100),IF(AND('Tariff Jul 2023'!P21&gt;0,'Tariff Jul 2023'!R21=""),IF(($H$5&lt;'Tariff Jul 2023'!P21),(0),($H$5-'Tariff Jul 2023'!P21)*'Tariff Jul 2023'!Q21/100),0)))</f>
        <v>0</v>
      </c>
      <c r="H33" s="208">
        <f>($I$5)*'Tariff Jul 2023'!AE21/100</f>
        <v>36.778415999999993</v>
      </c>
      <c r="I33" s="208">
        <v>0</v>
      </c>
      <c r="J33" s="208">
        <f t="shared" si="30"/>
        <v>348.62777163636355</v>
      </c>
      <c r="K33" s="283">
        <f t="shared" ref="K33:K43" si="33">(J33-C33)*4</f>
        <v>1103.3110865454541</v>
      </c>
      <c r="L33" s="283">
        <f t="shared" si="31"/>
        <v>1394.5110865454542</v>
      </c>
      <c r="M33" s="191">
        <f t="shared" si="32"/>
        <v>1533.9621951999998</v>
      </c>
      <c r="N33" s="187">
        <f>'Tariff Jul 2023'!AZ21</f>
        <v>0</v>
      </c>
      <c r="O33" s="187">
        <f>'Tariff Jul 2023'!BA21</f>
        <v>0</v>
      </c>
      <c r="P33" s="187">
        <f>'Tariff Jul 2023'!BB21</f>
        <v>2</v>
      </c>
      <c r="Q33" s="187">
        <f>'Tariff Jul 2023'!BC21</f>
        <v>0</v>
      </c>
      <c r="R33" s="192">
        <f>($F$6*'Tariff Jul 2023'!AT21/100)*4</f>
        <v>135.75743999999997</v>
      </c>
      <c r="S33" s="193" t="str">
        <f t="shared" si="23"/>
        <v>Pay-on-time off bill</v>
      </c>
      <c r="T33" s="193" t="str">
        <f t="shared" si="24"/>
        <v>Exclusive</v>
      </c>
      <c r="U33" s="304">
        <f t="shared" si="25"/>
        <v>1394.5110865454542</v>
      </c>
      <c r="V33" s="283">
        <f t="shared" si="26"/>
        <v>1366.620864814545</v>
      </c>
      <c r="W33" s="283">
        <f t="shared" si="27"/>
        <v>1258.7536465454541</v>
      </c>
      <c r="X33" s="283">
        <f t="shared" si="28"/>
        <v>1230.8634248145449</v>
      </c>
      <c r="Y33" s="285">
        <f t="shared" si="29"/>
        <v>1384.6290111999997</v>
      </c>
      <c r="Z33" s="285">
        <f t="shared" si="29"/>
        <v>1353.9497672959994</v>
      </c>
      <c r="AA33" s="194">
        <f>'Tariff Jul 2023'!AT20</f>
        <v>8</v>
      </c>
      <c r="AB33" s="196">
        <f>'Tariff Jul 2023'!G21</f>
        <v>43646</v>
      </c>
      <c r="AC33" s="361"/>
      <c r="AD33" s="361"/>
      <c r="AE33" s="361"/>
      <c r="AF33" s="361"/>
      <c r="AG33" s="361"/>
      <c r="AH33" s="361"/>
      <c r="AI33" s="361"/>
      <c r="AJ33" s="361"/>
      <c r="AK33" s="361"/>
      <c r="AL33" s="361"/>
      <c r="AM33" s="361"/>
      <c r="AN33" s="361"/>
      <c r="AO33" s="361"/>
      <c r="AP33" s="361"/>
      <c r="AQ33" s="361"/>
      <c r="AR33" s="361"/>
      <c r="AS33" s="361"/>
      <c r="AT33" s="361"/>
    </row>
    <row r="34" spans="1:46" s="187" customFormat="1" x14ac:dyDescent="0.15">
      <c r="A34" s="186" t="str">
        <f>'Tariff Jul 2023'!K22</f>
        <v>EnergyAustralia</v>
      </c>
      <c r="B34" s="187" t="str">
        <f>'Tariff Jul 2023'!L22</f>
        <v>Solar Max</v>
      </c>
      <c r="C34" s="208">
        <f>IF('Tariff Jul 2023'!BP22=0,91*'Tariff Jul 2023'!M22/100,(91*'Tariff Jul 2023'!M22/100)+'Tariff Jul 2023'!BP22/4)</f>
        <v>86.449999999999989</v>
      </c>
      <c r="D34" s="208">
        <f>IF('Tariff Jul 2023'!O22="",$H$5*'Tariff Jul 2023'!N22/100,IF($H$5&gt;='Tariff Jul 2023'!P22,('Tariff Jul 2023'!P22*'Tariff Jul 2023'!N22/100),($H$5*'Tariff Jul 2023'!N22/100)))</f>
        <v>306.95207563636353</v>
      </c>
      <c r="E34" s="208">
        <f>IF(AND('Tariff Jul 2023'!P22&gt;0,'Tariff Jul 2023'!R22&gt;0),IF($H$5&lt;'Tariff Jul 2023'!P22,0,IF($H$5&lt;=('Tariff Jul 2023'!R22+'Tariff Jul 2023'!P22),(($H$5-'Tariff Jul 2023'!P22)*'Tariff Jul 2023'!Q22/100),(('Tariff Jul 2023'!R22)*'Tariff Jul 2023'!Q22/100))),0)</f>
        <v>0</v>
      </c>
      <c r="F34" s="208">
        <f>IF(AND('Tariff Jul 2023'!Q22&gt;0,'Tariff Jul 2023'!S22&gt;0),IF($H$5&lt;('Tariff Jul 2023'!R22+'Tariff Jul 2023'!P22),0,IF($H$5&lt;=('Tariff Jul 2023'!T22+'Tariff Jul 2023'!R22+'Tariff Jul 2023'!P22),(($H$5-('Tariff Jul 2023'!R22+'Tariff Jul 2023'!P22))*'Tariff Jul 2023'!S22/100),('Tariff Jul 2023'!T22*'Tariff Jul 2023'!S22/100))),0)</f>
        <v>0</v>
      </c>
      <c r="G34" s="208">
        <f>IF('Tariff Jul 2023'!T22&gt;0,IF(($H$5&lt;'Tariff Jul 2023'!T22),(0),($H$5-'Tariff Jul 2023'!T22)*'Tariff Jul 2023'!U22/100),IF(AND('Tariff Jul 2023'!R22&gt;0,'Tariff Jul 2023'!T22=""),IF(($H$5&lt;'Tariff Jul 2023'!R22),(0),($H$5-'Tariff Jul 2023'!R22)*'Tariff Jul 2023'!S22/100),IF(AND('Tariff Jul 2023'!P22&gt;0,'Tariff Jul 2023'!R22=""),IF(($H$5&lt;'Tariff Jul 2023'!P22),(0),($H$5-'Tariff Jul 2023'!P22)*'Tariff Jul 2023'!Q22/100),0)))</f>
        <v>0</v>
      </c>
      <c r="H34" s="208">
        <f>($I$5)*'Tariff Jul 2023'!AE22/100</f>
        <v>37.135487999999995</v>
      </c>
      <c r="I34" s="208">
        <f>IF((I7&lt;'Tariff Jul 2023'!AF22),(0),(I7-'Tariff Jul 2023'!AF22)*'Tariff Jul 2023'!AG22/100)</f>
        <v>0</v>
      </c>
      <c r="J34" s="208">
        <f t="shared" si="30"/>
        <v>430.53756363636353</v>
      </c>
      <c r="K34" s="283">
        <f t="shared" si="33"/>
        <v>1376.3502545454542</v>
      </c>
      <c r="L34" s="283">
        <f t="shared" si="31"/>
        <v>1722.1502545454541</v>
      </c>
      <c r="M34" s="191">
        <f t="shared" si="32"/>
        <v>1894.3652799999998</v>
      </c>
      <c r="N34" s="187">
        <f>'Tariff Jul 2023'!AZ22</f>
        <v>0</v>
      </c>
      <c r="O34" s="187">
        <f>'Tariff Jul 2023'!BA22</f>
        <v>0</v>
      </c>
      <c r="P34" s="187">
        <f>'Tariff Jul 2023'!BB22</f>
        <v>0</v>
      </c>
      <c r="Q34" s="187">
        <f>'Tariff Jul 2023'!BC22</f>
        <v>0</v>
      </c>
      <c r="R34" s="192">
        <f>($F$6*'Tariff Jul 2023'!AT22/100)*4</f>
        <v>391.60799999999995</v>
      </c>
      <c r="S34" s="193" t="str">
        <f t="shared" si="23"/>
        <v>No discount</v>
      </c>
      <c r="T34" s="193" t="str">
        <f t="shared" si="24"/>
        <v>Exclusive</v>
      </c>
      <c r="U34" s="304">
        <f t="shared" si="25"/>
        <v>1722.1502545454541</v>
      </c>
      <c r="V34" s="283">
        <f t="shared" si="26"/>
        <v>1722.1502545454541</v>
      </c>
      <c r="W34" s="283">
        <f t="shared" si="27"/>
        <v>1330.5422545454542</v>
      </c>
      <c r="X34" s="283">
        <f t="shared" si="28"/>
        <v>1330.5422545454542</v>
      </c>
      <c r="Y34" s="285">
        <f t="shared" si="29"/>
        <v>1463.5964799999997</v>
      </c>
      <c r="Z34" s="285">
        <f t="shared" si="29"/>
        <v>1463.5964799999997</v>
      </c>
      <c r="AA34" s="194">
        <f>'Tariff Jul 2023'!AT21</f>
        <v>5.2</v>
      </c>
      <c r="AB34" s="196">
        <f>'Tariff Jul 2023'!G22</f>
        <v>43646</v>
      </c>
      <c r="AC34" s="361"/>
      <c r="AD34" s="361"/>
      <c r="AE34" s="361"/>
      <c r="AF34" s="361"/>
      <c r="AG34" s="361"/>
      <c r="AH34" s="361"/>
      <c r="AI34" s="361"/>
      <c r="AJ34" s="361"/>
      <c r="AK34" s="361"/>
      <c r="AL34" s="361"/>
      <c r="AM34" s="361"/>
      <c r="AN34" s="361"/>
      <c r="AO34" s="361"/>
      <c r="AP34" s="361"/>
      <c r="AQ34" s="361"/>
      <c r="AR34" s="361"/>
      <c r="AS34" s="361"/>
      <c r="AT34" s="361"/>
    </row>
    <row r="35" spans="1:46" s="187" customFormat="1" x14ac:dyDescent="0.15">
      <c r="A35" s="186" t="str">
        <f>'Tariff Jul 2023'!K23</f>
        <v>Lumo Energy</v>
      </c>
      <c r="B35" s="187" t="str">
        <f>'Tariff Jul 2023'!L23</f>
        <v>Plus</v>
      </c>
      <c r="C35" s="208">
        <f>IF('Tariff Jul 2023'!BP23=0,91*'Tariff Jul 2023'!M23/100,(91*'Tariff Jul 2023'!M23/100)+'Tariff Jul 2023'!BP23/4)</f>
        <v>76.580636363636344</v>
      </c>
      <c r="D35" s="208">
        <f>IF('Tariff Jul 2023'!O23="",$H$5*'Tariff Jul 2023'!N23/100,IF($H$5&gt;='Tariff Jul 2023'!P23,('Tariff Jul 2023'!P23*'Tariff Jul 2023'!N23/100),($H$5*'Tariff Jul 2023'!N23/100)))</f>
        <v>235.53767563636356</v>
      </c>
      <c r="E35" s="208">
        <f>IF(AND('Tariff Jul 2023'!P23&gt;0,'Tariff Jul 2023'!R23&gt;0),IF($H$5&lt;'Tariff Jul 2023'!P23,0,IF($H$5&lt;=('Tariff Jul 2023'!R23+'Tariff Jul 2023'!P23),(($H$5-'Tariff Jul 2023'!P23)*'Tariff Jul 2023'!Q23/100),(('Tariff Jul 2023'!R23)*'Tariff Jul 2023'!Q23/100))),0)</f>
        <v>0</v>
      </c>
      <c r="F35" s="208">
        <f>IF(AND('Tariff Jul 2023'!Q23&gt;0,'Tariff Jul 2023'!S23&gt;0),IF($H$5&lt;('Tariff Jul 2023'!R23+'Tariff Jul 2023'!P23),0,IF($H$5&lt;=('Tariff Jul 2023'!T23+'Tariff Jul 2023'!R23+'Tariff Jul 2023'!P23),(($H$5-('Tariff Jul 2023'!R23+'Tariff Jul 2023'!P23))*'Tariff Jul 2023'!S23/100),('Tariff Jul 2023'!T23*'Tariff Jul 2023'!S23/100))),0)</f>
        <v>0</v>
      </c>
      <c r="G35" s="208">
        <f>IF('Tariff Jul 2023'!T23&gt;0,IF(($H$5&lt;'Tariff Jul 2023'!T23),(0),($H$5-'Tariff Jul 2023'!T23)*'Tariff Jul 2023'!U23/100),IF(AND('Tariff Jul 2023'!R23&gt;0,'Tariff Jul 2023'!T23=""),IF(($H$5&lt;'Tariff Jul 2023'!R23),(0),($H$5-'Tariff Jul 2023'!R23)*'Tariff Jul 2023'!S23/100),IF(AND('Tariff Jul 2023'!P23&gt;0,'Tariff Jul 2023'!R23=""),IF(($H$5&lt;'Tariff Jul 2023'!P23),(0),($H$5-'Tariff Jul 2023'!P23)*'Tariff Jul 2023'!Q23/100),0)))</f>
        <v>0</v>
      </c>
      <c r="H35" s="208">
        <f>($I$5)*'Tariff Jul 2023'!AE23/100</f>
        <v>32.136479999999999</v>
      </c>
      <c r="I35" s="208">
        <v>0</v>
      </c>
      <c r="J35" s="208">
        <f t="shared" si="30"/>
        <v>344.2547919999999</v>
      </c>
      <c r="K35" s="283">
        <f t="shared" si="33"/>
        <v>1070.6966225454541</v>
      </c>
      <c r="L35" s="283">
        <f t="shared" si="31"/>
        <v>1377.0191679999996</v>
      </c>
      <c r="M35" s="191">
        <f t="shared" si="32"/>
        <v>1514.7210847999997</v>
      </c>
      <c r="N35" s="187">
        <f>'Tariff Jul 2023'!AZ23</f>
        <v>0</v>
      </c>
      <c r="O35" s="187">
        <f>'Tariff Jul 2023'!BA23</f>
        <v>0</v>
      </c>
      <c r="P35" s="187">
        <f>'Tariff Jul 2023'!BB23</f>
        <v>0</v>
      </c>
      <c r="Q35" s="187">
        <f>'Tariff Jul 2023'!BC23</f>
        <v>0</v>
      </c>
      <c r="R35" s="192">
        <f>($F$6*'Tariff Jul 2023'!AT23/100)*4</f>
        <v>78.321600000000004</v>
      </c>
      <c r="S35" s="193" t="str">
        <f t="shared" si="23"/>
        <v>No discount</v>
      </c>
      <c r="T35" s="193" t="str">
        <f t="shared" si="24"/>
        <v>Exclusive</v>
      </c>
      <c r="U35" s="304">
        <f t="shared" si="25"/>
        <v>1377.0191679999996</v>
      </c>
      <c r="V35" s="283">
        <f t="shared" si="26"/>
        <v>1377.0191679999996</v>
      </c>
      <c r="W35" s="283">
        <f t="shared" si="27"/>
        <v>1298.6975679999996</v>
      </c>
      <c r="X35" s="283">
        <f t="shared" si="28"/>
        <v>1298.6975679999996</v>
      </c>
      <c r="Y35" s="285">
        <f t="shared" si="29"/>
        <v>1428.5673247999996</v>
      </c>
      <c r="Z35" s="285">
        <f t="shared" si="29"/>
        <v>1428.5673247999996</v>
      </c>
      <c r="AA35" s="194">
        <f>'Tariff Jul 2023'!AT22</f>
        <v>15</v>
      </c>
      <c r="AB35" s="196">
        <f>'Tariff Jul 2023'!G23</f>
        <v>43646</v>
      </c>
      <c r="AC35" s="361"/>
      <c r="AD35" s="361"/>
      <c r="AE35" s="361"/>
      <c r="AF35" s="361"/>
      <c r="AG35" s="361"/>
      <c r="AH35" s="361"/>
      <c r="AI35" s="361"/>
      <c r="AJ35" s="361"/>
      <c r="AK35" s="361"/>
      <c r="AL35" s="361"/>
      <c r="AM35" s="361"/>
      <c r="AN35" s="361"/>
      <c r="AO35" s="361"/>
      <c r="AP35" s="361"/>
      <c r="AQ35" s="361"/>
      <c r="AR35" s="361"/>
      <c r="AS35" s="361"/>
      <c r="AT35" s="361"/>
    </row>
    <row r="36" spans="1:46" s="187" customFormat="1" x14ac:dyDescent="0.15">
      <c r="A36" s="186" t="str">
        <f>'Tariff Jul 2023'!K24</f>
        <v>Origin Energy</v>
      </c>
      <c r="B36" s="187" t="str">
        <f>'Tariff Jul 2023'!L24</f>
        <v>Solar Boost</v>
      </c>
      <c r="C36" s="208">
        <f>IF('Tariff Jul 2023'!BP24=0,91*'Tariff Jul 2023'!M24/100,(91*'Tariff Jul 2023'!M24/100)+'Tariff Jul 2023'!BP24/4)</f>
        <v>89.899727272727262</v>
      </c>
      <c r="D36" s="208">
        <f>IF('Tariff Jul 2023'!O24="",$H$5*'Tariff Jul 2023'!N24/100,IF($H$5&gt;='Tariff Jul 2023'!P24,('Tariff Jul 2023'!P24*'Tariff Jul 2023'!N24/100),($H$5*'Tariff Jul 2023'!N24/100)))</f>
        <v>304.42011054545446</v>
      </c>
      <c r="E36" s="208">
        <f>IF(AND('Tariff Jul 2023'!P24&gt;0,'Tariff Jul 2023'!R24&gt;0),IF($H$5&lt;'Tariff Jul 2023'!P24,0,IF($H$5&lt;=('Tariff Jul 2023'!R24+'Tariff Jul 2023'!P24),(($H$5-'Tariff Jul 2023'!P24)*'Tariff Jul 2023'!Q24/100),(('Tariff Jul 2023'!R24)*'Tariff Jul 2023'!Q24/100))),0)</f>
        <v>0</v>
      </c>
      <c r="F36" s="208">
        <f>IF(AND('Tariff Jul 2023'!Q24&gt;0,'Tariff Jul 2023'!S24&gt;0),IF($H$5&lt;('Tariff Jul 2023'!R24+'Tariff Jul 2023'!P24),0,IF($H$5&lt;=('Tariff Jul 2023'!T24+'Tariff Jul 2023'!R24+'Tariff Jul 2023'!P24),(($H$5-('Tariff Jul 2023'!R24+'Tariff Jul 2023'!P24))*'Tariff Jul 2023'!S24/100),('Tariff Jul 2023'!T24*'Tariff Jul 2023'!S24/100))),0)</f>
        <v>0</v>
      </c>
      <c r="G36" s="208">
        <f>IF('Tariff Jul 2023'!T24&gt;0,IF(($H$5&lt;'Tariff Jul 2023'!T24),(0),($H$5-'Tariff Jul 2023'!T24)*'Tariff Jul 2023'!U24/100),IF(AND('Tariff Jul 2023'!R24&gt;0,'Tariff Jul 2023'!T24=""),IF(($H$5&lt;'Tariff Jul 2023'!R24),(0),($H$5-'Tariff Jul 2023'!R24)*'Tariff Jul 2023'!S24/100),IF(AND('Tariff Jul 2023'!P24&gt;0,'Tariff Jul 2023'!R24=""),IF(($H$5&lt;'Tariff Jul 2023'!P24),(0),($H$5-'Tariff Jul 2023'!P24)*'Tariff Jul 2023'!Q24/100),0)))</f>
        <v>0</v>
      </c>
      <c r="H36" s="208">
        <f>($I$5)*'Tariff Jul 2023'!AE24/100</f>
        <v>36.546319199999992</v>
      </c>
      <c r="I36" s="208">
        <v>0</v>
      </c>
      <c r="J36" s="208">
        <f t="shared" si="30"/>
        <v>430.8661570181817</v>
      </c>
      <c r="K36" s="283">
        <f t="shared" si="33"/>
        <v>1363.8657189818177</v>
      </c>
      <c r="L36" s="283">
        <f t="shared" si="31"/>
        <v>1723.4646280727268</v>
      </c>
      <c r="M36" s="191">
        <f t="shared" si="32"/>
        <v>1895.8110908799997</v>
      </c>
      <c r="N36" s="187">
        <f>'Tariff Jul 2023'!AZ24</f>
        <v>0</v>
      </c>
      <c r="O36" s="187">
        <f>'Tariff Jul 2023'!BA24</f>
        <v>0</v>
      </c>
      <c r="P36" s="187">
        <f>'Tariff Jul 2023'!BB24</f>
        <v>0</v>
      </c>
      <c r="Q36" s="187">
        <f>'Tariff Jul 2023'!BC24</f>
        <v>0</v>
      </c>
      <c r="R36" s="192">
        <f>($F$6*'Tariff Jul 2023'!AT24/100)*4</f>
        <v>313.28640000000001</v>
      </c>
      <c r="S36" s="193" t="str">
        <f t="shared" si="23"/>
        <v>No discount</v>
      </c>
      <c r="T36" s="193" t="str">
        <f t="shared" si="24"/>
        <v>Inclusive</v>
      </c>
      <c r="U36" s="304">
        <f t="shared" si="25"/>
        <v>1723.4646280727268</v>
      </c>
      <c r="V36" s="283">
        <f t="shared" si="26"/>
        <v>1723.4646280727268</v>
      </c>
      <c r="W36" s="283">
        <f t="shared" si="27"/>
        <v>1410.1782280727268</v>
      </c>
      <c r="X36" s="283">
        <f t="shared" si="28"/>
        <v>1410.1782280727268</v>
      </c>
      <c r="Y36" s="285">
        <f t="shared" si="29"/>
        <v>1551.1960508799996</v>
      </c>
      <c r="Z36" s="285">
        <f t="shared" si="29"/>
        <v>1551.1960508799996</v>
      </c>
      <c r="AA36" s="194">
        <f>'Tariff Jul 2023'!AT23</f>
        <v>3</v>
      </c>
      <c r="AB36" s="196">
        <f>'Tariff Jul 2023'!G24</f>
        <v>43287</v>
      </c>
      <c r="AC36" s="361"/>
      <c r="AD36" s="361"/>
      <c r="AE36" s="361"/>
      <c r="AF36" s="361"/>
      <c r="AG36" s="361"/>
      <c r="AH36" s="361"/>
      <c r="AI36" s="361"/>
      <c r="AJ36" s="361"/>
      <c r="AK36" s="361"/>
      <c r="AL36" s="361"/>
      <c r="AM36" s="361"/>
      <c r="AN36" s="361"/>
      <c r="AO36" s="361"/>
      <c r="AP36" s="361"/>
      <c r="AQ36" s="361"/>
      <c r="AR36" s="361"/>
      <c r="AS36" s="361"/>
      <c r="AT36" s="361"/>
    </row>
    <row r="37" spans="1:46" s="187" customFormat="1" x14ac:dyDescent="0.15">
      <c r="A37" s="186" t="str">
        <f>'Tariff Jul 2023'!K25</f>
        <v>Red Energy</v>
      </c>
      <c r="B37" s="187" t="str">
        <f>'Tariff Jul 2023'!L25</f>
        <v>Living Energy Saver</v>
      </c>
      <c r="C37" s="208">
        <f>IF('Tariff Jul 2023'!BP25=0,91*'Tariff Jul 2023'!M25/100,(91*'Tariff Jul 2023'!M25/100)+'Tariff Jul 2023'!BP25/4)</f>
        <v>77.349999999999994</v>
      </c>
      <c r="D37" s="208">
        <f>IF('Tariff Jul 2023'!O25="",$H$5*'Tariff Jul 2023'!N25/100,IF($H$5&gt;='Tariff Jul 2023'!P25,('Tariff Jul 2023'!P25*'Tariff Jul 2023'!N25/100),($H$5*'Tariff Jul 2023'!N25/100)))</f>
        <v>241.05606109090905</v>
      </c>
      <c r="E37" s="208">
        <f>IF(AND('Tariff Jul 2023'!P25&gt;0,'Tariff Jul 2023'!R25&gt;0),IF($H$5&lt;'Tariff Jul 2023'!P25,0,IF($H$5&lt;=('Tariff Jul 2023'!R25+'Tariff Jul 2023'!P25),(($H$5-'Tariff Jul 2023'!P25)*'Tariff Jul 2023'!Q25/100),(('Tariff Jul 2023'!R25)*'Tariff Jul 2023'!Q25/100))),0)</f>
        <v>0</v>
      </c>
      <c r="F37" s="208">
        <f>IF(AND('Tariff Jul 2023'!Q25&gt;0,'Tariff Jul 2023'!S25&gt;0),IF($H$5&lt;('Tariff Jul 2023'!R25+'Tariff Jul 2023'!P25),0,IF($H$5&lt;=('Tariff Jul 2023'!T25+'Tariff Jul 2023'!R25+'Tariff Jul 2023'!P25),(($H$5-('Tariff Jul 2023'!R25+'Tariff Jul 2023'!P25))*'Tariff Jul 2023'!S25/100),('Tariff Jul 2023'!T25*'Tariff Jul 2023'!S25/100))),0)</f>
        <v>0</v>
      </c>
      <c r="G37" s="208">
        <f>IF('Tariff Jul 2023'!T25&gt;0,IF(($H$5&lt;'Tariff Jul 2023'!T25),(0),($H$5-'Tariff Jul 2023'!T25)*'Tariff Jul 2023'!U25/100),IF(AND('Tariff Jul 2023'!R25&gt;0,'Tariff Jul 2023'!T25=""),IF(($H$5&lt;'Tariff Jul 2023'!R25),(0),($H$5-'Tariff Jul 2023'!R25)*'Tariff Jul 2023'!S25/100),IF(AND('Tariff Jul 2023'!P25&gt;0,'Tariff Jul 2023'!R25=""),IF(($H$5&lt;'Tariff Jul 2023'!P25),(0),($H$5-'Tariff Jul 2023'!P25)*'Tariff Jul 2023'!Q25/100),0)))</f>
        <v>0</v>
      </c>
      <c r="H37" s="208">
        <f>($I$5)*'Tariff Jul 2023'!AE25/100</f>
        <v>32.136479999999999</v>
      </c>
      <c r="I37" s="208">
        <v>0</v>
      </c>
      <c r="J37" s="208">
        <f t="shared" si="30"/>
        <v>350.54254109090903</v>
      </c>
      <c r="K37" s="283">
        <f t="shared" si="33"/>
        <v>1092.770164363636</v>
      </c>
      <c r="L37" s="283">
        <f t="shared" si="31"/>
        <v>1402.1701643636361</v>
      </c>
      <c r="M37" s="191">
        <f t="shared" si="32"/>
        <v>1542.3871807999999</v>
      </c>
      <c r="N37" s="187">
        <f>'Tariff Jul 2023'!AZ25</f>
        <v>0</v>
      </c>
      <c r="O37" s="187">
        <f>'Tariff Jul 2023'!BA25</f>
        <v>0</v>
      </c>
      <c r="P37" s="187">
        <f>'Tariff Jul 2023'!BB25</f>
        <v>0</v>
      </c>
      <c r="Q37" s="187">
        <f>'Tariff Jul 2023'!BC25</f>
        <v>0</v>
      </c>
      <c r="R37" s="192">
        <f>($F$6*'Tariff Jul 2023'!AT25/100)*4</f>
        <v>78.321600000000004</v>
      </c>
      <c r="S37" s="193" t="str">
        <f t="shared" si="23"/>
        <v>No discount</v>
      </c>
      <c r="T37" s="193" t="str">
        <f t="shared" si="24"/>
        <v>Inclusive</v>
      </c>
      <c r="U37" s="304">
        <f t="shared" si="25"/>
        <v>1402.1701643636361</v>
      </c>
      <c r="V37" s="283">
        <f t="shared" si="26"/>
        <v>1402.1701643636361</v>
      </c>
      <c r="W37" s="283">
        <f t="shared" si="27"/>
        <v>1323.8485643636361</v>
      </c>
      <c r="X37" s="283">
        <f t="shared" si="28"/>
        <v>1323.8485643636361</v>
      </c>
      <c r="Y37" s="285">
        <f t="shared" si="29"/>
        <v>1456.2334207999997</v>
      </c>
      <c r="Z37" s="285">
        <f t="shared" si="29"/>
        <v>1456.2334207999997</v>
      </c>
      <c r="AA37" s="194">
        <f>'Tariff Jul 2023'!AT24</f>
        <v>12</v>
      </c>
      <c r="AB37" s="196">
        <f>'Tariff Jul 2023'!G25</f>
        <v>43646</v>
      </c>
      <c r="AC37" s="361"/>
      <c r="AD37" s="361"/>
      <c r="AE37" s="361"/>
      <c r="AF37" s="361"/>
      <c r="AG37" s="361"/>
      <c r="AH37" s="361"/>
      <c r="AI37" s="361"/>
      <c r="AJ37" s="361"/>
      <c r="AK37" s="361"/>
      <c r="AL37" s="361"/>
      <c r="AM37" s="361"/>
      <c r="AN37" s="361"/>
      <c r="AO37" s="361"/>
      <c r="AP37" s="361"/>
      <c r="AQ37" s="361"/>
      <c r="AR37" s="361"/>
      <c r="AS37" s="361"/>
      <c r="AT37" s="361"/>
    </row>
    <row r="38" spans="1:46" s="187" customFormat="1" x14ac:dyDescent="0.15">
      <c r="A38" s="186" t="str">
        <f>'Tariff Jul 2023'!K26</f>
        <v>Energy Locals</v>
      </c>
      <c r="B38" s="187" t="str">
        <f>'Tariff Jul 2023'!L26</f>
        <v>Online Member</v>
      </c>
      <c r="C38" s="208">
        <f>IF('Tariff Jul 2023'!BP26=0,91*'Tariff Jul 2023'!M26/100,(91*'Tariff Jul 2023'!M26/100)+'Tariff Jul 2023'!BP26/4)</f>
        <v>87.013636363636351</v>
      </c>
      <c r="D38" s="208">
        <f>IF('Tariff Jul 2023'!O26="",$H$5*'Tariff Jul 2023'!N26/100,IF($H$5&gt;='Tariff Jul 2023'!P26,('Tariff Jul 2023'!P26*'Tariff Jul 2023'!N26/100),($H$5*'Tariff Jul 2023'!N26/100)))</f>
        <v>275.91927272727264</v>
      </c>
      <c r="E38" s="208">
        <f>IF(AND('Tariff Jul 2023'!P26&gt;0,'Tariff Jul 2023'!R26&gt;0),IF($H$5&lt;'Tariff Jul 2023'!P26,0,IF($H$5&lt;=('Tariff Jul 2023'!R26+'Tariff Jul 2023'!P26),(($H$5-'Tariff Jul 2023'!P26)*'Tariff Jul 2023'!Q26/100),(('Tariff Jul 2023'!R26)*'Tariff Jul 2023'!Q26/100))),0)</f>
        <v>0</v>
      </c>
      <c r="F38" s="208">
        <f>IF(AND('Tariff Jul 2023'!Q26&gt;0,'Tariff Jul 2023'!S26&gt;0),IF($H$5&lt;('Tariff Jul 2023'!R26+'Tariff Jul 2023'!P26),0,IF($H$5&lt;=('Tariff Jul 2023'!T26+'Tariff Jul 2023'!R26+'Tariff Jul 2023'!P26),(($H$5-('Tariff Jul 2023'!R26+'Tariff Jul 2023'!P26))*'Tariff Jul 2023'!S26/100),('Tariff Jul 2023'!T26*'Tariff Jul 2023'!S26/100))),0)</f>
        <v>0</v>
      </c>
      <c r="G38" s="208">
        <f>IF('Tariff Jul 2023'!T26&gt;0,IF(($H$5&lt;'Tariff Jul 2023'!T26),(0),($H$5-'Tariff Jul 2023'!T26)*'Tariff Jul 2023'!U26/100),IF(AND('Tariff Jul 2023'!R26&gt;0,'Tariff Jul 2023'!T26=""),IF(($H$5&lt;'Tariff Jul 2023'!R26),(0),($H$5-'Tariff Jul 2023'!R26)*'Tariff Jul 2023'!S26/100),IF(AND('Tariff Jul 2023'!P26&gt;0,'Tariff Jul 2023'!R26=""),IF(($H$5&lt;'Tariff Jul 2023'!P26),(0),($H$5-'Tariff Jul 2023'!P26)*'Tariff Jul 2023'!Q26/100),0)))</f>
        <v>0</v>
      </c>
      <c r="H38" s="208">
        <f>($I$5)*'Tariff Jul 2023'!AE26/100</f>
        <v>56.806909090909073</v>
      </c>
      <c r="I38" s="208">
        <v>0</v>
      </c>
      <c r="J38" s="208">
        <f t="shared" si="30"/>
        <v>419.73981818181807</v>
      </c>
      <c r="K38" s="283">
        <f t="shared" si="33"/>
        <v>1330.9047272727269</v>
      </c>
      <c r="L38" s="283">
        <f t="shared" si="31"/>
        <v>1678.9592727272723</v>
      </c>
      <c r="M38" s="191">
        <f t="shared" si="32"/>
        <v>1846.8551999999997</v>
      </c>
      <c r="N38" s="187">
        <f>'Tariff Jul 2023'!AZ26</f>
        <v>0</v>
      </c>
      <c r="O38" s="187">
        <f>'Tariff Jul 2023'!BA26</f>
        <v>0</v>
      </c>
      <c r="P38" s="187">
        <f>'Tariff Jul 2023'!BB26</f>
        <v>0</v>
      </c>
      <c r="Q38" s="187">
        <f>'Tariff Jul 2023'!BC26</f>
        <v>0</v>
      </c>
      <c r="R38" s="192">
        <f>($F$6*'Tariff Jul 2023'!AT26/100)*4</f>
        <v>248.01839999999996</v>
      </c>
      <c r="S38" s="193" t="str">
        <f t="shared" si="23"/>
        <v>No discount</v>
      </c>
      <c r="T38" s="193" t="str">
        <f t="shared" si="24"/>
        <v>Exclusive</v>
      </c>
      <c r="U38" s="304">
        <f t="shared" si="25"/>
        <v>1678.9592727272723</v>
      </c>
      <c r="V38" s="283">
        <f t="shared" si="26"/>
        <v>1678.9592727272723</v>
      </c>
      <c r="W38" s="283">
        <f t="shared" si="27"/>
        <v>1430.9408727272723</v>
      </c>
      <c r="X38" s="283">
        <f t="shared" si="28"/>
        <v>1430.9408727272723</v>
      </c>
      <c r="Y38" s="285">
        <f t="shared" si="29"/>
        <v>1574.0349599999997</v>
      </c>
      <c r="Z38" s="285">
        <f t="shared" si="29"/>
        <v>1574.0349599999997</v>
      </c>
      <c r="AA38" s="194">
        <f>'Tariff Jul 2023'!AT25</f>
        <v>3</v>
      </c>
      <c r="AB38" s="196">
        <f>'Tariff Jul 2023'!G26</f>
        <v>43646</v>
      </c>
      <c r="AC38" s="361"/>
      <c r="AD38" s="361"/>
      <c r="AE38" s="361"/>
      <c r="AF38" s="361"/>
      <c r="AG38" s="361"/>
      <c r="AH38" s="361"/>
      <c r="AI38" s="361"/>
      <c r="AJ38" s="361"/>
      <c r="AK38" s="361"/>
      <c r="AL38" s="361"/>
      <c r="AM38" s="361"/>
      <c r="AN38" s="361"/>
      <c r="AO38" s="361"/>
      <c r="AP38" s="361"/>
      <c r="AQ38" s="361"/>
      <c r="AR38" s="361"/>
      <c r="AS38" s="361"/>
      <c r="AT38" s="361"/>
    </row>
    <row r="39" spans="1:46" s="187" customFormat="1" x14ac:dyDescent="0.15">
      <c r="A39" s="186" t="str">
        <f>'Tariff Jul 2023'!K27</f>
        <v>Simply Energy</v>
      </c>
      <c r="B39" s="187" t="str">
        <f>'Tariff Jul 2023'!L27</f>
        <v>Solar</v>
      </c>
      <c r="C39" s="208">
        <f>IF('Tariff Jul 2023'!BP27=0,91*'Tariff Jul 2023'!M27/100,(91*'Tariff Jul 2023'!M27/100)+'Tariff Jul 2023'!BP27/4)</f>
        <v>99.909727272727267</v>
      </c>
      <c r="D39" s="208">
        <f>IF('Tariff Jul 2023'!O27="",$H$5*'Tariff Jul 2023'!N27/100,IF($H$5&gt;='Tariff Jul 2023'!P27,('Tariff Jul 2023'!P27*'Tariff Jul 2023'!N27/100),($H$5*'Tariff Jul 2023'!N27/100)))</f>
        <v>297.27867054545447</v>
      </c>
      <c r="E39" s="208">
        <f>IF(AND('Tariff Jul 2023'!P27&gt;0,'Tariff Jul 2023'!R27&gt;0),IF($H$5&lt;'Tariff Jul 2023'!P27,0,IF($H$5&lt;=('Tariff Jul 2023'!R27+'Tariff Jul 2023'!P27),(($H$5-'Tariff Jul 2023'!P27)*'Tariff Jul 2023'!Q27/100),(('Tariff Jul 2023'!R27)*'Tariff Jul 2023'!Q27/100))),0)</f>
        <v>0</v>
      </c>
      <c r="F39" s="208">
        <f>IF(AND('Tariff Jul 2023'!Q27&gt;0,'Tariff Jul 2023'!S27&gt;0),IF($H$5&lt;('Tariff Jul 2023'!R27+'Tariff Jul 2023'!P27),0,IF($H$5&lt;=('Tariff Jul 2023'!T27+'Tariff Jul 2023'!R27+'Tariff Jul 2023'!P27),(($H$5-('Tariff Jul 2023'!R27+'Tariff Jul 2023'!P27))*'Tariff Jul 2023'!S27/100),('Tariff Jul 2023'!T27*'Tariff Jul 2023'!S27/100))),0)</f>
        <v>0</v>
      </c>
      <c r="G39" s="208">
        <f>IF('Tariff Jul 2023'!T27&gt;0,IF(($H$5&lt;'Tariff Jul 2023'!T27),(0),($H$5-'Tariff Jul 2023'!T27)*'Tariff Jul 2023'!U27/100),IF(AND('Tariff Jul 2023'!R27&gt;0,'Tariff Jul 2023'!T27=""),IF(($H$5&lt;'Tariff Jul 2023'!R27),(0),($H$5-'Tariff Jul 2023'!R27)*'Tariff Jul 2023'!S27/100),IF(AND('Tariff Jul 2023'!P27&gt;0,'Tariff Jul 2023'!R27=""),IF(($H$5&lt;'Tariff Jul 2023'!P27),(0),($H$5-'Tariff Jul 2023'!P27)*'Tariff Jul 2023'!Q27/100),0)))</f>
        <v>0</v>
      </c>
      <c r="H39" s="208">
        <f>($I$5)*'Tariff Jul 2023'!AE27/100</f>
        <v>36.989413090909082</v>
      </c>
      <c r="I39" s="208">
        <v>0</v>
      </c>
      <c r="J39" s="208">
        <f t="shared" si="30"/>
        <v>434.17781090909079</v>
      </c>
      <c r="K39" s="283">
        <f t="shared" si="33"/>
        <v>1337.0723345454542</v>
      </c>
      <c r="L39" s="283">
        <f t="shared" si="31"/>
        <v>1736.7112436363632</v>
      </c>
      <c r="M39" s="191">
        <f t="shared" si="32"/>
        <v>1910.3823679999996</v>
      </c>
      <c r="N39" s="187">
        <f>'Tariff Jul 2023'!AZ27</f>
        <v>0</v>
      </c>
      <c r="O39" s="187">
        <f>'Tariff Jul 2023'!BA27</f>
        <v>0</v>
      </c>
      <c r="P39" s="187">
        <f>'Tariff Jul 2023'!BB27</f>
        <v>0</v>
      </c>
      <c r="Q39" s="187">
        <f>'Tariff Jul 2023'!BC27</f>
        <v>0</v>
      </c>
      <c r="R39" s="192">
        <f>($F$6*'Tariff Jul 2023'!AT27/100)*4</f>
        <v>208.85759999999999</v>
      </c>
      <c r="S39" s="193" t="str">
        <f t="shared" si="23"/>
        <v>No discount</v>
      </c>
      <c r="T39" s="193" t="str">
        <f t="shared" si="24"/>
        <v>Exclusive</v>
      </c>
      <c r="U39" s="304">
        <f t="shared" si="25"/>
        <v>1736.7112436363632</v>
      </c>
      <c r="V39" s="283">
        <f t="shared" si="26"/>
        <v>1736.7112436363632</v>
      </c>
      <c r="W39" s="283">
        <f t="shared" si="27"/>
        <v>1527.8536436363631</v>
      </c>
      <c r="X39" s="283">
        <f t="shared" si="28"/>
        <v>1527.8536436363631</v>
      </c>
      <c r="Y39" s="285">
        <f t="shared" si="29"/>
        <v>1680.6390079999996</v>
      </c>
      <c r="Z39" s="285">
        <f t="shared" si="29"/>
        <v>1680.6390079999996</v>
      </c>
      <c r="AA39" s="194">
        <f>'Tariff Jul 2023'!AT26</f>
        <v>9.5</v>
      </c>
      <c r="AB39" s="196">
        <f>'Tariff Jul 2023'!G27</f>
        <v>43646</v>
      </c>
      <c r="AC39" s="361"/>
      <c r="AD39" s="361"/>
      <c r="AE39" s="361"/>
      <c r="AF39" s="361"/>
      <c r="AG39" s="361"/>
      <c r="AH39" s="361"/>
      <c r="AI39" s="361"/>
      <c r="AJ39" s="361"/>
      <c r="AK39" s="361"/>
      <c r="AL39" s="361"/>
      <c r="AM39" s="361"/>
      <c r="AN39" s="361"/>
      <c r="AO39" s="361"/>
      <c r="AP39" s="361"/>
      <c r="AQ39" s="361"/>
      <c r="AR39" s="361"/>
      <c r="AS39" s="361"/>
      <c r="AT39" s="361"/>
    </row>
    <row r="40" spans="1:46" s="187" customFormat="1" x14ac:dyDescent="0.15">
      <c r="A40" s="186" t="str">
        <f>'Tariff Jul 2023'!K28</f>
        <v>Powershop</v>
      </c>
      <c r="B40" s="187" t="str">
        <f>'Tariff Jul 2023'!L28</f>
        <v>Carbon neutral</v>
      </c>
      <c r="C40" s="208">
        <f>IF('Tariff Jul 2023'!BP28=0,91*'Tariff Jul 2023'!M28/100,(91*'Tariff Jul 2023'!M28/100)+'Tariff Jul 2023'!BP28/4)</f>
        <v>121.63390909090909</v>
      </c>
      <c r="D40" s="208">
        <f>IF('Tariff Jul 2023'!O28="",$H$5*'Tariff Jul 2023'!N28/100,IF($H$5&gt;='Tariff Jul 2023'!P28,('Tariff Jul 2023'!P28*'Tariff Jul 2023'!N28/100),($H$5*'Tariff Jul 2023'!N28/100)))</f>
        <v>267.21970036363632</v>
      </c>
      <c r="E40" s="208">
        <f>IF(AND('Tariff Jul 2023'!P28&gt;0,'Tariff Jul 2023'!R28&gt;0),IF($H$5&lt;'Tariff Jul 2023'!P28,0,IF($H$5&lt;=('Tariff Jul 2023'!R28+'Tariff Jul 2023'!P28),(($H$5-'Tariff Jul 2023'!P28)*'Tariff Jul 2023'!Q28/100),(('Tariff Jul 2023'!R28)*'Tariff Jul 2023'!Q28/100))),0)</f>
        <v>0</v>
      </c>
      <c r="F40" s="208">
        <f>IF(AND('Tariff Jul 2023'!Q28&gt;0,'Tariff Jul 2023'!S28&gt;0),IF($H$5&lt;('Tariff Jul 2023'!R28+'Tariff Jul 2023'!P28),0,IF($H$5&lt;=('Tariff Jul 2023'!T28+'Tariff Jul 2023'!R28+'Tariff Jul 2023'!P28),(($H$5-('Tariff Jul 2023'!R28+'Tariff Jul 2023'!P28))*'Tariff Jul 2023'!S28/100),('Tariff Jul 2023'!T28*'Tariff Jul 2023'!S28/100))),0)</f>
        <v>0</v>
      </c>
      <c r="G40" s="208">
        <f>IF('Tariff Jul 2023'!T28&gt;0,IF(($H$5&lt;'Tariff Jul 2023'!T28),(0),($H$5-'Tariff Jul 2023'!T28)*'Tariff Jul 2023'!U28/100),IF(AND('Tariff Jul 2023'!R28&gt;0,'Tariff Jul 2023'!T28=""),IF(($H$5&lt;'Tariff Jul 2023'!R28),(0),($H$5-'Tariff Jul 2023'!R28)*'Tariff Jul 2023'!S28/100),IF(AND('Tariff Jul 2023'!P28&gt;0,'Tariff Jul 2023'!R28=""),IF(($H$5&lt;'Tariff Jul 2023'!P28),(0),($H$5-'Tariff Jul 2023'!P28)*'Tariff Jul 2023'!Q28/100),0)))</f>
        <v>0</v>
      </c>
      <c r="H40" s="208">
        <f>($I$5)*'Tariff Jul 2023'!AE28/100</f>
        <v>44.601538909090898</v>
      </c>
      <c r="I40" s="208">
        <v>0</v>
      </c>
      <c r="J40" s="208">
        <f t="shared" si="30"/>
        <v>433.45514836363628</v>
      </c>
      <c r="K40" s="283">
        <f t="shared" si="33"/>
        <v>1247.2849570909088</v>
      </c>
      <c r="L40" s="283">
        <f t="shared" si="31"/>
        <v>1733.8205934545451</v>
      </c>
      <c r="M40" s="191">
        <f t="shared" si="32"/>
        <v>1907.2026527999999</v>
      </c>
      <c r="N40" s="187">
        <f>'Tariff Jul 2023'!AZ28</f>
        <v>0</v>
      </c>
      <c r="O40" s="187">
        <f>'Tariff Jul 2023'!BA28</f>
        <v>0</v>
      </c>
      <c r="P40" s="187">
        <f>'Tariff Jul 2023'!BB28</f>
        <v>0</v>
      </c>
      <c r="Q40" s="187">
        <f>'Tariff Jul 2023'!BC28</f>
        <v>0</v>
      </c>
      <c r="R40" s="192">
        <f>($F$6*'Tariff Jul 2023'!AT28/100)*4</f>
        <v>130.53599999999997</v>
      </c>
      <c r="S40" s="193" t="str">
        <f t="shared" si="23"/>
        <v>No discount</v>
      </c>
      <c r="T40" s="193" t="str">
        <f t="shared" si="24"/>
        <v>Inclusive</v>
      </c>
      <c r="U40" s="304">
        <f t="shared" si="25"/>
        <v>1733.8205934545451</v>
      </c>
      <c r="V40" s="283">
        <f t="shared" si="26"/>
        <v>1733.8205934545451</v>
      </c>
      <c r="W40" s="283">
        <f t="shared" si="27"/>
        <v>1603.2845934545451</v>
      </c>
      <c r="X40" s="283">
        <f t="shared" si="28"/>
        <v>1603.2845934545451</v>
      </c>
      <c r="Y40" s="285">
        <f t="shared" si="29"/>
        <v>1763.6130527999997</v>
      </c>
      <c r="Z40" s="285">
        <f t="shared" si="29"/>
        <v>1763.6130527999997</v>
      </c>
      <c r="AA40" s="194">
        <f>'Tariff Jul 2023'!AT27</f>
        <v>8</v>
      </c>
      <c r="AB40" s="196">
        <f>'Tariff Jul 2023'!G28</f>
        <v>43646</v>
      </c>
      <c r="AC40" s="361"/>
      <c r="AD40" s="361"/>
      <c r="AE40" s="361"/>
      <c r="AF40" s="361"/>
      <c r="AG40" s="361"/>
      <c r="AH40" s="361"/>
      <c r="AI40" s="361"/>
      <c r="AJ40" s="361"/>
      <c r="AK40" s="361"/>
      <c r="AL40" s="361"/>
      <c r="AM40" s="361"/>
      <c r="AN40" s="361"/>
      <c r="AO40" s="361"/>
      <c r="AP40" s="361"/>
      <c r="AQ40" s="361"/>
      <c r="AR40" s="361"/>
      <c r="AS40" s="361"/>
      <c r="AT40" s="361"/>
    </row>
    <row r="41" spans="1:46" s="187" customFormat="1" x14ac:dyDescent="0.15">
      <c r="A41" s="186" t="str">
        <f>'Tariff Jul 2023'!K29</f>
        <v>Amber Electric</v>
      </c>
      <c r="B41" s="187" t="str">
        <f>'Tariff Jul 2023'!L29</f>
        <v>Amber Plan</v>
      </c>
      <c r="C41" s="208">
        <f>IF('Tariff Jul 2023'!BP29=0,91*'Tariff Jul 2023'!M29/100,(91*'Tariff Jul 2023'!M29/100)+'Tariff Jul 2023'!BP29/4)</f>
        <v>138.25163636363635</v>
      </c>
      <c r="D41" s="208">
        <f>IF('Tariff Jul 2023'!O29="",$H$5*'Tariff Jul 2023'!N29/100,IF($H$5&gt;='Tariff Jul 2023'!P29,('Tariff Jul 2023'!P29*'Tariff Jul 2023'!N29/100),($H$5*'Tariff Jul 2023'!N29/100)))</f>
        <v>330.06437236363627</v>
      </c>
      <c r="E41" s="208">
        <f>IF(AND('Tariff Jul 2023'!P29&gt;0,'Tariff Jul 2023'!R29&gt;0),IF($H$5&lt;'Tariff Jul 2023'!P29,0,IF($H$5&lt;=('Tariff Jul 2023'!R29+'Tariff Jul 2023'!P29),(($H$5-'Tariff Jul 2023'!P29)*'Tariff Jul 2023'!Q29/100),(('Tariff Jul 2023'!R29)*'Tariff Jul 2023'!Q29/100))),0)</f>
        <v>0</v>
      </c>
      <c r="F41" s="208">
        <f>IF(AND('Tariff Jul 2023'!Q29&gt;0,'Tariff Jul 2023'!S29&gt;0),IF($H$5&lt;('Tariff Jul 2023'!R29+'Tariff Jul 2023'!P29),0,IF($H$5&lt;=('Tariff Jul 2023'!T29+'Tariff Jul 2023'!R29+'Tariff Jul 2023'!P29),(($H$5-('Tariff Jul 2023'!R29+'Tariff Jul 2023'!P29))*'Tariff Jul 2023'!S29/100),('Tariff Jul 2023'!T29*'Tariff Jul 2023'!S29/100))),0)</f>
        <v>0</v>
      </c>
      <c r="G41" s="208">
        <f>IF('Tariff Jul 2023'!T29&gt;0,IF(($H$5&lt;'Tariff Jul 2023'!T29),(0),($H$5-'Tariff Jul 2023'!T29)*'Tariff Jul 2023'!U29/100),IF(AND('Tariff Jul 2023'!R29&gt;0,'Tariff Jul 2023'!T29=""),IF(($H$5&lt;'Tariff Jul 2023'!R29),(0),($H$5-'Tariff Jul 2023'!R29)*'Tariff Jul 2023'!S29/100),IF(AND('Tariff Jul 2023'!P29&gt;0,'Tariff Jul 2023'!R29=""),IF(($H$5&lt;'Tariff Jul 2023'!P29),(0),($H$5-'Tariff Jul 2023'!P29)*'Tariff Jul 2023'!Q29/100),0)))</f>
        <v>0</v>
      </c>
      <c r="H41" s="208">
        <f>($I$5)*'Tariff Jul 2023'!AE29/100</f>
        <v>60.637317818181799</v>
      </c>
      <c r="I41" s="208">
        <v>0</v>
      </c>
      <c r="J41" s="208">
        <f t="shared" si="30"/>
        <v>528.95332654545439</v>
      </c>
      <c r="K41" s="283">
        <f t="shared" si="33"/>
        <v>1562.8067607272721</v>
      </c>
      <c r="L41" s="283">
        <f t="shared" si="31"/>
        <v>2115.8133061818176</v>
      </c>
      <c r="M41" s="191">
        <f t="shared" si="32"/>
        <v>2327.3946367999997</v>
      </c>
      <c r="N41" s="187">
        <f>'Tariff Jul 2023'!AZ29</f>
        <v>0</v>
      </c>
      <c r="O41" s="187">
        <f>'Tariff Jul 2023'!BA29</f>
        <v>0</v>
      </c>
      <c r="P41" s="187">
        <f>'Tariff Jul 2023'!BB29</f>
        <v>0</v>
      </c>
      <c r="Q41" s="187">
        <f>'Tariff Jul 2023'!BC29</f>
        <v>0</v>
      </c>
      <c r="R41" s="192">
        <f>($F$6*'Tariff Jul 2023'!AT29/100)*4</f>
        <v>0</v>
      </c>
      <c r="S41" s="193" t="str">
        <f t="shared" si="23"/>
        <v>No discount</v>
      </c>
      <c r="T41" s="193" t="str">
        <f t="shared" si="24"/>
        <v>Exclusive</v>
      </c>
      <c r="U41" s="304">
        <f t="shared" si="25"/>
        <v>2115.8133061818176</v>
      </c>
      <c r="V41" s="283">
        <f t="shared" si="26"/>
        <v>2115.8133061818176</v>
      </c>
      <c r="W41" s="283">
        <f t="shared" si="27"/>
        <v>2115.8133061818176</v>
      </c>
      <c r="X41" s="283">
        <f t="shared" si="28"/>
        <v>2115.8133061818176</v>
      </c>
      <c r="Y41" s="285">
        <f t="shared" si="29"/>
        <v>2327.3946367999997</v>
      </c>
      <c r="Z41" s="285">
        <f t="shared" si="29"/>
        <v>2327.3946367999997</v>
      </c>
      <c r="AA41" s="194">
        <f>'Tariff Jul 2023'!AT28</f>
        <v>5</v>
      </c>
      <c r="AB41" s="196">
        <f>'Tariff Jul 2023'!G29</f>
        <v>43646</v>
      </c>
      <c r="AC41" s="361"/>
      <c r="AD41" s="361"/>
      <c r="AE41" s="361"/>
      <c r="AF41" s="361"/>
      <c r="AG41" s="361"/>
      <c r="AH41" s="361"/>
      <c r="AI41" s="361"/>
      <c r="AJ41" s="361"/>
      <c r="AK41" s="361"/>
      <c r="AL41" s="361"/>
      <c r="AM41" s="361"/>
      <c r="AN41" s="361"/>
      <c r="AO41" s="361"/>
      <c r="AP41" s="361"/>
      <c r="AQ41" s="361"/>
      <c r="AR41" s="361"/>
      <c r="AS41" s="361"/>
      <c r="AT41" s="361"/>
    </row>
    <row r="42" spans="1:46" s="187" customFormat="1" x14ac:dyDescent="0.15">
      <c r="A42" s="186" t="str">
        <f>'Tariff Jul 2023'!K30</f>
        <v>GloBird Energy</v>
      </c>
      <c r="B42" s="187" t="str">
        <f>'Tariff Jul 2023'!L30</f>
        <v>GloSave</v>
      </c>
      <c r="C42" s="208">
        <f>IF('Tariff Jul 2023'!BP30=0,91*'Tariff Jul 2023'!M30/100,(91*'Tariff Jul 2023'!M30/100)+'Tariff Jul 2023'!BP30/4)</f>
        <v>80.079999999999984</v>
      </c>
      <c r="D42" s="208">
        <f>IF('Tariff Jul 2023'!O30="",$H$5*'Tariff Jul 2023'!N30/100,IF($H$5&gt;='Tariff Jul 2023'!P30,('Tariff Jul 2023'!P30*'Tariff Jul 2023'!N30/100),($H$5*'Tariff Jul 2023'!N30/100)))</f>
        <v>233.52508799999993</v>
      </c>
      <c r="E42" s="208">
        <f>IF(AND('Tariff Jul 2023'!P30&gt;0,'Tariff Jul 2023'!R30&gt;0),IF($H$5&lt;'Tariff Jul 2023'!P30,0,IF($H$5&lt;=('Tariff Jul 2023'!R30+'Tariff Jul 2023'!P30),(($H$5-'Tariff Jul 2023'!P30)*'Tariff Jul 2023'!Q30/100),(('Tariff Jul 2023'!R30)*'Tariff Jul 2023'!Q30/100))),0)</f>
        <v>0</v>
      </c>
      <c r="F42" s="208">
        <f>IF(AND('Tariff Jul 2023'!Q30&gt;0,'Tariff Jul 2023'!S30&gt;0),IF($H$5&lt;('Tariff Jul 2023'!R30+'Tariff Jul 2023'!P30),0,IF($H$5&lt;=('Tariff Jul 2023'!T30+'Tariff Jul 2023'!R30+'Tariff Jul 2023'!P30),(($H$5-('Tariff Jul 2023'!R30+'Tariff Jul 2023'!P30))*'Tariff Jul 2023'!S30/100),('Tariff Jul 2023'!T30*'Tariff Jul 2023'!S30/100))),0)</f>
        <v>0</v>
      </c>
      <c r="G42" s="208">
        <f>IF('Tariff Jul 2023'!T30&gt;0,IF(($H$5&lt;'Tariff Jul 2023'!T30),(0),($H$5-'Tariff Jul 2023'!T30)*'Tariff Jul 2023'!U30/100),IF(AND('Tariff Jul 2023'!R30&gt;0,'Tariff Jul 2023'!T30=""),IF(($H$5&lt;'Tariff Jul 2023'!R30),(0),($H$5-'Tariff Jul 2023'!R30)*'Tariff Jul 2023'!S30/100),IF(AND('Tariff Jul 2023'!P30&gt;0,'Tariff Jul 2023'!R30=""),IF(($H$5&lt;'Tariff Jul 2023'!P30),(0),($H$5-'Tariff Jul 2023'!P30)*'Tariff Jul 2023'!Q30/100),0)))</f>
        <v>0</v>
      </c>
      <c r="H42" s="208">
        <f>($I$5)*'Tariff Jul 2023'!AE30/100</f>
        <v>34.814519999999987</v>
      </c>
      <c r="I42" s="208">
        <v>0</v>
      </c>
      <c r="J42" s="208">
        <f t="shared" si="30"/>
        <v>348.41960799999993</v>
      </c>
      <c r="K42" s="283">
        <f t="shared" si="33"/>
        <v>1073.3584319999998</v>
      </c>
      <c r="L42" s="283">
        <f t="shared" si="31"/>
        <v>1393.6784319999997</v>
      </c>
      <c r="M42" s="191">
        <f t="shared" si="32"/>
        <v>1533.0462751999999</v>
      </c>
      <c r="N42" s="187">
        <f>'Tariff Jul 2023'!AZ30</f>
        <v>0</v>
      </c>
      <c r="O42" s="187">
        <f>'Tariff Jul 2023'!BA30</f>
        <v>0</v>
      </c>
      <c r="P42" s="187">
        <f>'Tariff Jul 2023'!BB30</f>
        <v>2</v>
      </c>
      <c r="Q42" s="187">
        <f>'Tariff Jul 2023'!BC30</f>
        <v>0</v>
      </c>
      <c r="R42" s="192">
        <f>($F$6*'Tariff Jul 2023'!AT30/100)*4</f>
        <v>26.107199999999999</v>
      </c>
      <c r="S42" s="193" t="str">
        <f t="shared" si="23"/>
        <v>Pay-on-time off bill</v>
      </c>
      <c r="T42" s="193" t="str">
        <f t="shared" si="24"/>
        <v>Exclusive</v>
      </c>
      <c r="U42" s="304">
        <f t="shared" si="25"/>
        <v>1393.6784319999997</v>
      </c>
      <c r="V42" s="283">
        <f t="shared" si="26"/>
        <v>1365.8048633599997</v>
      </c>
      <c r="W42" s="283">
        <f t="shared" si="27"/>
        <v>1367.5712319999998</v>
      </c>
      <c r="X42" s="283">
        <f t="shared" si="28"/>
        <v>1339.6976633599998</v>
      </c>
      <c r="Y42" s="285">
        <f t="shared" si="29"/>
        <v>1504.3283551999998</v>
      </c>
      <c r="Z42" s="285">
        <f t="shared" si="29"/>
        <v>1473.6674296959998</v>
      </c>
      <c r="AA42" s="194">
        <f>'Tariff Jul 2023'!AT29</f>
        <v>0</v>
      </c>
      <c r="AB42" s="196">
        <f>'Tariff Jul 2023'!G30</f>
        <v>43652</v>
      </c>
      <c r="AC42" s="361"/>
      <c r="AD42" s="361"/>
      <c r="AE42" s="361"/>
      <c r="AF42" s="361"/>
      <c r="AG42" s="361"/>
      <c r="AH42" s="361"/>
      <c r="AI42" s="361"/>
      <c r="AJ42" s="361"/>
      <c r="AK42" s="361"/>
      <c r="AL42" s="361"/>
      <c r="AM42" s="361"/>
      <c r="AN42" s="361"/>
      <c r="AO42" s="361"/>
      <c r="AP42" s="361"/>
      <c r="AQ42" s="361"/>
      <c r="AR42" s="361"/>
      <c r="AS42" s="361"/>
      <c r="AT42" s="361"/>
    </row>
    <row r="43" spans="1:46" s="187" customFormat="1" x14ac:dyDescent="0.15">
      <c r="A43" s="186" t="str">
        <f>'Tariff Jul 2023'!K31</f>
        <v>Kogan Energy</v>
      </c>
      <c r="B43" s="187" t="str">
        <f>'Tariff Jul 2023'!L31</f>
        <v>Free Kogan First Membership</v>
      </c>
      <c r="C43" s="208">
        <f>IF('Tariff Jul 2023'!BP31=0,91*'Tariff Jul 2023'!M31/100,(91*'Tariff Jul 2023'!M31/100)+'Tariff Jul 2023'!BP31/4)</f>
        <v>121.63390909090909</v>
      </c>
      <c r="D43" s="208">
        <f>IF('Tariff Jul 2023'!O31="",$H$5*'Tariff Jul 2023'!N31/100,IF($H$5&gt;='Tariff Jul 2023'!P31,('Tariff Jul 2023'!P31*'Tariff Jul 2023'!N31/100),($H$5*'Tariff Jul 2023'!N31/100)))</f>
        <v>267.21970036363632</v>
      </c>
      <c r="E43" s="208">
        <f>IF(AND('Tariff Jul 2023'!P31&gt;0,'Tariff Jul 2023'!R31&gt;0),IF($H$5&lt;'Tariff Jul 2023'!P31,0,IF($H$5&lt;=('Tariff Jul 2023'!R31+'Tariff Jul 2023'!P31),(($H$5-'Tariff Jul 2023'!P31)*'Tariff Jul 2023'!Q31/100),(('Tariff Jul 2023'!R31)*'Tariff Jul 2023'!Q31/100))),0)</f>
        <v>0</v>
      </c>
      <c r="F43" s="208">
        <f>IF(AND('Tariff Jul 2023'!Q31&gt;0,'Tariff Jul 2023'!S31&gt;0),IF($H$5&lt;('Tariff Jul 2023'!R31+'Tariff Jul 2023'!P31),0,IF($H$5&lt;=('Tariff Jul 2023'!T31+'Tariff Jul 2023'!R31+'Tariff Jul 2023'!P31),(($H$5-('Tariff Jul 2023'!R31+'Tariff Jul 2023'!P31))*'Tariff Jul 2023'!S31/100),('Tariff Jul 2023'!T31*'Tariff Jul 2023'!S31/100))),0)</f>
        <v>0</v>
      </c>
      <c r="G43" s="208">
        <f>IF('Tariff Jul 2023'!T31&gt;0,IF(($H$5&lt;'Tariff Jul 2023'!T31),(0),($H$5-'Tariff Jul 2023'!T31)*'Tariff Jul 2023'!U31/100),IF(AND('Tariff Jul 2023'!R31&gt;0,'Tariff Jul 2023'!T31=""),IF(($H$5&lt;'Tariff Jul 2023'!R31),(0),($H$5-'Tariff Jul 2023'!R31)*'Tariff Jul 2023'!S31/100),IF(AND('Tariff Jul 2023'!P31&gt;0,'Tariff Jul 2023'!R31=""),IF(($H$5&lt;'Tariff Jul 2023'!P31),(0),($H$5-'Tariff Jul 2023'!P31)*'Tariff Jul 2023'!Q31/100),0)))</f>
        <v>0</v>
      </c>
      <c r="H43" s="208">
        <f>($I$5)*'Tariff Jul 2023'!AE31/100</f>
        <v>44.601538909090898</v>
      </c>
      <c r="I43" s="208">
        <v>0</v>
      </c>
      <c r="J43" s="208">
        <f t="shared" si="30"/>
        <v>433.45514836363628</v>
      </c>
      <c r="K43" s="283">
        <f t="shared" si="33"/>
        <v>1247.2849570909088</v>
      </c>
      <c r="L43" s="283">
        <f t="shared" si="31"/>
        <v>1733.8205934545451</v>
      </c>
      <c r="M43" s="191">
        <f t="shared" si="32"/>
        <v>1907.2026527999999</v>
      </c>
      <c r="N43" s="187">
        <f>'Tariff Jul 2023'!AZ31</f>
        <v>0</v>
      </c>
      <c r="O43" s="187">
        <f>'Tariff Jul 2023'!BA31</f>
        <v>0</v>
      </c>
      <c r="P43" s="187">
        <f>'Tariff Jul 2023'!BB31</f>
        <v>0</v>
      </c>
      <c r="Q43" s="187">
        <f>'Tariff Jul 2023'!BC31</f>
        <v>0</v>
      </c>
      <c r="R43" s="192">
        <f>($F$6*'Tariff Jul 2023'!AT31/100)*4</f>
        <v>130.53599999999997</v>
      </c>
      <c r="S43" s="193" t="str">
        <f t="shared" si="23"/>
        <v>No discount</v>
      </c>
      <c r="T43" s="193" t="str">
        <f t="shared" si="24"/>
        <v>Exclusive</v>
      </c>
      <c r="U43" s="304">
        <f t="shared" si="25"/>
        <v>1733.8205934545451</v>
      </c>
      <c r="V43" s="283">
        <f t="shared" si="26"/>
        <v>1733.8205934545451</v>
      </c>
      <c r="W43" s="283">
        <f t="shared" si="27"/>
        <v>1603.2845934545451</v>
      </c>
      <c r="X43" s="283">
        <f t="shared" si="28"/>
        <v>1603.2845934545451</v>
      </c>
      <c r="Y43" s="285">
        <f t="shared" si="29"/>
        <v>1763.6130527999997</v>
      </c>
      <c r="Z43" s="285">
        <f t="shared" si="29"/>
        <v>1763.6130527999997</v>
      </c>
      <c r="AA43" s="194">
        <f>'Tariff Jul 2023'!AT30</f>
        <v>1</v>
      </c>
      <c r="AB43" s="196">
        <f>'Tariff Jul 2023'!G31</f>
        <v>43646</v>
      </c>
      <c r="AC43" s="361"/>
      <c r="AD43" s="361"/>
      <c r="AE43" s="361"/>
      <c r="AF43" s="361"/>
      <c r="AG43" s="361"/>
      <c r="AH43" s="361"/>
      <c r="AI43" s="361"/>
      <c r="AJ43" s="361"/>
      <c r="AK43" s="361"/>
      <c r="AL43" s="361"/>
      <c r="AM43" s="361"/>
      <c r="AN43" s="361"/>
      <c r="AO43" s="361"/>
      <c r="AP43" s="361"/>
      <c r="AQ43" s="361"/>
      <c r="AR43" s="361"/>
      <c r="AS43" s="361"/>
      <c r="AT43" s="361"/>
    </row>
    <row r="44" spans="1:46" s="187" customFormat="1" x14ac:dyDescent="0.15">
      <c r="A44" s="186" t="str">
        <f>'Tariff Jul 2023'!K32</f>
        <v>Momentum</v>
      </c>
      <c r="B44" s="187" t="str">
        <f>'Tariff Jul 2023'!L32</f>
        <v>Suit Yourself</v>
      </c>
      <c r="C44" s="208">
        <f>IF('Tariff Jul 2023'!BP32=0,91*'Tariff Jul 2023'!M32/100,(91*'Tariff Jul 2023'!M32/100)+'Tariff Jul 2023'!BP32/4)</f>
        <v>142.96100000000001</v>
      </c>
      <c r="D44" s="208">
        <f>IF('Tariff Jul 2023'!O32="",$H$5*'Tariff Jul 2023'!N32/100,IF($H$5&gt;='Tariff Jul 2023'!P32,('Tariff Jul 2023'!P32*'Tariff Jul 2023'!N32/100),($H$5*'Tariff Jul 2023'!N32/100)))</f>
        <v>282.80102399999998</v>
      </c>
      <c r="E44" s="208">
        <f>IF(AND('Tariff Jul 2023'!P32&gt;0,'Tariff Jul 2023'!R32&gt;0),IF($H$5&lt;'Tariff Jul 2023'!P32,0,IF($H$5&lt;=('Tariff Jul 2023'!R32+'Tariff Jul 2023'!P32),(($H$5-'Tariff Jul 2023'!P32)*'Tariff Jul 2023'!Q32/100),(('Tariff Jul 2023'!R32)*'Tariff Jul 2023'!Q32/100))),0)</f>
        <v>0</v>
      </c>
      <c r="F44" s="208">
        <f>IF(AND('Tariff Jul 2023'!Q32&gt;0,'Tariff Jul 2023'!S32&gt;0),IF($H$5&lt;('Tariff Jul 2023'!R32+'Tariff Jul 2023'!P32),0,IF($H$5&lt;=('Tariff Jul 2023'!T32+'Tariff Jul 2023'!R32+'Tariff Jul 2023'!P32),(($H$5-('Tariff Jul 2023'!R32+'Tariff Jul 2023'!P32))*'Tariff Jul 2023'!S32/100),('Tariff Jul 2023'!T32*'Tariff Jul 2023'!S32/100))),0)</f>
        <v>0</v>
      </c>
      <c r="G44" s="208">
        <f>IF('Tariff Jul 2023'!T32&gt;0,IF(($H$5&lt;'Tariff Jul 2023'!T32),(0),($H$5-'Tariff Jul 2023'!T32)*'Tariff Jul 2023'!U32/100),IF(AND('Tariff Jul 2023'!R32&gt;0,'Tariff Jul 2023'!T32=""),IF(($H$5&lt;'Tariff Jul 2023'!R32),(0),($H$5-'Tariff Jul 2023'!R32)*'Tariff Jul 2023'!S32/100),IF(AND('Tariff Jul 2023'!P32&gt;0,'Tariff Jul 2023'!R32=""),IF(($H$5&lt;'Tariff Jul 2023'!P32),(0),($H$5-'Tariff Jul 2023'!P32)*'Tariff Jul 2023'!Q32/100),0)))</f>
        <v>0</v>
      </c>
      <c r="H44" s="208">
        <f>($I$5)*'Tariff Jul 2023'!AE32/100</f>
        <v>28.565759999999997</v>
      </c>
      <c r="I44" s="208">
        <v>1</v>
      </c>
      <c r="J44" s="208">
        <f t="shared" ref="J44:J47" si="34">SUM(C44:I44)</f>
        <v>455.32778400000001</v>
      </c>
      <c r="K44" s="283">
        <f t="shared" ref="K44:K47" si="35">(J44-C44)*4</f>
        <v>1249.467136</v>
      </c>
      <c r="L44" s="283">
        <f t="shared" ref="L44:L47" si="36">J44*4</f>
        <v>1821.311136</v>
      </c>
      <c r="M44" s="191">
        <f t="shared" ref="M44:M47" si="37">L44*1.1</f>
        <v>2003.4422496000002</v>
      </c>
      <c r="N44" s="187">
        <f>'Tariff Jul 2023'!AZ32</f>
        <v>0</v>
      </c>
      <c r="O44" s="187">
        <f>'Tariff Jul 2023'!BA32</f>
        <v>0</v>
      </c>
      <c r="P44" s="187">
        <f>'Tariff Jul 2023'!BB32</f>
        <v>0</v>
      </c>
      <c r="Q44" s="187">
        <f>'Tariff Jul 2023'!BC32</f>
        <v>0</v>
      </c>
      <c r="R44" s="192">
        <f>($F$6*'Tariff Jul 2023'!AT32/100)*4</f>
        <v>91.375199999999992</v>
      </c>
      <c r="S44" s="193" t="str">
        <f t="shared" ref="S44:S47" si="38">IF(SUM(N44:Q44)=0,"No discount",IF(N44&gt;0,"Guaranteed off bill",IF(O44&gt;0,"Guaranteed off usage",IF(P44&gt;0,"Pay-on-time off bill","Pay-on-time off usage"))))</f>
        <v>No discount</v>
      </c>
      <c r="T44" s="193" t="str">
        <f t="shared" ref="T44:T47" si="39">IF(OR(A44="Origin Energy",A44="Red Energy",A44="Powershop"),"Inclusive","Exclusive")</f>
        <v>Exclusive</v>
      </c>
      <c r="U44" s="304">
        <f t="shared" ref="U44:U47" si="40">IF(AND(S44="Guaranteed off bill",T44="Inclusive"),((L44*1.1)-((L44*1.1)*N44/100))/1.1,IF(AND(S44="Guaranteed off usage",T44="Inclusive"),((L44*1.1)-((K44*1.1)*O44/100))/1.1,IF(AND(S44="Guaranteed off bill",T44="Exclusive"),L44-(L44*N44/100),IF(AND(S44="Guaranteed off usage",T44="Exclusive"),L44-(K44*O44/100),IF(T44="Inclusive",((L44*1.1))/1.1,L44)))))</f>
        <v>1821.311136</v>
      </c>
      <c r="V44" s="283">
        <f t="shared" ref="V44:V47" si="41">IF(AND(S44="Pay-on-time off bill",T44="Inclusive"),((U44*1.1)-((U44*1.1)*P44/100))/1.1,IF(AND(S44="Pay-on-time off usage",T44="Inclusive"),((U44*1.1)-((K44*1.1)*Q44/100))/1.1,IF(AND(S44="Pay-on-time off bill",T44="Exclusive"),U44-(U44*P44/100),IF(AND(S44="Pay-on-time off usage",T44="Exclusive"),U44-(K44*Q44/100),IF(T44="Inclusive",((U44*1.1))/1.1,U44)))))</f>
        <v>1821.311136</v>
      </c>
      <c r="W44" s="283">
        <f t="shared" ref="W44:W47" si="42">U44-R44</f>
        <v>1729.9359360000001</v>
      </c>
      <c r="X44" s="283">
        <f t="shared" ref="X44:X47" si="43">V44-R44</f>
        <v>1729.9359360000001</v>
      </c>
      <c r="Y44" s="285">
        <f t="shared" ref="Y44:Y47" si="44">W44*1.1</f>
        <v>1902.9295296000003</v>
      </c>
      <c r="Z44" s="285">
        <f t="shared" ref="Z44:Z47" si="45">X44*1.1</f>
        <v>1902.9295296000003</v>
      </c>
      <c r="AA44" s="194">
        <f>'Tariff Jul 2023'!AT31</f>
        <v>5</v>
      </c>
      <c r="AB44" s="196">
        <f>'Tariff Jul 2023'!G32</f>
        <v>43646</v>
      </c>
      <c r="AC44" s="361"/>
      <c r="AD44" s="361"/>
      <c r="AE44" s="361"/>
      <c r="AF44" s="361"/>
      <c r="AG44" s="361"/>
      <c r="AH44" s="361"/>
      <c r="AI44" s="361"/>
      <c r="AJ44" s="361"/>
      <c r="AK44" s="361"/>
      <c r="AL44" s="361"/>
      <c r="AM44" s="361"/>
      <c r="AN44" s="361"/>
      <c r="AO44" s="361"/>
      <c r="AP44" s="361"/>
      <c r="AQ44" s="361"/>
      <c r="AR44" s="361"/>
      <c r="AS44" s="361"/>
      <c r="AT44" s="361"/>
    </row>
    <row r="45" spans="1:46" s="187" customFormat="1" x14ac:dyDescent="0.15">
      <c r="A45" s="186" t="str">
        <f>'Tariff Jul 2023'!K33</f>
        <v>OVO</v>
      </c>
      <c r="B45" s="187" t="str">
        <f>'Tariff Jul 2023'!L33</f>
        <v>Solar Plan</v>
      </c>
      <c r="C45" s="208">
        <f>IF('Tariff Jul 2023'!BP33=0,91*'Tariff Jul 2023'!M33/100,(91*'Tariff Jul 2023'!M33/100)+'Tariff Jul 2023'!BP33/4)</f>
        <v>105.37799999999999</v>
      </c>
      <c r="D45" s="208">
        <f>IF('Tariff Jul 2023'!O33="",$H$5*'Tariff Jul 2023'!N33/100,IF($H$5&gt;='Tariff Jul 2023'!P33,('Tariff Jul 2023'!P33*'Tariff Jul 2023'!N33/100),($H$5*'Tariff Jul 2023'!N33/100)))</f>
        <v>266.50555636363629</v>
      </c>
      <c r="E45" s="208">
        <f>IF(AND('Tariff Jul 2023'!P33&gt;0,'Tariff Jul 2023'!R33&gt;0),IF($H$5&lt;'Tariff Jul 2023'!P33,0,IF($H$5&lt;=('Tariff Jul 2023'!R33+'Tariff Jul 2023'!P33),(($H$5-'Tariff Jul 2023'!P33)*'Tariff Jul 2023'!Q33/100),(('Tariff Jul 2023'!R33)*'Tariff Jul 2023'!Q33/100))),0)</f>
        <v>0</v>
      </c>
      <c r="F45" s="208">
        <f>IF(AND('Tariff Jul 2023'!Q33&gt;0,'Tariff Jul 2023'!S33&gt;0),IF($H$5&lt;('Tariff Jul 2023'!R33+'Tariff Jul 2023'!P33),0,IF($H$5&lt;=('Tariff Jul 2023'!T33+'Tariff Jul 2023'!R33+'Tariff Jul 2023'!P33),(($H$5-('Tariff Jul 2023'!R33+'Tariff Jul 2023'!P33))*'Tariff Jul 2023'!S33/100),('Tariff Jul 2023'!T33*'Tariff Jul 2023'!S33/100))),0)</f>
        <v>0</v>
      </c>
      <c r="G45" s="208">
        <f>IF('Tariff Jul 2023'!T33&gt;0,IF(($H$5&lt;'Tariff Jul 2023'!T33),(0),($H$5-'Tariff Jul 2023'!T33)*'Tariff Jul 2023'!U33/100),IF(AND('Tariff Jul 2023'!R33&gt;0,'Tariff Jul 2023'!T33=""),IF(($H$5&lt;'Tariff Jul 2023'!R33),(0),($H$5-'Tariff Jul 2023'!R33)*'Tariff Jul 2023'!S33/100),IF(AND('Tariff Jul 2023'!P33&gt;0,'Tariff Jul 2023'!R33=""),IF(($H$5&lt;'Tariff Jul 2023'!P33),(0),($H$5-'Tariff Jul 2023'!P33)*'Tariff Jul 2023'!Q33/100),0)))</f>
        <v>0</v>
      </c>
      <c r="H45" s="208">
        <f>($I$5)*'Tariff Jul 2023'!AE33/100</f>
        <v>38.992262399999994</v>
      </c>
      <c r="I45" s="208">
        <v>2</v>
      </c>
      <c r="J45" s="208">
        <f t="shared" si="34"/>
        <v>412.87581876363629</v>
      </c>
      <c r="K45" s="283">
        <f t="shared" si="35"/>
        <v>1229.9912750545452</v>
      </c>
      <c r="L45" s="283">
        <f t="shared" si="36"/>
        <v>1651.5032750545452</v>
      </c>
      <c r="M45" s="191">
        <f t="shared" si="37"/>
        <v>1816.6536025599999</v>
      </c>
      <c r="N45" s="187">
        <f>'Tariff Jul 2023'!AZ33</f>
        <v>0</v>
      </c>
      <c r="O45" s="187">
        <f>'Tariff Jul 2023'!BA33</f>
        <v>0</v>
      </c>
      <c r="P45" s="187">
        <f>'Tariff Jul 2023'!BB33</f>
        <v>0</v>
      </c>
      <c r="Q45" s="187">
        <f>'Tariff Jul 2023'!BC33</f>
        <v>0</v>
      </c>
      <c r="R45" s="192">
        <f>($F$6*'Tariff Jul 2023'!AT33/100)*4</f>
        <v>365.50079999999997</v>
      </c>
      <c r="S45" s="193" t="str">
        <f t="shared" si="38"/>
        <v>No discount</v>
      </c>
      <c r="T45" s="193" t="str">
        <f t="shared" si="39"/>
        <v>Exclusive</v>
      </c>
      <c r="U45" s="304">
        <f t="shared" si="40"/>
        <v>1651.5032750545452</v>
      </c>
      <c r="V45" s="283">
        <f t="shared" si="41"/>
        <v>1651.5032750545452</v>
      </c>
      <c r="W45" s="283">
        <f t="shared" si="42"/>
        <v>1286.0024750545451</v>
      </c>
      <c r="X45" s="283">
        <f t="shared" si="43"/>
        <v>1286.0024750545451</v>
      </c>
      <c r="Y45" s="285">
        <f t="shared" si="44"/>
        <v>1414.6027225599998</v>
      </c>
      <c r="Z45" s="285">
        <f t="shared" si="45"/>
        <v>1414.6027225599998</v>
      </c>
      <c r="AA45" s="194">
        <f>'Tariff Jul 2023'!AT32</f>
        <v>3.5</v>
      </c>
      <c r="AB45" s="196">
        <f>'Tariff Jul 2023'!G33</f>
        <v>43651</v>
      </c>
      <c r="AC45" s="361"/>
      <c r="AD45" s="361"/>
      <c r="AE45" s="361"/>
      <c r="AF45" s="361"/>
      <c r="AG45" s="361"/>
      <c r="AH45" s="361"/>
      <c r="AI45" s="361"/>
      <c r="AJ45" s="361"/>
      <c r="AK45" s="361"/>
      <c r="AL45" s="361"/>
      <c r="AM45" s="361"/>
      <c r="AN45" s="361"/>
      <c r="AO45" s="361"/>
      <c r="AP45" s="361"/>
      <c r="AQ45" s="361"/>
      <c r="AR45" s="361"/>
      <c r="AS45" s="361"/>
      <c r="AT45" s="361"/>
    </row>
    <row r="46" spans="1:46" s="187" customFormat="1" x14ac:dyDescent="0.15">
      <c r="A46" s="186" t="str">
        <f>'Tariff Jul 2023'!K34</f>
        <v>Sumo Power</v>
      </c>
      <c r="B46" s="187" t="str">
        <f>'Tariff Jul 2023'!L34</f>
        <v>Lite</v>
      </c>
      <c r="C46" s="208">
        <f>IF('Tariff Jul 2023'!BP34=0,91*'Tariff Jul 2023'!M34/100,(91*'Tariff Jul 2023'!M34/100)+'Tariff Jul 2023'!BP34/4)</f>
        <v>96.45999999999998</v>
      </c>
      <c r="D46" s="208">
        <f>IF('Tariff Jul 2023'!O34="",$H$5*'Tariff Jul 2023'!N34/100,IF($H$5&gt;='Tariff Jul 2023'!P34,('Tariff Jul 2023'!P34*'Tariff Jul 2023'!N34/100),($H$5*'Tariff Jul 2023'!N34/100)))</f>
        <v>299.94047999999998</v>
      </c>
      <c r="E46" s="208">
        <f>IF(AND('Tariff Jul 2023'!P34&gt;0,'Tariff Jul 2023'!R34&gt;0),IF($H$5&lt;'Tariff Jul 2023'!P34,0,IF($H$5&lt;=('Tariff Jul 2023'!R34+'Tariff Jul 2023'!P34),(($H$5-'Tariff Jul 2023'!P34)*'Tariff Jul 2023'!Q34/100),(('Tariff Jul 2023'!R34)*'Tariff Jul 2023'!Q34/100))),0)</f>
        <v>0</v>
      </c>
      <c r="F46" s="208">
        <f>IF(AND('Tariff Jul 2023'!Q34&gt;0,'Tariff Jul 2023'!S34&gt;0),IF($H$5&lt;('Tariff Jul 2023'!R34+'Tariff Jul 2023'!P34),0,IF($H$5&lt;=('Tariff Jul 2023'!T34+'Tariff Jul 2023'!R34+'Tariff Jul 2023'!P34),(($H$5-('Tariff Jul 2023'!R34+'Tariff Jul 2023'!P34))*'Tariff Jul 2023'!S34/100),('Tariff Jul 2023'!T34*'Tariff Jul 2023'!S34/100))),0)</f>
        <v>0</v>
      </c>
      <c r="G46" s="208">
        <f>IF('Tariff Jul 2023'!T34&gt;0,IF(($H$5&lt;'Tariff Jul 2023'!T34),(0),($H$5-'Tariff Jul 2023'!T34)*'Tariff Jul 2023'!U34/100),IF(AND('Tariff Jul 2023'!R34&gt;0,'Tariff Jul 2023'!T34=""),IF(($H$5&lt;'Tariff Jul 2023'!R34),(0),($H$5-'Tariff Jul 2023'!R34)*'Tariff Jul 2023'!S34/100),IF(AND('Tariff Jul 2023'!P34&gt;0,'Tariff Jul 2023'!R34=""),IF(($H$5&lt;'Tariff Jul 2023'!P34),(0),($H$5-'Tariff Jul 2023'!P34)*'Tariff Jul 2023'!Q34/100),0)))</f>
        <v>0</v>
      </c>
      <c r="H46" s="208">
        <f>($I$5)*'Tariff Jul 2023'!AE34/100</f>
        <v>37.314023999999989</v>
      </c>
      <c r="I46" s="208">
        <v>3</v>
      </c>
      <c r="J46" s="208">
        <f t="shared" si="34"/>
        <v>436.71450399999992</v>
      </c>
      <c r="K46" s="283">
        <f t="shared" si="35"/>
        <v>1361.0180159999998</v>
      </c>
      <c r="L46" s="283">
        <f t="shared" si="36"/>
        <v>1746.8580159999997</v>
      </c>
      <c r="M46" s="191">
        <f t="shared" si="37"/>
        <v>1921.5438175999998</v>
      </c>
      <c r="N46" s="187">
        <f>'Tariff Jul 2023'!AZ34</f>
        <v>0</v>
      </c>
      <c r="O46" s="187">
        <f>'Tariff Jul 2023'!BA34</f>
        <v>0</v>
      </c>
      <c r="P46" s="187">
        <f>'Tariff Jul 2023'!BB34</f>
        <v>0</v>
      </c>
      <c r="Q46" s="187">
        <f>'Tariff Jul 2023'!BC34</f>
        <v>0</v>
      </c>
      <c r="R46" s="192">
        <f>($F$6*'Tariff Jul 2023'!AT34/100)*4</f>
        <v>130.53599999999997</v>
      </c>
      <c r="S46" s="193" t="str">
        <f t="shared" si="38"/>
        <v>No discount</v>
      </c>
      <c r="T46" s="193" t="str">
        <f t="shared" si="39"/>
        <v>Exclusive</v>
      </c>
      <c r="U46" s="304">
        <f t="shared" si="40"/>
        <v>1746.8580159999997</v>
      </c>
      <c r="V46" s="283">
        <f t="shared" si="41"/>
        <v>1746.8580159999997</v>
      </c>
      <c r="W46" s="283">
        <f t="shared" si="42"/>
        <v>1616.3220159999996</v>
      </c>
      <c r="X46" s="283">
        <f t="shared" si="43"/>
        <v>1616.3220159999996</v>
      </c>
      <c r="Y46" s="285">
        <f t="shared" si="44"/>
        <v>1777.9542175999998</v>
      </c>
      <c r="Z46" s="285">
        <f t="shared" si="45"/>
        <v>1777.9542175999998</v>
      </c>
      <c r="AA46" s="194">
        <f>'Tariff Jul 2023'!AT33</f>
        <v>14</v>
      </c>
      <c r="AB46" s="196">
        <f>'Tariff Jul 2023'!G34</f>
        <v>43655</v>
      </c>
      <c r="AC46" s="361"/>
      <c r="AD46" s="361"/>
      <c r="AE46" s="361"/>
      <c r="AF46" s="361"/>
      <c r="AG46" s="361"/>
      <c r="AH46" s="361"/>
      <c r="AI46" s="361"/>
      <c r="AJ46" s="361"/>
      <c r="AK46" s="361"/>
      <c r="AL46" s="361"/>
      <c r="AM46" s="361"/>
      <c r="AN46" s="361"/>
      <c r="AO46" s="361"/>
      <c r="AP46" s="361"/>
      <c r="AQ46" s="361"/>
      <c r="AR46" s="361"/>
      <c r="AS46" s="361"/>
      <c r="AT46" s="361"/>
    </row>
    <row r="47" spans="1:46" s="187" customFormat="1" x14ac:dyDescent="0.15">
      <c r="A47" s="186" t="str">
        <f>'Tariff Jul 2023'!K35</f>
        <v>CovaU</v>
      </c>
      <c r="B47" s="187" t="str">
        <f>'Tariff Jul 2023'!L35</f>
        <v>Freedom</v>
      </c>
      <c r="C47" s="208">
        <f>IF('Tariff Jul 2023'!BP35=0,91*'Tariff Jul 2023'!M35/100,(91*'Tariff Jul 2023'!M35/100)+'Tariff Jul 2023'!BP35/4)</f>
        <v>85.705454545454543</v>
      </c>
      <c r="D47" s="208">
        <f>IF('Tariff Jul 2023'!O35="",$H$5*'Tariff Jul 2023'!N35/100,IF($H$5&gt;='Tariff Jul 2023'!P35,('Tariff Jul 2023'!P35*'Tariff Jul 2023'!N35/100),($H$5*'Tariff Jul 2023'!N35/100)))</f>
        <v>237.2256523636363</v>
      </c>
      <c r="E47" s="208">
        <f>IF(AND('Tariff Jul 2023'!P35&gt;0,'Tariff Jul 2023'!R35&gt;0),IF($H$5&lt;'Tariff Jul 2023'!P35,0,IF($H$5&lt;=('Tariff Jul 2023'!R35+'Tariff Jul 2023'!P35),(($H$5-'Tariff Jul 2023'!P35)*'Tariff Jul 2023'!Q35/100),(('Tariff Jul 2023'!R35)*'Tariff Jul 2023'!Q35/100))),0)</f>
        <v>0</v>
      </c>
      <c r="F47" s="208">
        <f>IF(AND('Tariff Jul 2023'!Q35&gt;0,'Tariff Jul 2023'!S35&gt;0),IF($H$5&lt;('Tariff Jul 2023'!R35+'Tariff Jul 2023'!P35),0,IF($H$5&lt;=('Tariff Jul 2023'!T35+'Tariff Jul 2023'!R35+'Tariff Jul 2023'!P35),(($H$5-('Tariff Jul 2023'!R35+'Tariff Jul 2023'!P35))*'Tariff Jul 2023'!S35/100),('Tariff Jul 2023'!T35*'Tariff Jul 2023'!S35/100))),0)</f>
        <v>0</v>
      </c>
      <c r="G47" s="208">
        <f>IF('Tariff Jul 2023'!T35&gt;0,IF(($H$5&lt;'Tariff Jul 2023'!T35),(0),($H$5-'Tariff Jul 2023'!T35)*'Tariff Jul 2023'!U35/100),IF(AND('Tariff Jul 2023'!R35&gt;0,'Tariff Jul 2023'!T35=""),IF(($H$5&lt;'Tariff Jul 2023'!R35),(0),($H$5-'Tariff Jul 2023'!R35)*'Tariff Jul 2023'!S35/100),IF(AND('Tariff Jul 2023'!P35&gt;0,'Tariff Jul 2023'!R35=""),IF(($H$5&lt;'Tariff Jul 2023'!P35),(0),($H$5-'Tariff Jul 2023'!P35)*'Tariff Jul 2023'!Q35/100),0)))</f>
        <v>0</v>
      </c>
      <c r="H47" s="208">
        <f>($I$5)*'Tariff Jul 2023'!AE35/100</f>
        <v>42.069573818181809</v>
      </c>
      <c r="I47" s="208">
        <v>4</v>
      </c>
      <c r="J47" s="208">
        <f t="shared" si="34"/>
        <v>369.00068072727265</v>
      </c>
      <c r="K47" s="283">
        <f t="shared" si="35"/>
        <v>1133.1809047272725</v>
      </c>
      <c r="L47" s="283">
        <f t="shared" si="36"/>
        <v>1476.0027229090906</v>
      </c>
      <c r="M47" s="191">
        <f t="shared" si="37"/>
        <v>1623.6029951999999</v>
      </c>
      <c r="N47" s="187">
        <f>'Tariff Jul 2023'!AZ35</f>
        <v>0</v>
      </c>
      <c r="O47" s="187">
        <f>'Tariff Jul 2023'!BA35</f>
        <v>0</v>
      </c>
      <c r="P47" s="187">
        <f>'Tariff Jul 2023'!BB35</f>
        <v>0</v>
      </c>
      <c r="Q47" s="187">
        <f>'Tariff Jul 2023'!BC35</f>
        <v>0</v>
      </c>
      <c r="R47" s="192">
        <f>($F$6*'Tariff Jul 2023'!AT35/100)*4</f>
        <v>143.58959999999999</v>
      </c>
      <c r="S47" s="193" t="str">
        <f t="shared" si="38"/>
        <v>No discount</v>
      </c>
      <c r="T47" s="193" t="str">
        <f t="shared" si="39"/>
        <v>Exclusive</v>
      </c>
      <c r="U47" s="304">
        <f t="shared" si="40"/>
        <v>1476.0027229090906</v>
      </c>
      <c r="V47" s="283">
        <f t="shared" si="41"/>
        <v>1476.0027229090906</v>
      </c>
      <c r="W47" s="283">
        <f t="shared" si="42"/>
        <v>1332.4131229090906</v>
      </c>
      <c r="X47" s="283">
        <f t="shared" si="43"/>
        <v>1332.4131229090906</v>
      </c>
      <c r="Y47" s="285">
        <f t="shared" si="44"/>
        <v>1465.6544351999999</v>
      </c>
      <c r="Z47" s="285">
        <f t="shared" si="45"/>
        <v>1465.6544351999999</v>
      </c>
      <c r="AA47" s="194">
        <f>'Tariff Jul 2023'!AT34</f>
        <v>5</v>
      </c>
      <c r="AB47" s="196">
        <f>'Tariff Jul 2023'!G35</f>
        <v>43480</v>
      </c>
      <c r="AC47" s="361"/>
      <c r="AD47" s="361"/>
      <c r="AE47" s="361"/>
      <c r="AF47" s="361"/>
      <c r="AG47" s="361"/>
      <c r="AH47" s="361"/>
      <c r="AI47" s="361"/>
      <c r="AJ47" s="361"/>
      <c r="AK47" s="361"/>
      <c r="AL47" s="361"/>
      <c r="AM47" s="361"/>
      <c r="AN47" s="361"/>
      <c r="AO47" s="361"/>
      <c r="AP47" s="361"/>
      <c r="AQ47" s="361"/>
      <c r="AR47" s="361"/>
      <c r="AS47" s="361"/>
      <c r="AT47" s="361"/>
    </row>
    <row r="48" spans="1:46" s="187" customFormat="1" x14ac:dyDescent="0.15">
      <c r="A48" s="361"/>
      <c r="B48" s="361"/>
      <c r="C48" s="361"/>
      <c r="D48" s="361"/>
      <c r="E48" s="361"/>
      <c r="F48" s="361"/>
      <c r="G48" s="361"/>
      <c r="H48" s="361"/>
      <c r="I48" s="361"/>
      <c r="J48" s="361"/>
      <c r="K48" s="361"/>
      <c r="L48" s="361"/>
      <c r="M48" s="361"/>
      <c r="N48" s="361"/>
      <c r="O48" s="361"/>
      <c r="P48" s="361"/>
      <c r="Q48" s="361"/>
      <c r="R48" s="361"/>
      <c r="S48" s="361"/>
      <c r="T48" s="361"/>
      <c r="U48" s="361"/>
      <c r="V48" s="361"/>
      <c r="W48" s="361"/>
      <c r="X48" s="361"/>
      <c r="Y48" s="361"/>
      <c r="Z48" s="361"/>
      <c r="AA48" s="361"/>
      <c r="AB48" s="361"/>
      <c r="AC48" s="361"/>
      <c r="AD48" s="361"/>
      <c r="AE48" s="361"/>
      <c r="AF48" s="361"/>
      <c r="AG48" s="361"/>
      <c r="AH48" s="361"/>
      <c r="AI48" s="361"/>
      <c r="AJ48" s="361"/>
      <c r="AK48" s="361"/>
      <c r="AL48" s="361"/>
      <c r="AM48" s="361"/>
      <c r="AN48" s="361"/>
      <c r="AO48" s="361"/>
      <c r="AP48" s="361"/>
      <c r="AQ48" s="361"/>
      <c r="AR48" s="361"/>
      <c r="AS48" s="361"/>
      <c r="AT48" s="361"/>
    </row>
    <row r="49" spans="1:46" s="187" customFormat="1" x14ac:dyDescent="0.15">
      <c r="A49" s="361"/>
      <c r="B49" s="361"/>
      <c r="C49" s="361"/>
      <c r="D49" s="361"/>
      <c r="E49" s="361"/>
      <c r="F49" s="361"/>
      <c r="G49" s="361"/>
      <c r="H49" s="361"/>
      <c r="I49" s="361"/>
      <c r="J49" s="361"/>
      <c r="K49" s="361"/>
      <c r="L49" s="361"/>
      <c r="M49" s="361"/>
      <c r="N49" s="361"/>
      <c r="O49" s="361"/>
      <c r="P49" s="361"/>
      <c r="Q49" s="361"/>
      <c r="R49" s="361"/>
      <c r="S49" s="361"/>
      <c r="T49" s="361"/>
      <c r="U49" s="361"/>
      <c r="V49" s="361"/>
      <c r="W49" s="361"/>
      <c r="X49" s="361"/>
      <c r="Y49" s="361"/>
      <c r="Z49" s="361"/>
      <c r="AA49" s="361"/>
      <c r="AB49" s="361"/>
      <c r="AC49" s="361"/>
      <c r="AD49" s="361"/>
      <c r="AE49" s="361"/>
      <c r="AF49" s="361"/>
      <c r="AG49" s="361"/>
      <c r="AH49" s="361"/>
      <c r="AI49" s="361"/>
      <c r="AJ49" s="361"/>
      <c r="AK49" s="361"/>
      <c r="AL49" s="361"/>
      <c r="AM49" s="361"/>
      <c r="AN49" s="361"/>
      <c r="AO49" s="361"/>
      <c r="AP49" s="361"/>
      <c r="AQ49" s="361"/>
      <c r="AR49" s="361"/>
      <c r="AS49" s="361"/>
      <c r="AT49" s="361"/>
    </row>
    <row r="50" spans="1:46" s="187" customFormat="1" x14ac:dyDescent="0.15">
      <c r="A50" s="361"/>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row>
    <row r="51" spans="1:46" s="187" customFormat="1" x14ac:dyDescent="0.15">
      <c r="A51" s="361"/>
      <c r="B51" s="361"/>
      <c r="C51" s="361"/>
      <c r="D51" s="361"/>
      <c r="E51" s="361"/>
      <c r="F51" s="361"/>
      <c r="G51" s="361"/>
      <c r="H51" s="361"/>
      <c r="I51" s="361"/>
      <c r="J51" s="361"/>
      <c r="K51" s="361"/>
      <c r="L51" s="361"/>
      <c r="M51" s="361"/>
      <c r="N51" s="361"/>
      <c r="O51" s="361"/>
      <c r="P51" s="361"/>
      <c r="Q51" s="361"/>
      <c r="R51" s="361"/>
      <c r="S51" s="361"/>
      <c r="T51" s="361"/>
      <c r="U51" s="361"/>
      <c r="V51" s="361"/>
      <c r="W51" s="361"/>
      <c r="X51" s="361"/>
      <c r="Y51" s="361"/>
      <c r="Z51" s="361"/>
      <c r="AA51" s="361"/>
      <c r="AB51" s="361"/>
      <c r="AC51" s="361"/>
      <c r="AD51" s="361"/>
      <c r="AE51" s="361"/>
      <c r="AF51" s="361"/>
      <c r="AG51" s="361"/>
      <c r="AH51" s="361"/>
      <c r="AI51" s="361"/>
      <c r="AJ51" s="361"/>
      <c r="AK51" s="361"/>
      <c r="AL51" s="361"/>
      <c r="AM51" s="361"/>
      <c r="AN51" s="361"/>
      <c r="AO51" s="361"/>
      <c r="AP51" s="361"/>
      <c r="AQ51" s="361"/>
      <c r="AR51" s="361"/>
      <c r="AS51" s="361"/>
      <c r="AT51" s="361"/>
    </row>
    <row r="52" spans="1:46" s="187" customFormat="1" x14ac:dyDescent="0.15">
      <c r="A52" s="361"/>
      <c r="B52" s="361"/>
      <c r="C52" s="361"/>
      <c r="D52" s="361"/>
      <c r="E52" s="361"/>
      <c r="F52" s="361"/>
      <c r="G52" s="361"/>
      <c r="H52" s="361"/>
      <c r="I52" s="361"/>
      <c r="J52" s="361"/>
      <c r="K52" s="361"/>
      <c r="L52" s="361"/>
      <c r="M52" s="361"/>
      <c r="N52" s="361"/>
      <c r="O52" s="361"/>
      <c r="P52" s="361"/>
      <c r="Q52" s="361"/>
      <c r="R52" s="361"/>
      <c r="S52" s="361"/>
      <c r="T52" s="361"/>
      <c r="U52" s="361"/>
      <c r="V52" s="361"/>
      <c r="W52" s="361"/>
      <c r="X52" s="361"/>
      <c r="Y52" s="361"/>
      <c r="Z52" s="361"/>
      <c r="AA52" s="361"/>
      <c r="AB52" s="361"/>
      <c r="AC52" s="361"/>
      <c r="AD52" s="361"/>
      <c r="AE52" s="361"/>
      <c r="AF52" s="361"/>
      <c r="AG52" s="361"/>
      <c r="AH52" s="361"/>
      <c r="AI52" s="361"/>
      <c r="AJ52" s="361"/>
      <c r="AK52" s="361"/>
      <c r="AL52" s="361"/>
      <c r="AM52" s="361"/>
      <c r="AN52" s="361"/>
      <c r="AO52" s="361"/>
      <c r="AP52" s="361"/>
      <c r="AQ52" s="361"/>
      <c r="AR52" s="361"/>
      <c r="AS52" s="361"/>
      <c r="AT52" s="361"/>
    </row>
    <row r="53" spans="1:46" s="187" customFormat="1" x14ac:dyDescent="0.15">
      <c r="A53" s="361"/>
      <c r="B53" s="361"/>
      <c r="C53" s="361"/>
      <c r="D53" s="361"/>
      <c r="E53" s="361"/>
      <c r="F53" s="361"/>
      <c r="G53" s="361"/>
      <c r="H53" s="361"/>
      <c r="I53" s="361"/>
      <c r="J53" s="361"/>
      <c r="K53" s="361"/>
      <c r="L53" s="361"/>
      <c r="M53" s="361"/>
      <c r="N53" s="361"/>
      <c r="O53" s="361"/>
      <c r="P53" s="361"/>
      <c r="Q53" s="361"/>
      <c r="R53" s="361"/>
      <c r="S53" s="361"/>
      <c r="T53" s="361"/>
      <c r="U53" s="361"/>
      <c r="V53" s="361"/>
      <c r="W53" s="361"/>
      <c r="X53" s="361"/>
      <c r="Y53" s="361"/>
      <c r="Z53" s="361"/>
      <c r="AA53" s="361"/>
      <c r="AB53" s="361"/>
      <c r="AC53" s="361"/>
      <c r="AD53" s="361"/>
      <c r="AE53" s="361"/>
      <c r="AF53" s="361"/>
      <c r="AG53" s="361"/>
      <c r="AH53" s="361"/>
      <c r="AI53" s="361"/>
      <c r="AJ53" s="361"/>
      <c r="AK53" s="361"/>
      <c r="AL53" s="361"/>
      <c r="AM53" s="361"/>
      <c r="AN53" s="361"/>
      <c r="AO53" s="361"/>
      <c r="AP53" s="361"/>
      <c r="AQ53" s="361"/>
      <c r="AR53" s="361"/>
      <c r="AS53" s="361"/>
      <c r="AT53" s="361"/>
    </row>
    <row r="54" spans="1:46" s="187" customFormat="1" x14ac:dyDescent="0.15">
      <c r="A54" s="361"/>
      <c r="B54" s="361"/>
      <c r="C54" s="361"/>
      <c r="D54" s="361"/>
      <c r="E54" s="361"/>
      <c r="F54" s="361"/>
      <c r="G54" s="361"/>
      <c r="H54" s="361"/>
      <c r="I54" s="361"/>
      <c r="J54" s="361"/>
      <c r="K54" s="361"/>
      <c r="L54" s="361"/>
      <c r="M54" s="361"/>
      <c r="N54" s="361"/>
      <c r="O54" s="361"/>
      <c r="P54" s="361"/>
      <c r="Q54" s="361"/>
      <c r="R54" s="361"/>
      <c r="S54" s="361"/>
      <c r="T54" s="361"/>
      <c r="U54" s="361"/>
      <c r="V54" s="361"/>
      <c r="W54" s="361"/>
      <c r="X54" s="361"/>
      <c r="Y54" s="361"/>
      <c r="Z54" s="361"/>
      <c r="AA54" s="361"/>
      <c r="AB54" s="361"/>
      <c r="AC54" s="361"/>
      <c r="AD54" s="361"/>
      <c r="AE54" s="361"/>
      <c r="AF54" s="361"/>
      <c r="AG54" s="361"/>
      <c r="AH54" s="361"/>
      <c r="AI54" s="361"/>
      <c r="AJ54" s="361"/>
      <c r="AK54" s="361"/>
      <c r="AL54" s="361"/>
      <c r="AM54" s="361"/>
      <c r="AN54" s="361"/>
      <c r="AO54" s="361"/>
      <c r="AP54" s="361"/>
      <c r="AQ54" s="361"/>
      <c r="AR54" s="361"/>
      <c r="AS54" s="361"/>
      <c r="AT54" s="361"/>
    </row>
    <row r="55" spans="1:46" s="187" customFormat="1" x14ac:dyDescent="0.15">
      <c r="A55" s="361"/>
      <c r="B55" s="361"/>
      <c r="C55" s="361"/>
      <c r="D55" s="361"/>
      <c r="E55" s="361"/>
      <c r="F55" s="361"/>
      <c r="G55" s="361"/>
      <c r="H55" s="361"/>
      <c r="I55" s="361"/>
      <c r="J55" s="361"/>
      <c r="K55" s="361"/>
      <c r="L55" s="361"/>
      <c r="M55" s="361"/>
      <c r="N55" s="361"/>
      <c r="O55" s="361"/>
      <c r="P55" s="361"/>
      <c r="Q55" s="361"/>
      <c r="R55" s="361"/>
      <c r="S55" s="361"/>
      <c r="T55" s="361"/>
      <c r="U55" s="361"/>
      <c r="V55" s="361"/>
      <c r="W55" s="361"/>
      <c r="X55" s="361"/>
      <c r="Y55" s="361"/>
      <c r="Z55" s="361"/>
      <c r="AA55" s="361"/>
      <c r="AB55" s="361"/>
      <c r="AC55" s="361"/>
      <c r="AD55" s="361"/>
      <c r="AE55" s="361"/>
      <c r="AF55" s="361"/>
      <c r="AG55" s="361"/>
      <c r="AH55" s="361"/>
      <c r="AI55" s="361"/>
      <c r="AJ55" s="361"/>
      <c r="AK55" s="361"/>
      <c r="AL55" s="361"/>
      <c r="AM55" s="361"/>
      <c r="AN55" s="361"/>
      <c r="AO55" s="361"/>
      <c r="AP55" s="361"/>
      <c r="AQ55" s="361"/>
      <c r="AR55" s="361"/>
      <c r="AS55" s="361"/>
      <c r="AT55" s="361"/>
    </row>
    <row r="56" spans="1:46" s="187" customFormat="1" x14ac:dyDescent="0.15">
      <c r="A56" s="361"/>
      <c r="B56" s="361"/>
      <c r="C56" s="361"/>
      <c r="D56" s="361"/>
      <c r="E56" s="361"/>
      <c r="F56" s="361"/>
      <c r="G56" s="361"/>
      <c r="H56" s="361"/>
      <c r="I56" s="361"/>
      <c r="J56" s="361"/>
      <c r="K56" s="361"/>
      <c r="L56" s="361"/>
      <c r="M56" s="361"/>
      <c r="N56" s="361"/>
      <c r="O56" s="361"/>
      <c r="P56" s="361"/>
      <c r="Q56" s="361"/>
      <c r="R56" s="361"/>
      <c r="S56" s="361"/>
      <c r="T56" s="361"/>
      <c r="U56" s="361"/>
      <c r="V56" s="361"/>
      <c r="W56" s="361"/>
      <c r="X56" s="361"/>
      <c r="Y56" s="361"/>
      <c r="Z56" s="361"/>
      <c r="AA56" s="361"/>
      <c r="AB56" s="361"/>
      <c r="AC56" s="361"/>
      <c r="AD56" s="361"/>
      <c r="AE56" s="361"/>
      <c r="AF56" s="361"/>
      <c r="AG56" s="361"/>
      <c r="AH56" s="361"/>
      <c r="AI56" s="361"/>
      <c r="AJ56" s="361"/>
      <c r="AK56" s="361"/>
      <c r="AL56" s="361"/>
      <c r="AM56" s="361"/>
      <c r="AN56" s="361"/>
      <c r="AO56" s="361"/>
      <c r="AP56" s="361"/>
      <c r="AQ56" s="361"/>
      <c r="AR56" s="361"/>
      <c r="AS56" s="361"/>
      <c r="AT56" s="361"/>
    </row>
    <row r="57" spans="1:46" s="187" customFormat="1" x14ac:dyDescent="0.15">
      <c r="A57" s="361"/>
      <c r="B57" s="361"/>
      <c r="C57" s="361"/>
      <c r="D57" s="361"/>
      <c r="E57" s="361"/>
      <c r="F57" s="361"/>
      <c r="G57" s="361"/>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row>
    <row r="58" spans="1:46" s="187" customFormat="1" x14ac:dyDescent="0.15">
      <c r="A58" s="361"/>
      <c r="B58" s="361"/>
      <c r="C58" s="361"/>
      <c r="D58" s="361"/>
      <c r="E58" s="361"/>
      <c r="F58" s="361"/>
      <c r="G58" s="361"/>
      <c r="H58" s="361"/>
      <c r="I58" s="361"/>
      <c r="J58" s="361"/>
      <c r="K58" s="361"/>
      <c r="L58" s="361"/>
      <c r="M58" s="361"/>
      <c r="N58" s="361"/>
      <c r="O58" s="361"/>
      <c r="P58" s="361"/>
      <c r="Q58" s="361"/>
      <c r="R58" s="361"/>
      <c r="S58" s="361"/>
      <c r="T58" s="361"/>
      <c r="U58" s="361"/>
      <c r="V58" s="361"/>
      <c r="W58" s="361"/>
      <c r="X58" s="361"/>
      <c r="Y58" s="361"/>
      <c r="Z58" s="361"/>
      <c r="AA58" s="361"/>
      <c r="AB58" s="361"/>
      <c r="AC58" s="361"/>
      <c r="AD58" s="361"/>
      <c r="AE58" s="361"/>
      <c r="AF58" s="361"/>
      <c r="AG58" s="361"/>
      <c r="AH58" s="361"/>
      <c r="AI58" s="361"/>
      <c r="AJ58" s="361"/>
      <c r="AK58" s="361"/>
      <c r="AL58" s="361"/>
      <c r="AM58" s="361"/>
      <c r="AN58" s="361"/>
      <c r="AO58" s="361"/>
      <c r="AP58" s="361"/>
      <c r="AQ58" s="361"/>
      <c r="AR58" s="361"/>
      <c r="AS58" s="361"/>
      <c r="AT58" s="361"/>
    </row>
    <row r="59" spans="1:46" s="187" customFormat="1" x14ac:dyDescent="0.15">
      <c r="A59" s="361"/>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361"/>
      <c r="AS59" s="361"/>
      <c r="AT59" s="361"/>
    </row>
    <row r="60" spans="1:46" s="187" customFormat="1" x14ac:dyDescent="0.15">
      <c r="A60" s="361"/>
      <c r="B60" s="361"/>
      <c r="C60" s="361"/>
      <c r="D60" s="361"/>
      <c r="E60" s="361"/>
      <c r="F60" s="361"/>
      <c r="G60" s="361"/>
      <c r="H60" s="361"/>
      <c r="I60" s="361"/>
      <c r="J60" s="361"/>
      <c r="K60" s="361"/>
      <c r="L60" s="361"/>
      <c r="M60" s="361"/>
      <c r="N60" s="361"/>
      <c r="O60" s="361"/>
      <c r="P60" s="361"/>
      <c r="Q60" s="361"/>
      <c r="R60" s="361"/>
      <c r="S60" s="361"/>
      <c r="T60" s="361"/>
      <c r="U60" s="361"/>
      <c r="V60" s="361"/>
      <c r="W60" s="361"/>
      <c r="X60" s="361"/>
      <c r="Y60" s="361"/>
      <c r="Z60" s="361"/>
      <c r="AA60" s="361"/>
      <c r="AB60" s="361"/>
      <c r="AC60" s="361"/>
      <c r="AD60" s="361"/>
      <c r="AE60" s="361"/>
      <c r="AF60" s="361"/>
      <c r="AG60" s="361"/>
      <c r="AH60" s="361"/>
      <c r="AI60" s="361"/>
      <c r="AJ60" s="361"/>
      <c r="AK60" s="361"/>
      <c r="AL60" s="361"/>
      <c r="AM60" s="361"/>
      <c r="AN60" s="361"/>
      <c r="AO60" s="361"/>
      <c r="AP60" s="361"/>
      <c r="AQ60" s="361"/>
      <c r="AR60" s="361"/>
      <c r="AS60" s="361"/>
      <c r="AT60" s="361"/>
    </row>
    <row r="61" spans="1:46" s="187" customFormat="1" x14ac:dyDescent="0.15">
      <c r="A61" s="361"/>
      <c r="B61" s="361"/>
      <c r="C61" s="361"/>
      <c r="D61" s="361"/>
      <c r="E61" s="361"/>
      <c r="F61" s="361"/>
      <c r="G61" s="361"/>
      <c r="H61" s="361"/>
      <c r="I61" s="361"/>
      <c r="J61" s="361"/>
      <c r="K61" s="361"/>
      <c r="L61" s="361"/>
      <c r="M61" s="361"/>
      <c r="N61" s="361"/>
      <c r="O61" s="361"/>
      <c r="P61" s="361"/>
      <c r="Q61" s="361"/>
      <c r="R61" s="361"/>
      <c r="S61" s="361"/>
      <c r="T61" s="361"/>
      <c r="U61" s="361"/>
      <c r="V61" s="361"/>
      <c r="W61" s="361"/>
      <c r="X61" s="361"/>
      <c r="Y61" s="361"/>
      <c r="Z61" s="361"/>
      <c r="AA61" s="361"/>
      <c r="AB61" s="361"/>
      <c r="AC61" s="361"/>
      <c r="AD61" s="361"/>
      <c r="AE61" s="361"/>
      <c r="AF61" s="361"/>
      <c r="AG61" s="361"/>
      <c r="AH61" s="361"/>
      <c r="AI61" s="361"/>
      <c r="AJ61" s="361"/>
      <c r="AK61" s="361"/>
      <c r="AL61" s="361"/>
      <c r="AM61" s="361"/>
      <c r="AN61" s="361"/>
      <c r="AO61" s="361"/>
      <c r="AP61" s="361"/>
      <c r="AQ61" s="361"/>
      <c r="AR61" s="361"/>
      <c r="AS61" s="361"/>
      <c r="AT61" s="361"/>
    </row>
    <row r="62" spans="1:46" s="187" customFormat="1" x14ac:dyDescent="0.15">
      <c r="A62" s="361"/>
      <c r="B62" s="361"/>
      <c r="C62" s="361"/>
      <c r="D62" s="361"/>
      <c r="E62" s="361"/>
      <c r="F62" s="361"/>
      <c r="G62" s="361"/>
      <c r="H62" s="361"/>
      <c r="I62" s="361"/>
      <c r="J62" s="361"/>
      <c r="K62" s="361"/>
      <c r="L62" s="361"/>
      <c r="M62" s="361"/>
      <c r="N62" s="361"/>
      <c r="O62" s="361"/>
      <c r="P62" s="361"/>
      <c r="Q62" s="361"/>
      <c r="R62" s="361"/>
      <c r="S62" s="361"/>
      <c r="T62" s="361"/>
      <c r="U62" s="361"/>
      <c r="V62" s="361"/>
      <c r="W62" s="361"/>
      <c r="X62" s="361"/>
      <c r="Y62" s="361"/>
      <c r="Z62" s="361"/>
      <c r="AA62" s="361"/>
      <c r="AB62" s="361"/>
      <c r="AC62" s="361"/>
      <c r="AD62" s="361"/>
      <c r="AE62" s="361"/>
      <c r="AF62" s="361"/>
      <c r="AG62" s="361"/>
      <c r="AH62" s="361"/>
      <c r="AI62" s="361"/>
      <c r="AJ62" s="361"/>
      <c r="AK62" s="361"/>
      <c r="AL62" s="361"/>
      <c r="AM62" s="361"/>
      <c r="AN62" s="361"/>
      <c r="AO62" s="361"/>
      <c r="AP62" s="361"/>
      <c r="AQ62" s="361"/>
      <c r="AR62" s="361"/>
      <c r="AS62" s="361"/>
      <c r="AT62" s="361"/>
    </row>
    <row r="63" spans="1:46" s="187" customFormat="1" x14ac:dyDescent="0.15"/>
    <row r="64" spans="1:46" s="187" customFormat="1" x14ac:dyDescent="0.15"/>
    <row r="65" s="187" customFormat="1" x14ac:dyDescent="0.15"/>
    <row r="66" s="187" customFormat="1" x14ac:dyDescent="0.15"/>
    <row r="67" s="187" customFormat="1" x14ac:dyDescent="0.15"/>
    <row r="68" s="187" customFormat="1" x14ac:dyDescent="0.15"/>
    <row r="69" s="187" customFormat="1" x14ac:dyDescent="0.15"/>
    <row r="70" s="187" customFormat="1" x14ac:dyDescent="0.15"/>
    <row r="71" s="187" customFormat="1" x14ac:dyDescent="0.15"/>
    <row r="72" s="187" customFormat="1" x14ac:dyDescent="0.15"/>
    <row r="73" s="187" customFormat="1" x14ac:dyDescent="0.15"/>
    <row r="74" s="187" customFormat="1" x14ac:dyDescent="0.15"/>
    <row r="75" s="187" customFormat="1" x14ac:dyDescent="0.15"/>
    <row r="76" s="187" customFormat="1" x14ac:dyDescent="0.15"/>
    <row r="77" s="187" customFormat="1" x14ac:dyDescent="0.15"/>
    <row r="78" s="187" customFormat="1" x14ac:dyDescent="0.15"/>
    <row r="79" s="187" customFormat="1" x14ac:dyDescent="0.15"/>
    <row r="80" s="187" customFormat="1" x14ac:dyDescent="0.15"/>
    <row r="81" s="187" customFormat="1" x14ac:dyDescent="0.15"/>
    <row r="82" s="187" customFormat="1" x14ac:dyDescent="0.15"/>
    <row r="83" s="187" customFormat="1" x14ac:dyDescent="0.15"/>
    <row r="84" s="187" customFormat="1" x14ac:dyDescent="0.15"/>
    <row r="85" s="187" customFormat="1" x14ac:dyDescent="0.15"/>
    <row r="86" s="187" customFormat="1" x14ac:dyDescent="0.15"/>
    <row r="87" s="187" customFormat="1" x14ac:dyDescent="0.15"/>
    <row r="88" s="187" customFormat="1" x14ac:dyDescent="0.15"/>
    <row r="89" s="187" customFormat="1" x14ac:dyDescent="0.15"/>
    <row r="90" s="187" customFormat="1" x14ac:dyDescent="0.15"/>
    <row r="91" s="187" customFormat="1" x14ac:dyDescent="0.15"/>
    <row r="92" s="187" customFormat="1" x14ac:dyDescent="0.15"/>
    <row r="93" s="187" customFormat="1" x14ac:dyDescent="0.15"/>
    <row r="94" s="187" customFormat="1" x14ac:dyDescent="0.15"/>
    <row r="95" s="187" customFormat="1" x14ac:dyDescent="0.15"/>
    <row r="96" s="187" customFormat="1" x14ac:dyDescent="0.15"/>
    <row r="97" s="187" customFormat="1" x14ac:dyDescent="0.15"/>
    <row r="98" s="187" customFormat="1" x14ac:dyDescent="0.15"/>
    <row r="99" s="187" customFormat="1" x14ac:dyDescent="0.15"/>
    <row r="100" s="187" customFormat="1" x14ac:dyDescent="0.15"/>
    <row r="101" s="187" customFormat="1" x14ac:dyDescent="0.15"/>
    <row r="102" s="187" customFormat="1" x14ac:dyDescent="0.15"/>
    <row r="103" s="187" customFormat="1" x14ac:dyDescent="0.15"/>
    <row r="104" s="187" customFormat="1" x14ac:dyDescent="0.15"/>
    <row r="105" s="187" customFormat="1" x14ac:dyDescent="0.15"/>
    <row r="106" s="187" customFormat="1" x14ac:dyDescent="0.15"/>
    <row r="107" s="187" customFormat="1" x14ac:dyDescent="0.15"/>
    <row r="108" s="187" customFormat="1" x14ac:dyDescent="0.15"/>
    <row r="109" s="187" customFormat="1" x14ac:dyDescent="0.15"/>
    <row r="110" s="187" customFormat="1" x14ac:dyDescent="0.15"/>
    <row r="111" s="187" customFormat="1" x14ac:dyDescent="0.15"/>
    <row r="112" s="187" customFormat="1" x14ac:dyDescent="0.15"/>
    <row r="113" s="187" customFormat="1" x14ac:dyDescent="0.15"/>
    <row r="114" s="187" customFormat="1" x14ac:dyDescent="0.15"/>
    <row r="115" s="187" customFormat="1" x14ac:dyDescent="0.15"/>
    <row r="116" s="187" customFormat="1" x14ac:dyDescent="0.15"/>
    <row r="117" s="187" customFormat="1" x14ac:dyDescent="0.15"/>
    <row r="118" s="187" customFormat="1" x14ac:dyDescent="0.15"/>
    <row r="119" s="187" customFormat="1" x14ac:dyDescent="0.15"/>
    <row r="120" s="187" customFormat="1" x14ac:dyDescent="0.15"/>
    <row r="121" s="187" customFormat="1" x14ac:dyDescent="0.15"/>
    <row r="122" s="187" customFormat="1" x14ac:dyDescent="0.15"/>
    <row r="123" s="187" customFormat="1" x14ac:dyDescent="0.15"/>
    <row r="124" s="187" customFormat="1" x14ac:dyDescent="0.15"/>
    <row r="125" s="187" customFormat="1" x14ac:dyDescent="0.15"/>
    <row r="126" s="187" customFormat="1" x14ac:dyDescent="0.15"/>
    <row r="127" s="187" customFormat="1" x14ac:dyDescent="0.15"/>
    <row r="128" s="187" customFormat="1" x14ac:dyDescent="0.15"/>
    <row r="129" s="187" customFormat="1" x14ac:dyDescent="0.15"/>
    <row r="130" s="187" customFormat="1" x14ac:dyDescent="0.15"/>
    <row r="131" s="187" customFormat="1" x14ac:dyDescent="0.15"/>
    <row r="132" s="187" customFormat="1" x14ac:dyDescent="0.15"/>
    <row r="133" s="187" customFormat="1" x14ac:dyDescent="0.15"/>
    <row r="134" s="187" customFormat="1" x14ac:dyDescent="0.15"/>
    <row r="135" s="187" customFormat="1" x14ac:dyDescent="0.15"/>
    <row r="136" s="187" customFormat="1" x14ac:dyDescent="0.15"/>
    <row r="137" s="187" customFormat="1" x14ac:dyDescent="0.15"/>
    <row r="138" s="187" customFormat="1" x14ac:dyDescent="0.15"/>
    <row r="139" s="187" customFormat="1" x14ac:dyDescent="0.15"/>
    <row r="140" s="187" customFormat="1" x14ac:dyDescent="0.15"/>
    <row r="141" s="187" customFormat="1" x14ac:dyDescent="0.15"/>
    <row r="142" s="187" customFormat="1" x14ac:dyDescent="0.15"/>
    <row r="143" s="187" customFormat="1" x14ac:dyDescent="0.15"/>
    <row r="144" s="187" customFormat="1" x14ac:dyDescent="0.15"/>
    <row r="145" s="187" customFormat="1" x14ac:dyDescent="0.15"/>
    <row r="146" s="187" customFormat="1" x14ac:dyDescent="0.15"/>
    <row r="147" s="187" customFormat="1" x14ac:dyDescent="0.15"/>
    <row r="148" s="187" customFormat="1" x14ac:dyDescent="0.15"/>
    <row r="149" s="187" customFormat="1" x14ac:dyDescent="0.15"/>
    <row r="150" s="187" customFormat="1" x14ac:dyDescent="0.15"/>
    <row r="151" s="187" customFormat="1" x14ac:dyDescent="0.15"/>
    <row r="152" s="187" customFormat="1" x14ac:dyDescent="0.15"/>
    <row r="153" s="187" customFormat="1" x14ac:dyDescent="0.15"/>
    <row r="154" s="187" customFormat="1" x14ac:dyDescent="0.15"/>
    <row r="155" s="187" customFormat="1" x14ac:dyDescent="0.15"/>
    <row r="156" s="187" customFormat="1" x14ac:dyDescent="0.15"/>
    <row r="157" s="187" customFormat="1" x14ac:dyDescent="0.15"/>
    <row r="158" s="187" customFormat="1" x14ac:dyDescent="0.15"/>
    <row r="159" s="187" customFormat="1" x14ac:dyDescent="0.15"/>
    <row r="160" s="187" customFormat="1" x14ac:dyDescent="0.15"/>
    <row r="161" s="187" customFormat="1" x14ac:dyDescent="0.15"/>
    <row r="162" s="187" customFormat="1" x14ac:dyDescent="0.15"/>
    <row r="163" s="187" customFormat="1" x14ac:dyDescent="0.15"/>
    <row r="164" s="187" customFormat="1" x14ac:dyDescent="0.15"/>
    <row r="165" s="187" customFormat="1" x14ac:dyDescent="0.15"/>
    <row r="166" s="187" customFormat="1" x14ac:dyDescent="0.15"/>
    <row r="167" s="187" customFormat="1" x14ac:dyDescent="0.15"/>
    <row r="168" s="187" customFormat="1" x14ac:dyDescent="0.15"/>
    <row r="169" s="187" customFormat="1" x14ac:dyDescent="0.15"/>
    <row r="170" s="187" customFormat="1" x14ac:dyDescent="0.15"/>
    <row r="171" s="187" customFormat="1" x14ac:dyDescent="0.15"/>
    <row r="172" s="187" customFormat="1" x14ac:dyDescent="0.15"/>
    <row r="173" s="187" customFormat="1" x14ac:dyDescent="0.15"/>
    <row r="174" s="187" customFormat="1" x14ac:dyDescent="0.15"/>
    <row r="175" s="187" customFormat="1" x14ac:dyDescent="0.15"/>
    <row r="176" s="187" customFormat="1" x14ac:dyDescent="0.15"/>
    <row r="177" s="187" customFormat="1" x14ac:dyDescent="0.15"/>
    <row r="178" s="187" customFormat="1" x14ac:dyDescent="0.15"/>
    <row r="179" s="187" customFormat="1" x14ac:dyDescent="0.15"/>
    <row r="180" s="187" customFormat="1" x14ac:dyDescent="0.15"/>
    <row r="181" s="187" customFormat="1" x14ac:dyDescent="0.15"/>
    <row r="182" s="187" customFormat="1" x14ac:dyDescent="0.15"/>
    <row r="183" s="187" customFormat="1" x14ac:dyDescent="0.15"/>
    <row r="184" s="187" customFormat="1" x14ac:dyDescent="0.15"/>
    <row r="185" s="187" customFormat="1" x14ac:dyDescent="0.15"/>
    <row r="186" s="187" customFormat="1" x14ac:dyDescent="0.15"/>
    <row r="187" s="187" customFormat="1" x14ac:dyDescent="0.15"/>
    <row r="188" s="187" customFormat="1" x14ac:dyDescent="0.15"/>
    <row r="189" s="187" customFormat="1" x14ac:dyDescent="0.15"/>
    <row r="190" s="187" customFormat="1" x14ac:dyDescent="0.15"/>
    <row r="191" s="187" customFormat="1" x14ac:dyDescent="0.15"/>
    <row r="192" s="187" customFormat="1" x14ac:dyDescent="0.15"/>
    <row r="193" s="187" customFormat="1" x14ac:dyDescent="0.15"/>
    <row r="194" s="187" customFormat="1" x14ac:dyDescent="0.15"/>
    <row r="195" s="187" customFormat="1" x14ac:dyDescent="0.15"/>
    <row r="196" s="187" customFormat="1" x14ac:dyDescent="0.15"/>
    <row r="197" s="187" customFormat="1" x14ac:dyDescent="0.15"/>
    <row r="198" s="187" customFormat="1" x14ac:dyDescent="0.15"/>
    <row r="199" s="187" customFormat="1" x14ac:dyDescent="0.15"/>
    <row r="200" s="187" customFormat="1" x14ac:dyDescent="0.15"/>
    <row r="201" s="187" customFormat="1" x14ac:dyDescent="0.15"/>
    <row r="202" s="187" customFormat="1" x14ac:dyDescent="0.15"/>
    <row r="203" s="187" customFormat="1" x14ac:dyDescent="0.15"/>
    <row r="204" s="187" customFormat="1" x14ac:dyDescent="0.15"/>
    <row r="205" s="187" customFormat="1" x14ac:dyDescent="0.15"/>
    <row r="206" s="187" customFormat="1" x14ac:dyDescent="0.15"/>
    <row r="207" s="187" customFormat="1" x14ac:dyDescent="0.15"/>
    <row r="208" s="187" customFormat="1" x14ac:dyDescent="0.15"/>
    <row r="209" s="187" customFormat="1" x14ac:dyDescent="0.15"/>
    <row r="210" s="187" customFormat="1" x14ac:dyDescent="0.15"/>
    <row r="211" s="187" customFormat="1" x14ac:dyDescent="0.15"/>
    <row r="212" s="187" customFormat="1" x14ac:dyDescent="0.15"/>
    <row r="213" s="187" customFormat="1" x14ac:dyDescent="0.15"/>
    <row r="214" s="187" customFormat="1" x14ac:dyDescent="0.15"/>
    <row r="215" s="187" customFormat="1" x14ac:dyDescent="0.15"/>
    <row r="216" s="187" customFormat="1" x14ac:dyDescent="0.15"/>
    <row r="217" s="187" customFormat="1" x14ac:dyDescent="0.15"/>
    <row r="218" s="187" customFormat="1" x14ac:dyDescent="0.15"/>
    <row r="219" s="187" customFormat="1" x14ac:dyDescent="0.15"/>
    <row r="220" s="187" customFormat="1" x14ac:dyDescent="0.15"/>
    <row r="221" s="187" customFormat="1" x14ac:dyDescent="0.15"/>
    <row r="222" s="187" customFormat="1" x14ac:dyDescent="0.15"/>
    <row r="223" s="187" customFormat="1" x14ac:dyDescent="0.15"/>
    <row r="224" s="187" customFormat="1" x14ac:dyDescent="0.15"/>
    <row r="225" s="187" customFormat="1" x14ac:dyDescent="0.15"/>
    <row r="226" s="187" customFormat="1" x14ac:dyDescent="0.15"/>
    <row r="227" s="187" customFormat="1" x14ac:dyDescent="0.15"/>
    <row r="228" s="187" customFormat="1" x14ac:dyDescent="0.15"/>
    <row r="229" s="187" customFormat="1" x14ac:dyDescent="0.15"/>
    <row r="230" s="187" customFormat="1" x14ac:dyDescent="0.15"/>
    <row r="231" s="187" customFormat="1" x14ac:dyDescent="0.15"/>
    <row r="232" s="187" customFormat="1" x14ac:dyDescent="0.15"/>
    <row r="233" s="187" customFormat="1" x14ac:dyDescent="0.15"/>
    <row r="234" s="187" customFormat="1" x14ac:dyDescent="0.15"/>
    <row r="235" s="187" customFormat="1" x14ac:dyDescent="0.15"/>
    <row r="236" s="187" customFormat="1" x14ac:dyDescent="0.15"/>
    <row r="237" s="187" customFormat="1" x14ac:dyDescent="0.15"/>
    <row r="238" s="187" customFormat="1" x14ac:dyDescent="0.15"/>
    <row r="239" s="187" customFormat="1" x14ac:dyDescent="0.15"/>
    <row r="240" s="187" customFormat="1" x14ac:dyDescent="0.15"/>
    <row r="241" s="187" customFormat="1" x14ac:dyDescent="0.15"/>
    <row r="242" s="187" customFormat="1" x14ac:dyDescent="0.15"/>
    <row r="243" s="187" customFormat="1" x14ac:dyDescent="0.15"/>
    <row r="244" s="187" customFormat="1" x14ac:dyDescent="0.15"/>
    <row r="245" s="187" customFormat="1" x14ac:dyDescent="0.15"/>
    <row r="246" s="187" customFormat="1" x14ac:dyDescent="0.15"/>
    <row r="247" s="187" customFormat="1" x14ac:dyDescent="0.15"/>
    <row r="248" s="187" customFormat="1" x14ac:dyDescent="0.15"/>
    <row r="249" s="187" customFormat="1" x14ac:dyDescent="0.15"/>
    <row r="250" s="187" customFormat="1" x14ac:dyDescent="0.15"/>
    <row r="251" s="187" customFormat="1" x14ac:dyDescent="0.15"/>
    <row r="252" s="187" customFormat="1" x14ac:dyDescent="0.15"/>
    <row r="253" s="187" customFormat="1" x14ac:dyDescent="0.15"/>
    <row r="254" s="187" customFormat="1" x14ac:dyDescent="0.15"/>
    <row r="255" s="187" customFormat="1" x14ac:dyDescent="0.15"/>
    <row r="256" s="187" customFormat="1" x14ac:dyDescent="0.15"/>
    <row r="257" s="187" customFormat="1" x14ac:dyDescent="0.15"/>
    <row r="258" s="187" customFormat="1" x14ac:dyDescent="0.15"/>
    <row r="259" s="187" customFormat="1" x14ac:dyDescent="0.15"/>
    <row r="260" s="187" customFormat="1" x14ac:dyDescent="0.15"/>
    <row r="261" s="187" customFormat="1" x14ac:dyDescent="0.15"/>
    <row r="262" s="187" customFormat="1" x14ac:dyDescent="0.15"/>
    <row r="263" s="187" customFormat="1" x14ac:dyDescent="0.15"/>
    <row r="264" s="187" customFormat="1" x14ac:dyDescent="0.15"/>
    <row r="265" s="187" customFormat="1" x14ac:dyDescent="0.15"/>
    <row r="266" s="187" customFormat="1" x14ac:dyDescent="0.15"/>
    <row r="267" s="187" customFormat="1" x14ac:dyDescent="0.15"/>
    <row r="268" s="187" customFormat="1" x14ac:dyDescent="0.15"/>
    <row r="269" s="187" customFormat="1" x14ac:dyDescent="0.15"/>
    <row r="270" s="187" customFormat="1" x14ac:dyDescent="0.15"/>
    <row r="271" s="187" customFormat="1" x14ac:dyDescent="0.15"/>
    <row r="272" s="187" customFormat="1" x14ac:dyDescent="0.15"/>
    <row r="273" s="187" customFormat="1" x14ac:dyDescent="0.15"/>
    <row r="274" s="187" customFormat="1" x14ac:dyDescent="0.15"/>
    <row r="275" s="187" customFormat="1" x14ac:dyDescent="0.15"/>
    <row r="276" s="187" customFormat="1" x14ac:dyDescent="0.15"/>
    <row r="277" s="187" customFormat="1" x14ac:dyDescent="0.15"/>
    <row r="278" s="187" customFormat="1" x14ac:dyDescent="0.15"/>
    <row r="279" s="187" customFormat="1" x14ac:dyDescent="0.15"/>
    <row r="280" s="187" customFormat="1" x14ac:dyDescent="0.15"/>
    <row r="281" s="187" customFormat="1" x14ac:dyDescent="0.15"/>
    <row r="282" s="187" customFormat="1" x14ac:dyDescent="0.15"/>
    <row r="283" s="187" customFormat="1" x14ac:dyDescent="0.15"/>
    <row r="284" s="187" customFormat="1" x14ac:dyDescent="0.15"/>
    <row r="285" s="187" customFormat="1" x14ac:dyDescent="0.15"/>
    <row r="286" s="187" customFormat="1" x14ac:dyDescent="0.15"/>
    <row r="287" s="187" customFormat="1" x14ac:dyDescent="0.15"/>
    <row r="288" s="187" customFormat="1" x14ac:dyDescent="0.15"/>
    <row r="289" s="187" customFormat="1" x14ac:dyDescent="0.15"/>
    <row r="290" s="187" customFormat="1" x14ac:dyDescent="0.15"/>
    <row r="291" s="187" customFormat="1" x14ac:dyDescent="0.15"/>
    <row r="292" s="187" customFormat="1" x14ac:dyDescent="0.15"/>
    <row r="293" s="187" customFormat="1" x14ac:dyDescent="0.15"/>
    <row r="294" s="187" customFormat="1" x14ac:dyDescent="0.15"/>
    <row r="295" s="187" customFormat="1" x14ac:dyDescent="0.15"/>
    <row r="296" s="187" customFormat="1" x14ac:dyDescent="0.15"/>
    <row r="297" s="187" customFormat="1" x14ac:dyDescent="0.15"/>
    <row r="298" s="187" customFormat="1" x14ac:dyDescent="0.15"/>
    <row r="299" s="187" customFormat="1" x14ac:dyDescent="0.15"/>
    <row r="300" s="187" customFormat="1" x14ac:dyDescent="0.15"/>
    <row r="301" s="187" customFormat="1" x14ac:dyDescent="0.15"/>
    <row r="302" s="187" customFormat="1" x14ac:dyDescent="0.15"/>
    <row r="303" s="187" customFormat="1" x14ac:dyDescent="0.15"/>
    <row r="304" s="187" customFormat="1" x14ac:dyDescent="0.15"/>
    <row r="305" s="187" customFormat="1" x14ac:dyDescent="0.15"/>
    <row r="306" s="187" customFormat="1" x14ac:dyDescent="0.15"/>
    <row r="307" s="187" customFormat="1" x14ac:dyDescent="0.15"/>
    <row r="308" s="187" customFormat="1" x14ac:dyDescent="0.15"/>
    <row r="309" s="187" customFormat="1" x14ac:dyDescent="0.15"/>
    <row r="310" s="187" customFormat="1" x14ac:dyDescent="0.15"/>
    <row r="311" s="187" customFormat="1" x14ac:dyDescent="0.15"/>
    <row r="312" s="187" customFormat="1" x14ac:dyDescent="0.15"/>
    <row r="313" s="187" customFormat="1" x14ac:dyDescent="0.15"/>
    <row r="314" s="187" customFormat="1" x14ac:dyDescent="0.15"/>
    <row r="315" s="187" customFormat="1" x14ac:dyDescent="0.15"/>
    <row r="316" s="187" customFormat="1" x14ac:dyDescent="0.15"/>
    <row r="317" s="187" customFormat="1" x14ac:dyDescent="0.15"/>
    <row r="318" s="187" customFormat="1" x14ac:dyDescent="0.15"/>
    <row r="319" s="187" customFormat="1" x14ac:dyDescent="0.15"/>
    <row r="320" s="187" customFormat="1" x14ac:dyDescent="0.15"/>
    <row r="321" s="187" customFormat="1" x14ac:dyDescent="0.15"/>
    <row r="322" s="187" customFormat="1" x14ac:dyDescent="0.15"/>
    <row r="323" s="187" customFormat="1" x14ac:dyDescent="0.15"/>
    <row r="324" s="187" customFormat="1" x14ac:dyDescent="0.15"/>
    <row r="325" s="187" customFormat="1" x14ac:dyDescent="0.15"/>
    <row r="326" s="187" customFormat="1" x14ac:dyDescent="0.15"/>
    <row r="327" s="187" customFormat="1" x14ac:dyDescent="0.15"/>
    <row r="328" s="187" customFormat="1" x14ac:dyDescent="0.15"/>
    <row r="329" s="187" customFormat="1" x14ac:dyDescent="0.15"/>
    <row r="330" s="187" customFormat="1" x14ac:dyDescent="0.15"/>
    <row r="331" s="187" customFormat="1" x14ac:dyDescent="0.15"/>
    <row r="332" s="187" customFormat="1" x14ac:dyDescent="0.15"/>
    <row r="333" s="187" customFormat="1" x14ac:dyDescent="0.15"/>
    <row r="334" s="187" customFormat="1" x14ac:dyDescent="0.15"/>
    <row r="335" s="187" customFormat="1" x14ac:dyDescent="0.15"/>
    <row r="336" s="187" customFormat="1" x14ac:dyDescent="0.15"/>
    <row r="337" s="187" customFormat="1" x14ac:dyDescent="0.15"/>
    <row r="338" s="187" customFormat="1" x14ac:dyDescent="0.15"/>
    <row r="339" s="187" customFormat="1" x14ac:dyDescent="0.15"/>
    <row r="340" s="187" customFormat="1" x14ac:dyDescent="0.15"/>
    <row r="341" s="187" customFormat="1" x14ac:dyDescent="0.15"/>
    <row r="342" s="187" customFormat="1" x14ac:dyDescent="0.15"/>
    <row r="343" s="187" customFormat="1" x14ac:dyDescent="0.15"/>
    <row r="344" s="187" customFormat="1" x14ac:dyDescent="0.15"/>
    <row r="345" s="187" customFormat="1" x14ac:dyDescent="0.15"/>
    <row r="346" s="187" customFormat="1" x14ac:dyDescent="0.15"/>
    <row r="347" s="187" customFormat="1" x14ac:dyDescent="0.15"/>
    <row r="348" s="187" customFormat="1" x14ac:dyDescent="0.15"/>
    <row r="349" s="187" customFormat="1" x14ac:dyDescent="0.15"/>
    <row r="350" s="187" customFormat="1" x14ac:dyDescent="0.15"/>
    <row r="351" s="187" customFormat="1" x14ac:dyDescent="0.15"/>
    <row r="352" s="187" customFormat="1" x14ac:dyDescent="0.15"/>
    <row r="353" s="187" customFormat="1" x14ac:dyDescent="0.15"/>
    <row r="354" s="187" customFormat="1" x14ac:dyDescent="0.15"/>
    <row r="355" s="187" customFormat="1" x14ac:dyDescent="0.15"/>
    <row r="356" s="187" customFormat="1" x14ac:dyDescent="0.15"/>
    <row r="357" s="187" customFormat="1" x14ac:dyDescent="0.15"/>
    <row r="358" s="187" customFormat="1" x14ac:dyDescent="0.15"/>
    <row r="359" s="187" customFormat="1" x14ac:dyDescent="0.15"/>
    <row r="360" s="187" customFormat="1" x14ac:dyDescent="0.15"/>
    <row r="361" s="187" customFormat="1" x14ac:dyDescent="0.15"/>
    <row r="362" s="187" customFormat="1" x14ac:dyDescent="0.15"/>
    <row r="363" s="187" customFormat="1" x14ac:dyDescent="0.15"/>
    <row r="364" s="187" customFormat="1" x14ac:dyDescent="0.15"/>
    <row r="365" s="187" customFormat="1" x14ac:dyDescent="0.15"/>
    <row r="366" s="187" customFormat="1" x14ac:dyDescent="0.15"/>
    <row r="367" s="187" customFormat="1" x14ac:dyDescent="0.15"/>
    <row r="368" s="187" customFormat="1" x14ac:dyDescent="0.15"/>
    <row r="369" s="187" customFormat="1" x14ac:dyDescent="0.15"/>
    <row r="370" s="187" customFormat="1" x14ac:dyDescent="0.15"/>
    <row r="371" s="187" customFormat="1" x14ac:dyDescent="0.15"/>
    <row r="372" s="187" customFormat="1" x14ac:dyDescent="0.15"/>
    <row r="373" s="187" customFormat="1" x14ac:dyDescent="0.15"/>
    <row r="374" s="187" customFormat="1" x14ac:dyDescent="0.15"/>
    <row r="375" s="187" customFormat="1" x14ac:dyDescent="0.15"/>
    <row r="376" s="187" customFormat="1" x14ac:dyDescent="0.15"/>
    <row r="377" s="187" customFormat="1" x14ac:dyDescent="0.15"/>
    <row r="378" s="187" customFormat="1" x14ac:dyDescent="0.15"/>
    <row r="379" s="187" customFormat="1" x14ac:dyDescent="0.15"/>
    <row r="380" s="187" customFormat="1" x14ac:dyDescent="0.15"/>
    <row r="381" s="187" customFormat="1" x14ac:dyDescent="0.15"/>
    <row r="382" s="187" customFormat="1" x14ac:dyDescent="0.15"/>
    <row r="383" s="187" customFormat="1" x14ac:dyDescent="0.15"/>
    <row r="384" s="187" customFormat="1" x14ac:dyDescent="0.15"/>
    <row r="385" s="187" customFormat="1" x14ac:dyDescent="0.15"/>
    <row r="386" s="187" customFormat="1" x14ac:dyDescent="0.15"/>
    <row r="387" s="187" customFormat="1" x14ac:dyDescent="0.15"/>
    <row r="388" s="187" customFormat="1" x14ac:dyDescent="0.15"/>
    <row r="389" s="187" customFormat="1" x14ac:dyDescent="0.15"/>
    <row r="390" s="187" customFormat="1" x14ac:dyDescent="0.15"/>
    <row r="391" s="187" customFormat="1" x14ac:dyDescent="0.15"/>
    <row r="392" s="187" customFormat="1" x14ac:dyDescent="0.15"/>
    <row r="393" s="187" customFormat="1" x14ac:dyDescent="0.15"/>
    <row r="394" s="187" customFormat="1" x14ac:dyDescent="0.15"/>
    <row r="395" s="187" customFormat="1" x14ac:dyDescent="0.15"/>
    <row r="396" s="187" customFormat="1" x14ac:dyDescent="0.15"/>
    <row r="397" s="187" customFormat="1" x14ac:dyDescent="0.15"/>
    <row r="398" s="187" customFormat="1" x14ac:dyDescent="0.15"/>
    <row r="399" s="187" customFormat="1" x14ac:dyDescent="0.15"/>
    <row r="400" s="187" customFormat="1" x14ac:dyDescent="0.15"/>
    <row r="401" s="187" customFormat="1" x14ac:dyDescent="0.15"/>
    <row r="402" s="187" customFormat="1" x14ac:dyDescent="0.15"/>
    <row r="403" s="187" customFormat="1" x14ac:dyDescent="0.15"/>
    <row r="404" s="187" customFormat="1" x14ac:dyDescent="0.15"/>
    <row r="405" s="187" customFormat="1" x14ac:dyDescent="0.15"/>
    <row r="406" s="187" customFormat="1" x14ac:dyDescent="0.15"/>
    <row r="407" s="187" customFormat="1" x14ac:dyDescent="0.15"/>
    <row r="408" s="187" customFormat="1" x14ac:dyDescent="0.15"/>
    <row r="409" s="187" customFormat="1" x14ac:dyDescent="0.15"/>
    <row r="410" s="187" customFormat="1" x14ac:dyDescent="0.15"/>
    <row r="411" s="187" customFormat="1" x14ac:dyDescent="0.15"/>
    <row r="412" s="187" customFormat="1" x14ac:dyDescent="0.15"/>
    <row r="413" s="187" customFormat="1" x14ac:dyDescent="0.15"/>
    <row r="414" s="187" customFormat="1" x14ac:dyDescent="0.15"/>
    <row r="415" s="187" customFormat="1" x14ac:dyDescent="0.15"/>
    <row r="416" s="187" customFormat="1" x14ac:dyDescent="0.15"/>
    <row r="417" s="187" customFormat="1" x14ac:dyDescent="0.15"/>
    <row r="418" s="187" customFormat="1" x14ac:dyDescent="0.15"/>
    <row r="419" s="187" customFormat="1" x14ac:dyDescent="0.15"/>
    <row r="420" s="187" customFormat="1" x14ac:dyDescent="0.15"/>
    <row r="421" s="187" customFormat="1" x14ac:dyDescent="0.15"/>
    <row r="422" s="187" customFormat="1" x14ac:dyDescent="0.15"/>
    <row r="423" s="187" customFormat="1" x14ac:dyDescent="0.15"/>
    <row r="424" s="187" customFormat="1" x14ac:dyDescent="0.15"/>
    <row r="425" s="187" customFormat="1" x14ac:dyDescent="0.15"/>
    <row r="426" s="187" customFormat="1" x14ac:dyDescent="0.15"/>
    <row r="427" s="187" customFormat="1" x14ac:dyDescent="0.15"/>
    <row r="428" s="187" customFormat="1" x14ac:dyDescent="0.15"/>
    <row r="429" s="187" customFormat="1" x14ac:dyDescent="0.15"/>
    <row r="430" s="187" customFormat="1" x14ac:dyDescent="0.15"/>
    <row r="431" s="187" customFormat="1" x14ac:dyDescent="0.15"/>
    <row r="432" s="187" customFormat="1" x14ac:dyDescent="0.15"/>
    <row r="433" s="187" customFormat="1" x14ac:dyDescent="0.15"/>
    <row r="434" s="187" customFormat="1" x14ac:dyDescent="0.15"/>
    <row r="435" s="187" customFormat="1" x14ac:dyDescent="0.15"/>
    <row r="436" s="187" customFormat="1" x14ac:dyDescent="0.15"/>
    <row r="437" s="187" customFormat="1" x14ac:dyDescent="0.15"/>
    <row r="438" s="187" customFormat="1" x14ac:dyDescent="0.15"/>
    <row r="439" s="187" customFormat="1" x14ac:dyDescent="0.15"/>
    <row r="440" s="187" customFormat="1" x14ac:dyDescent="0.15"/>
    <row r="441" s="187" customFormat="1" x14ac:dyDescent="0.15"/>
    <row r="442" s="187" customFormat="1" x14ac:dyDescent="0.15"/>
    <row r="443" s="187" customFormat="1" x14ac:dyDescent="0.15"/>
    <row r="444" s="187" customFormat="1" x14ac:dyDescent="0.15"/>
    <row r="445" s="187" customFormat="1" x14ac:dyDescent="0.15"/>
    <row r="446" s="187" customFormat="1" x14ac:dyDescent="0.15"/>
    <row r="447" s="187" customFormat="1" x14ac:dyDescent="0.15"/>
    <row r="448" s="187" customFormat="1" x14ac:dyDescent="0.15"/>
    <row r="449" s="187" customFormat="1" x14ac:dyDescent="0.15"/>
    <row r="450" s="187" customFormat="1" x14ac:dyDescent="0.15"/>
    <row r="451" s="187" customFormat="1" x14ac:dyDescent="0.15"/>
    <row r="452" s="187" customFormat="1" x14ac:dyDescent="0.15"/>
    <row r="453" s="187" customFormat="1" x14ac:dyDescent="0.15"/>
    <row r="454" s="187" customFormat="1" x14ac:dyDescent="0.15"/>
    <row r="455" s="187" customFormat="1" x14ac:dyDescent="0.15"/>
    <row r="456" s="187" customFormat="1" x14ac:dyDescent="0.15"/>
    <row r="457" s="187" customFormat="1" x14ac:dyDescent="0.15"/>
    <row r="458" s="187" customFormat="1" x14ac:dyDescent="0.15"/>
    <row r="459" s="187" customFormat="1" x14ac:dyDescent="0.15"/>
    <row r="460" s="187" customFormat="1" x14ac:dyDescent="0.15"/>
    <row r="461" s="187" customFormat="1" x14ac:dyDescent="0.15"/>
    <row r="462" s="187" customFormat="1" x14ac:dyDescent="0.15"/>
    <row r="463" s="187" customFormat="1" x14ac:dyDescent="0.15"/>
    <row r="464" s="187" customFormat="1" x14ac:dyDescent="0.15"/>
    <row r="465" s="187" customFormat="1" x14ac:dyDescent="0.15"/>
    <row r="466" s="187" customFormat="1" x14ac:dyDescent="0.15"/>
    <row r="467" s="187" customFormat="1" x14ac:dyDescent="0.15"/>
    <row r="468" s="187" customFormat="1" x14ac:dyDescent="0.15"/>
    <row r="469" s="187" customFormat="1" x14ac:dyDescent="0.15"/>
    <row r="470" s="187" customFormat="1" x14ac:dyDescent="0.15"/>
    <row r="471" s="187" customFormat="1" x14ac:dyDescent="0.15"/>
    <row r="472" s="187" customFormat="1" x14ac:dyDescent="0.15"/>
    <row r="473" s="187" customFormat="1" x14ac:dyDescent="0.15"/>
    <row r="474" s="187" customFormat="1" x14ac:dyDescent="0.15"/>
    <row r="475" s="187" customFormat="1" x14ac:dyDescent="0.15"/>
    <row r="476" s="187" customFormat="1" x14ac:dyDescent="0.15"/>
    <row r="477" s="187" customFormat="1" x14ac:dyDescent="0.15"/>
    <row r="478" s="187" customFormat="1" x14ac:dyDescent="0.15"/>
    <row r="479" s="187" customFormat="1" x14ac:dyDescent="0.15"/>
    <row r="480" s="187" customFormat="1" x14ac:dyDescent="0.15"/>
    <row r="481" s="187" customFormat="1" x14ac:dyDescent="0.15"/>
    <row r="482" s="187" customFormat="1" x14ac:dyDescent="0.15"/>
    <row r="483" s="187" customFormat="1" x14ac:dyDescent="0.15"/>
    <row r="484" s="187" customFormat="1" x14ac:dyDescent="0.15"/>
    <row r="485" s="187" customFormat="1" x14ac:dyDescent="0.15"/>
    <row r="486" s="187" customFormat="1" x14ac:dyDescent="0.15"/>
    <row r="487" s="187" customFormat="1" x14ac:dyDescent="0.15"/>
    <row r="488" s="187" customFormat="1" x14ac:dyDescent="0.15"/>
    <row r="489" s="187" customFormat="1" x14ac:dyDescent="0.15"/>
    <row r="490" s="187" customFormat="1" x14ac:dyDescent="0.15"/>
    <row r="491" s="187" customFormat="1" x14ac:dyDescent="0.15"/>
    <row r="492" s="187" customFormat="1" x14ac:dyDescent="0.15"/>
    <row r="493" s="187" customFormat="1" x14ac:dyDescent="0.15"/>
    <row r="494" s="187" customFormat="1" x14ac:dyDescent="0.15"/>
    <row r="495" s="187" customFormat="1" x14ac:dyDescent="0.15"/>
    <row r="496" s="187" customFormat="1" x14ac:dyDescent="0.15"/>
    <row r="497" s="187" customFormat="1" x14ac:dyDescent="0.15"/>
    <row r="498" s="187" customFormat="1" x14ac:dyDescent="0.15"/>
    <row r="499" s="187" customFormat="1" x14ac:dyDescent="0.15"/>
    <row r="500" s="187" customFormat="1" x14ac:dyDescent="0.15"/>
    <row r="501" s="187" customFormat="1" x14ac:dyDescent="0.15"/>
    <row r="502" s="187" customFormat="1" x14ac:dyDescent="0.15"/>
    <row r="503" s="187" customFormat="1" x14ac:dyDescent="0.15"/>
    <row r="504" s="187" customFormat="1" x14ac:dyDescent="0.15"/>
    <row r="505" s="187" customFormat="1" x14ac:dyDescent="0.15"/>
    <row r="506" s="187" customFormat="1" x14ac:dyDescent="0.15"/>
    <row r="507" s="187" customFormat="1" x14ac:dyDescent="0.15"/>
    <row r="508" s="187" customFormat="1" x14ac:dyDescent="0.15"/>
    <row r="509" s="187" customFormat="1" x14ac:dyDescent="0.15"/>
    <row r="510" s="187" customFormat="1" x14ac:dyDescent="0.15"/>
    <row r="511" s="187" customFormat="1" x14ac:dyDescent="0.15"/>
    <row r="512" s="187" customFormat="1" x14ac:dyDescent="0.15"/>
    <row r="513" s="187" customFormat="1" x14ac:dyDescent="0.15"/>
    <row r="514" s="187" customFormat="1" x14ac:dyDescent="0.15"/>
    <row r="515" s="187" customFormat="1" x14ac:dyDescent="0.15"/>
    <row r="516" s="187" customFormat="1" x14ac:dyDescent="0.15"/>
    <row r="517" s="187" customFormat="1" x14ac:dyDescent="0.15"/>
    <row r="518" s="187" customFormat="1" x14ac:dyDescent="0.15"/>
    <row r="519" s="187" customFormat="1" x14ac:dyDescent="0.15"/>
    <row r="520" s="187" customFormat="1" x14ac:dyDescent="0.15"/>
    <row r="521" s="187" customFormat="1" x14ac:dyDescent="0.15"/>
    <row r="522" s="187" customFormat="1" x14ac:dyDescent="0.15"/>
    <row r="523" s="187" customFormat="1" x14ac:dyDescent="0.15"/>
    <row r="524" s="187" customFormat="1" x14ac:dyDescent="0.15"/>
    <row r="525" s="187" customFormat="1" x14ac:dyDescent="0.15"/>
    <row r="526" s="187" customFormat="1" x14ac:dyDescent="0.15"/>
    <row r="527" s="187" customFormat="1" x14ac:dyDescent="0.15"/>
    <row r="528" s="187" customFormat="1" x14ac:dyDescent="0.15"/>
    <row r="529" s="187" customFormat="1" x14ac:dyDescent="0.15"/>
    <row r="530" s="187" customFormat="1" x14ac:dyDescent="0.15"/>
    <row r="531" s="187" customFormat="1" x14ac:dyDescent="0.15"/>
    <row r="532" s="187" customFormat="1" x14ac:dyDescent="0.15"/>
    <row r="533" s="187" customFormat="1" x14ac:dyDescent="0.15"/>
    <row r="534" s="187" customFormat="1" x14ac:dyDescent="0.15"/>
    <row r="535" s="187" customFormat="1" x14ac:dyDescent="0.15"/>
    <row r="536" s="187" customFormat="1" x14ac:dyDescent="0.15"/>
    <row r="537" s="187" customFormat="1" x14ac:dyDescent="0.15"/>
    <row r="538" s="187" customFormat="1" x14ac:dyDescent="0.15"/>
    <row r="539" s="187" customFormat="1" x14ac:dyDescent="0.15"/>
    <row r="540" s="187" customFormat="1" x14ac:dyDescent="0.15"/>
    <row r="541" s="187" customFormat="1" x14ac:dyDescent="0.15"/>
    <row r="542" s="187" customFormat="1" x14ac:dyDescent="0.15"/>
    <row r="543" s="187" customFormat="1" x14ac:dyDescent="0.15"/>
    <row r="544" s="187" customFormat="1" x14ac:dyDescent="0.15"/>
    <row r="545" s="187" customFormat="1" x14ac:dyDescent="0.15"/>
    <row r="546" s="187" customFormat="1" x14ac:dyDescent="0.15"/>
    <row r="547" s="187" customFormat="1" x14ac:dyDescent="0.15"/>
    <row r="548" s="187" customFormat="1" x14ac:dyDescent="0.15"/>
    <row r="549" s="187" customFormat="1" x14ac:dyDescent="0.15"/>
    <row r="550" s="187" customFormat="1" x14ac:dyDescent="0.15"/>
    <row r="551" s="187" customFormat="1" x14ac:dyDescent="0.15"/>
    <row r="552" s="187" customFormat="1" x14ac:dyDescent="0.15"/>
    <row r="553" s="187" customFormat="1" x14ac:dyDescent="0.15"/>
    <row r="554" s="187" customFormat="1" x14ac:dyDescent="0.15"/>
    <row r="555" s="187" customFormat="1" x14ac:dyDescent="0.15"/>
    <row r="556" s="187" customFormat="1" x14ac:dyDescent="0.15"/>
    <row r="557" s="187" customFormat="1" x14ac:dyDescent="0.15"/>
    <row r="558" s="187" customFormat="1" x14ac:dyDescent="0.15"/>
    <row r="559" s="187" customFormat="1" x14ac:dyDescent="0.15"/>
    <row r="560" s="187" customFormat="1" x14ac:dyDescent="0.15"/>
    <row r="561" s="187" customFormat="1" x14ac:dyDescent="0.15"/>
    <row r="562" s="187" customFormat="1" x14ac:dyDescent="0.15"/>
    <row r="563" s="187" customFormat="1" x14ac:dyDescent="0.15"/>
    <row r="564" s="187" customFormat="1" x14ac:dyDescent="0.15"/>
    <row r="565" s="187" customFormat="1" x14ac:dyDescent="0.15"/>
    <row r="566" s="187" customFormat="1" x14ac:dyDescent="0.15"/>
    <row r="567" s="187" customFormat="1" x14ac:dyDescent="0.15"/>
    <row r="568" s="187" customFormat="1" x14ac:dyDescent="0.15"/>
    <row r="569" s="187" customFormat="1" x14ac:dyDescent="0.15"/>
    <row r="570" s="187" customFormat="1" x14ac:dyDescent="0.15"/>
    <row r="571" s="187" customFormat="1" x14ac:dyDescent="0.15"/>
    <row r="572" s="187" customFormat="1" x14ac:dyDescent="0.15"/>
    <row r="573" s="187" customFormat="1" x14ac:dyDescent="0.15"/>
    <row r="574" s="187" customFormat="1" x14ac:dyDescent="0.15"/>
    <row r="575" s="187" customFormat="1" x14ac:dyDescent="0.15"/>
    <row r="576" s="187" customFormat="1" x14ac:dyDescent="0.15"/>
    <row r="577" s="187" customFormat="1" x14ac:dyDescent="0.15"/>
    <row r="578" s="187" customFormat="1" x14ac:dyDescent="0.15"/>
    <row r="579" s="187" customFormat="1" x14ac:dyDescent="0.15"/>
    <row r="580" s="187" customFormat="1" x14ac:dyDescent="0.15"/>
    <row r="581" s="187" customFormat="1" x14ac:dyDescent="0.15"/>
    <row r="582" s="187" customFormat="1" x14ac:dyDescent="0.15"/>
    <row r="583" s="187" customFormat="1" x14ac:dyDescent="0.15"/>
    <row r="584" s="187" customFormat="1" x14ac:dyDescent="0.15"/>
    <row r="585" s="187" customFormat="1" x14ac:dyDescent="0.15"/>
    <row r="586" s="187" customFormat="1" x14ac:dyDescent="0.15"/>
    <row r="587" s="187" customFormat="1" x14ac:dyDescent="0.15"/>
    <row r="588" s="187" customFormat="1" x14ac:dyDescent="0.15"/>
    <row r="589" s="187" customFormat="1" x14ac:dyDescent="0.15"/>
    <row r="590" s="187" customFormat="1" x14ac:dyDescent="0.15"/>
    <row r="591" s="187" customFormat="1" x14ac:dyDescent="0.15"/>
    <row r="592" s="187" customFormat="1" x14ac:dyDescent="0.15"/>
    <row r="593" s="187" customFormat="1" x14ac:dyDescent="0.15"/>
    <row r="594" s="187" customFormat="1" x14ac:dyDescent="0.15"/>
    <row r="595" s="187" customFormat="1" x14ac:dyDescent="0.15"/>
    <row r="596" s="187" customFormat="1" x14ac:dyDescent="0.15"/>
    <row r="597" s="187" customFormat="1" x14ac:dyDescent="0.15"/>
    <row r="598" s="187" customFormat="1" x14ac:dyDescent="0.15"/>
    <row r="599" s="187" customFormat="1" x14ac:dyDescent="0.15"/>
    <row r="600" s="187" customFormat="1" x14ac:dyDescent="0.15"/>
    <row r="601" s="187" customFormat="1" x14ac:dyDescent="0.15"/>
    <row r="602" s="187" customFormat="1" x14ac:dyDescent="0.15"/>
    <row r="603" s="187" customFormat="1" x14ac:dyDescent="0.15"/>
    <row r="604" s="187" customFormat="1" x14ac:dyDescent="0.15"/>
    <row r="605" s="187" customFormat="1" x14ac:dyDescent="0.15"/>
    <row r="606" s="187" customFormat="1" x14ac:dyDescent="0.15"/>
    <row r="607" s="187" customFormat="1" x14ac:dyDescent="0.15"/>
    <row r="608" s="187" customFormat="1" x14ac:dyDescent="0.15"/>
    <row r="609" s="187" customFormat="1" x14ac:dyDescent="0.15"/>
    <row r="610" s="187" customFormat="1" x14ac:dyDescent="0.15"/>
    <row r="611" s="187" customFormat="1" x14ac:dyDescent="0.15"/>
    <row r="612" s="187" customFormat="1" x14ac:dyDescent="0.15"/>
    <row r="613" s="187" customFormat="1" x14ac:dyDescent="0.15"/>
    <row r="614" s="187" customFormat="1" x14ac:dyDescent="0.15"/>
    <row r="615" s="187" customFormat="1" x14ac:dyDescent="0.15"/>
    <row r="616" s="187" customFormat="1" x14ac:dyDescent="0.15"/>
    <row r="617" s="187" customFormat="1" x14ac:dyDescent="0.15"/>
    <row r="618" s="187" customFormat="1" x14ac:dyDescent="0.15"/>
    <row r="619" s="187" customFormat="1" x14ac:dyDescent="0.15"/>
    <row r="620" s="187" customFormat="1" x14ac:dyDescent="0.15"/>
    <row r="621" s="187" customFormat="1" x14ac:dyDescent="0.15"/>
    <row r="622" s="187" customFormat="1" x14ac:dyDescent="0.15"/>
    <row r="623" s="187" customFormat="1" x14ac:dyDescent="0.15"/>
    <row r="624" s="187" customFormat="1" x14ac:dyDescent="0.15"/>
    <row r="625" s="187" customFormat="1" x14ac:dyDescent="0.15"/>
    <row r="626" s="187" customFormat="1" x14ac:dyDescent="0.15"/>
    <row r="627" s="187" customFormat="1" x14ac:dyDescent="0.15"/>
    <row r="628" s="187" customFormat="1" x14ac:dyDescent="0.15"/>
    <row r="629" s="187" customFormat="1" x14ac:dyDescent="0.15"/>
    <row r="630" s="187" customFormat="1" x14ac:dyDescent="0.15"/>
    <row r="631" s="187" customFormat="1" x14ac:dyDescent="0.15"/>
    <row r="632" s="187" customFormat="1" x14ac:dyDescent="0.15"/>
    <row r="633" s="187" customFormat="1" x14ac:dyDescent="0.15"/>
    <row r="634" s="187" customFormat="1" x14ac:dyDescent="0.15"/>
    <row r="635" s="187" customFormat="1" x14ac:dyDescent="0.15"/>
    <row r="636" s="187" customFormat="1" x14ac:dyDescent="0.15"/>
    <row r="637" s="187" customFormat="1" x14ac:dyDescent="0.15"/>
    <row r="638" s="187" customFormat="1" x14ac:dyDescent="0.15"/>
    <row r="639" s="187" customFormat="1" x14ac:dyDescent="0.15"/>
    <row r="640" s="187" customFormat="1" x14ac:dyDescent="0.15"/>
    <row r="641" s="187" customFormat="1" x14ac:dyDescent="0.15"/>
    <row r="642" s="187" customFormat="1" x14ac:dyDescent="0.15"/>
    <row r="643" s="187" customFormat="1" x14ac:dyDescent="0.15"/>
    <row r="644" s="187" customFormat="1" x14ac:dyDescent="0.15"/>
    <row r="645" s="187" customFormat="1" x14ac:dyDescent="0.15"/>
    <row r="646" s="187" customFormat="1" x14ac:dyDescent="0.15"/>
    <row r="647" s="187" customFormat="1" x14ac:dyDescent="0.15"/>
    <row r="648" s="187" customFormat="1" x14ac:dyDescent="0.15"/>
    <row r="649" s="187" customFormat="1" x14ac:dyDescent="0.15"/>
    <row r="650" s="187" customFormat="1" x14ac:dyDescent="0.15"/>
    <row r="651" s="187" customFormat="1" x14ac:dyDescent="0.15"/>
    <row r="652" s="187" customFormat="1" x14ac:dyDescent="0.15"/>
    <row r="653" s="187" customFormat="1" x14ac:dyDescent="0.15"/>
    <row r="654" s="187" customFormat="1" x14ac:dyDescent="0.15"/>
    <row r="655" s="187" customFormat="1" x14ac:dyDescent="0.15"/>
    <row r="656" s="187" customFormat="1" x14ac:dyDescent="0.15"/>
    <row r="657" s="187" customFormat="1" x14ac:dyDescent="0.15"/>
    <row r="658" s="187" customFormat="1" x14ac:dyDescent="0.15"/>
    <row r="659" s="187" customFormat="1" x14ac:dyDescent="0.15"/>
    <row r="660" s="187" customFormat="1" x14ac:dyDescent="0.15"/>
    <row r="661" s="187" customFormat="1" x14ac:dyDescent="0.15"/>
    <row r="662" s="187" customFormat="1" x14ac:dyDescent="0.15"/>
    <row r="663" s="187" customFormat="1" x14ac:dyDescent="0.15"/>
    <row r="664" s="187" customFormat="1" x14ac:dyDescent="0.15"/>
    <row r="665" s="187" customFormat="1" x14ac:dyDescent="0.15"/>
    <row r="666" s="187" customFormat="1" x14ac:dyDescent="0.15"/>
    <row r="667" s="187" customFormat="1" x14ac:dyDescent="0.15"/>
    <row r="668" s="187" customFormat="1" x14ac:dyDescent="0.15"/>
    <row r="669" s="187" customFormat="1" x14ac:dyDescent="0.15"/>
    <row r="670" s="187" customFormat="1" x14ac:dyDescent="0.15"/>
    <row r="671" s="187" customFormat="1" x14ac:dyDescent="0.15"/>
    <row r="672" s="187" customFormat="1" x14ac:dyDescent="0.15"/>
    <row r="673" s="187" customFormat="1" x14ac:dyDescent="0.15"/>
    <row r="674" s="187" customFormat="1" x14ac:dyDescent="0.15"/>
    <row r="675" s="187" customFormat="1" x14ac:dyDescent="0.15"/>
    <row r="676" s="187" customFormat="1" x14ac:dyDescent="0.15"/>
    <row r="677" s="187" customFormat="1" x14ac:dyDescent="0.15"/>
    <row r="678" s="187" customFormat="1" x14ac:dyDescent="0.15"/>
    <row r="679" s="187" customFormat="1" x14ac:dyDescent="0.15"/>
    <row r="680" s="187" customFormat="1" x14ac:dyDescent="0.15"/>
    <row r="681" s="187" customFormat="1" x14ac:dyDescent="0.15"/>
    <row r="682" s="187" customFormat="1" x14ac:dyDescent="0.15"/>
    <row r="683" s="187" customFormat="1" x14ac:dyDescent="0.15"/>
    <row r="684" s="187" customFormat="1" x14ac:dyDescent="0.15"/>
    <row r="685" s="187" customFormat="1" x14ac:dyDescent="0.15"/>
    <row r="686" s="187" customFormat="1" x14ac:dyDescent="0.15"/>
    <row r="687" s="187" customFormat="1" x14ac:dyDescent="0.15"/>
    <row r="688" s="187" customFormat="1" x14ac:dyDescent="0.15"/>
    <row r="689" s="187" customFormat="1" x14ac:dyDescent="0.15"/>
    <row r="690" s="187" customFormat="1" x14ac:dyDescent="0.15"/>
    <row r="691" s="187" customFormat="1" x14ac:dyDescent="0.15"/>
    <row r="692" s="187" customFormat="1" x14ac:dyDescent="0.15"/>
    <row r="693" s="187" customFormat="1" x14ac:dyDescent="0.15"/>
    <row r="694" s="187" customFormat="1" x14ac:dyDescent="0.15"/>
    <row r="695" s="187" customFormat="1" x14ac:dyDescent="0.15"/>
    <row r="696" s="187" customFormat="1" x14ac:dyDescent="0.15"/>
    <row r="697" s="187" customFormat="1" x14ac:dyDescent="0.15"/>
    <row r="698" s="187" customFormat="1" x14ac:dyDescent="0.15"/>
    <row r="699" s="187" customFormat="1" x14ac:dyDescent="0.15"/>
    <row r="700" s="187" customFormat="1" x14ac:dyDescent="0.15"/>
    <row r="701" s="187" customFormat="1" x14ac:dyDescent="0.15"/>
    <row r="702" s="187" customFormat="1" x14ac:dyDescent="0.15"/>
    <row r="703" s="187" customFormat="1" x14ac:dyDescent="0.15"/>
    <row r="704" s="187" customFormat="1" x14ac:dyDescent="0.15"/>
    <row r="705" s="187" customFormat="1" x14ac:dyDescent="0.15"/>
    <row r="706" s="187" customFormat="1" x14ac:dyDescent="0.15"/>
    <row r="707" s="187" customFormat="1" x14ac:dyDescent="0.15"/>
    <row r="708" s="187" customFormat="1" x14ac:dyDescent="0.15"/>
    <row r="709" s="187" customFormat="1" x14ac:dyDescent="0.15"/>
    <row r="710" s="187" customFormat="1" x14ac:dyDescent="0.15"/>
    <row r="711" s="187" customFormat="1" x14ac:dyDescent="0.15"/>
    <row r="712" s="187" customFormat="1" x14ac:dyDescent="0.15"/>
    <row r="713" s="187" customFormat="1" x14ac:dyDescent="0.15"/>
    <row r="714" s="187" customFormat="1" x14ac:dyDescent="0.15"/>
    <row r="715" s="187" customFormat="1" x14ac:dyDescent="0.15"/>
    <row r="716" s="187" customFormat="1" x14ac:dyDescent="0.15"/>
    <row r="717" s="187" customFormat="1" x14ac:dyDescent="0.15"/>
    <row r="718" s="187" customFormat="1" x14ac:dyDescent="0.15"/>
    <row r="719" s="187" customFormat="1" x14ac:dyDescent="0.15"/>
    <row r="720" s="187" customFormat="1" x14ac:dyDescent="0.15"/>
    <row r="721" s="187" customFormat="1" x14ac:dyDescent="0.15"/>
    <row r="722" s="187" customFormat="1" x14ac:dyDescent="0.15"/>
    <row r="723" s="187" customFormat="1" x14ac:dyDescent="0.15"/>
    <row r="724" s="187" customFormat="1" x14ac:dyDescent="0.15"/>
    <row r="725" s="187" customFormat="1" x14ac:dyDescent="0.15"/>
    <row r="726" s="187" customFormat="1" x14ac:dyDescent="0.15"/>
    <row r="727" s="187" customFormat="1" x14ac:dyDescent="0.15"/>
    <row r="728" s="187" customFormat="1" x14ac:dyDescent="0.15"/>
    <row r="729" s="187" customFormat="1" x14ac:dyDescent="0.15"/>
    <row r="730" s="187" customFormat="1" x14ac:dyDescent="0.15"/>
    <row r="731" s="187" customFormat="1" x14ac:dyDescent="0.15"/>
    <row r="732" s="187" customFormat="1" x14ac:dyDescent="0.15"/>
    <row r="733" s="187" customFormat="1" x14ac:dyDescent="0.15"/>
    <row r="734" s="187" customFormat="1" x14ac:dyDescent="0.15"/>
    <row r="735" s="187" customFormat="1" x14ac:dyDescent="0.15"/>
    <row r="736" s="187" customFormat="1" x14ac:dyDescent="0.15"/>
    <row r="737" s="187" customFormat="1" x14ac:dyDescent="0.15"/>
    <row r="738" s="187" customFormat="1" x14ac:dyDescent="0.15"/>
    <row r="739" s="187" customFormat="1" x14ac:dyDescent="0.15"/>
    <row r="740" s="187" customFormat="1" x14ac:dyDescent="0.15"/>
    <row r="741" s="187" customFormat="1" x14ac:dyDescent="0.15"/>
    <row r="742" s="187" customFormat="1" x14ac:dyDescent="0.15"/>
    <row r="743" s="187" customFormat="1" x14ac:dyDescent="0.15"/>
    <row r="744" s="187" customFormat="1" x14ac:dyDescent="0.15"/>
    <row r="745" s="187" customFormat="1" x14ac:dyDescent="0.15"/>
    <row r="746" s="187" customFormat="1" x14ac:dyDescent="0.15"/>
    <row r="747" s="187" customFormat="1" x14ac:dyDescent="0.15"/>
    <row r="748" s="187" customFormat="1" x14ac:dyDescent="0.15"/>
    <row r="749" s="187" customFormat="1" x14ac:dyDescent="0.15"/>
    <row r="750" s="187" customFormat="1" x14ac:dyDescent="0.15"/>
    <row r="751" s="187" customFormat="1" x14ac:dyDescent="0.15"/>
    <row r="752" s="187" customFormat="1" x14ac:dyDescent="0.15"/>
    <row r="753" s="187" customFormat="1" x14ac:dyDescent="0.15"/>
    <row r="754" s="187" customFormat="1" x14ac:dyDescent="0.15"/>
    <row r="755" s="187" customFormat="1" x14ac:dyDescent="0.15"/>
    <row r="756" s="187" customFormat="1" x14ac:dyDescent="0.15"/>
    <row r="757" s="187" customFormat="1" x14ac:dyDescent="0.15"/>
    <row r="758" s="187" customFormat="1" x14ac:dyDescent="0.15"/>
    <row r="759" s="187" customFormat="1" x14ac:dyDescent="0.15"/>
    <row r="760" s="187" customFormat="1" x14ac:dyDescent="0.15"/>
    <row r="761" s="187" customFormat="1" x14ac:dyDescent="0.15"/>
    <row r="762" s="187" customFormat="1" x14ac:dyDescent="0.15"/>
    <row r="763" s="187" customFormat="1" x14ac:dyDescent="0.15"/>
    <row r="764" s="187" customFormat="1" x14ac:dyDescent="0.15"/>
    <row r="765" s="187" customFormat="1" x14ac:dyDescent="0.15"/>
    <row r="766" s="187" customFormat="1" x14ac:dyDescent="0.15"/>
    <row r="767" s="187" customFormat="1" x14ac:dyDescent="0.15"/>
    <row r="768" s="187" customFormat="1" x14ac:dyDescent="0.15"/>
    <row r="769" s="187" customFormat="1" x14ac:dyDescent="0.15"/>
    <row r="770" s="187" customFormat="1" x14ac:dyDescent="0.15"/>
    <row r="771" s="187" customFormat="1" x14ac:dyDescent="0.15"/>
    <row r="772" s="187" customFormat="1" x14ac:dyDescent="0.15"/>
    <row r="773" s="187" customFormat="1" x14ac:dyDescent="0.15"/>
    <row r="774" s="187" customFormat="1" x14ac:dyDescent="0.15"/>
    <row r="775" s="187" customFormat="1" x14ac:dyDescent="0.15"/>
    <row r="776" s="187" customFormat="1" x14ac:dyDescent="0.15"/>
    <row r="777" s="187" customFormat="1" x14ac:dyDescent="0.15"/>
    <row r="778" s="187" customFormat="1" x14ac:dyDescent="0.15"/>
    <row r="779" s="187" customFormat="1" x14ac:dyDescent="0.15"/>
    <row r="780" s="187" customFormat="1" x14ac:dyDescent="0.15"/>
    <row r="781" s="187" customFormat="1" x14ac:dyDescent="0.15"/>
    <row r="782" s="187" customFormat="1" x14ac:dyDescent="0.15"/>
    <row r="783" s="187" customFormat="1" x14ac:dyDescent="0.15"/>
    <row r="784" s="187" customFormat="1" x14ac:dyDescent="0.15"/>
    <row r="785" s="187" customFormat="1" x14ac:dyDescent="0.15"/>
    <row r="786" s="187" customFormat="1" x14ac:dyDescent="0.15"/>
    <row r="787" s="187" customFormat="1" x14ac:dyDescent="0.15"/>
    <row r="788" s="187" customFormat="1" x14ac:dyDescent="0.15"/>
    <row r="789" s="187" customFormat="1" x14ac:dyDescent="0.15"/>
    <row r="790" s="187" customFormat="1" x14ac:dyDescent="0.15"/>
    <row r="791" s="187" customFormat="1" x14ac:dyDescent="0.15"/>
    <row r="792" s="187" customFormat="1" x14ac:dyDescent="0.15"/>
    <row r="793" s="187" customFormat="1" x14ac:dyDescent="0.15"/>
    <row r="794" s="187" customFormat="1" x14ac:dyDescent="0.15"/>
    <row r="795" s="187" customFormat="1" x14ac:dyDescent="0.15"/>
    <row r="796" s="187" customFormat="1" x14ac:dyDescent="0.15"/>
    <row r="797" s="187" customFormat="1" x14ac:dyDescent="0.15"/>
    <row r="798" s="187" customFormat="1" x14ac:dyDescent="0.15"/>
    <row r="799" s="187" customFormat="1" x14ac:dyDescent="0.15"/>
    <row r="800" s="187" customFormat="1" x14ac:dyDescent="0.15"/>
    <row r="801" s="187" customFormat="1" x14ac:dyDescent="0.15"/>
    <row r="802" s="187" customFormat="1" x14ac:dyDescent="0.15"/>
    <row r="803" s="187" customFormat="1" x14ac:dyDescent="0.15"/>
    <row r="804" s="187" customFormat="1" x14ac:dyDescent="0.15"/>
    <row r="805" s="187" customFormat="1" x14ac:dyDescent="0.15"/>
    <row r="806" s="187" customFormat="1" x14ac:dyDescent="0.15"/>
    <row r="807" s="187" customFormat="1" x14ac:dyDescent="0.15"/>
    <row r="808" s="187" customFormat="1" x14ac:dyDescent="0.15"/>
    <row r="809" s="187" customFormat="1" x14ac:dyDescent="0.15"/>
    <row r="810" s="187" customFormat="1" x14ac:dyDescent="0.15"/>
    <row r="811" s="187" customFormat="1" x14ac:dyDescent="0.15"/>
    <row r="812" s="187" customFormat="1" x14ac:dyDescent="0.15"/>
    <row r="813" s="187" customFormat="1" x14ac:dyDescent="0.15"/>
    <row r="814" s="187" customFormat="1" x14ac:dyDescent="0.15"/>
    <row r="815" s="187" customFormat="1" x14ac:dyDescent="0.15"/>
    <row r="816" s="187" customFormat="1" x14ac:dyDescent="0.15"/>
    <row r="817" s="187" customFormat="1" x14ac:dyDescent="0.15"/>
    <row r="818" s="187" customFormat="1" x14ac:dyDescent="0.15"/>
    <row r="819" s="187" customFormat="1" x14ac:dyDescent="0.15"/>
    <row r="820" s="187" customFormat="1" x14ac:dyDescent="0.15"/>
    <row r="821" s="187" customFormat="1" x14ac:dyDescent="0.15"/>
    <row r="822" s="187" customFormat="1" x14ac:dyDescent="0.15"/>
    <row r="823" s="187" customFormat="1" x14ac:dyDescent="0.15"/>
    <row r="824" s="187" customFormat="1" x14ac:dyDescent="0.15"/>
    <row r="825" s="187" customFormat="1" x14ac:dyDescent="0.15"/>
    <row r="826" s="187" customFormat="1" x14ac:dyDescent="0.15"/>
    <row r="827" s="187" customFormat="1" x14ac:dyDescent="0.15"/>
    <row r="828" s="187" customFormat="1" x14ac:dyDescent="0.15"/>
    <row r="829" s="187" customFormat="1" x14ac:dyDescent="0.15"/>
    <row r="830" s="187" customFormat="1" x14ac:dyDescent="0.15"/>
    <row r="831" s="187" customFormat="1" x14ac:dyDescent="0.15"/>
    <row r="832" s="187" customFormat="1" x14ac:dyDescent="0.15"/>
    <row r="833" s="187" customFormat="1" x14ac:dyDescent="0.15"/>
    <row r="834" s="187" customFormat="1" x14ac:dyDescent="0.15"/>
    <row r="835" s="187" customFormat="1" x14ac:dyDescent="0.15"/>
    <row r="836" s="187" customFormat="1" x14ac:dyDescent="0.15"/>
    <row r="837" s="187" customFormat="1" x14ac:dyDescent="0.15"/>
    <row r="838" s="187" customFormat="1" x14ac:dyDescent="0.15"/>
    <row r="839" s="187" customFormat="1" x14ac:dyDescent="0.15"/>
    <row r="840" s="187" customFormat="1" x14ac:dyDescent="0.15"/>
    <row r="841" s="187" customFormat="1" x14ac:dyDescent="0.15"/>
    <row r="842" s="187" customFormat="1" x14ac:dyDescent="0.15"/>
    <row r="843" s="187" customFormat="1" x14ac:dyDescent="0.15"/>
    <row r="844" s="187" customFormat="1" x14ac:dyDescent="0.15"/>
    <row r="845" s="187" customFormat="1" x14ac:dyDescent="0.15"/>
    <row r="846" s="187" customFormat="1" x14ac:dyDescent="0.15"/>
    <row r="847" s="187" customFormat="1" x14ac:dyDescent="0.15"/>
    <row r="848" s="187" customFormat="1" x14ac:dyDescent="0.15"/>
    <row r="849" s="187" customFormat="1" x14ac:dyDescent="0.15"/>
    <row r="850" s="187" customFormat="1" x14ac:dyDescent="0.15"/>
    <row r="851" s="187" customFormat="1" x14ac:dyDescent="0.15"/>
    <row r="852" s="187" customFormat="1" x14ac:dyDescent="0.15"/>
    <row r="853" s="187" customFormat="1" x14ac:dyDescent="0.15"/>
    <row r="854" s="187" customFormat="1" x14ac:dyDescent="0.15"/>
    <row r="855" s="187" customFormat="1" x14ac:dyDescent="0.15"/>
    <row r="856" s="187" customFormat="1" x14ac:dyDescent="0.15"/>
    <row r="857" s="187" customFormat="1" x14ac:dyDescent="0.15"/>
    <row r="858" s="187" customFormat="1" x14ac:dyDescent="0.15"/>
    <row r="859" s="187" customFormat="1" x14ac:dyDescent="0.15"/>
    <row r="860" s="187" customFormat="1" x14ac:dyDescent="0.15"/>
    <row r="861" s="187" customFormat="1" x14ac:dyDescent="0.15"/>
    <row r="862" s="187" customFormat="1" x14ac:dyDescent="0.15"/>
    <row r="863" s="187" customFormat="1" x14ac:dyDescent="0.15"/>
    <row r="864" s="187" customFormat="1" x14ac:dyDescent="0.15"/>
    <row r="865" s="187" customFormat="1" x14ac:dyDescent="0.15"/>
    <row r="866" s="187" customFormat="1" x14ac:dyDescent="0.15"/>
    <row r="867" s="187" customFormat="1" x14ac:dyDescent="0.15"/>
    <row r="868" s="187" customFormat="1" x14ac:dyDescent="0.15"/>
    <row r="869" s="187" customFormat="1" x14ac:dyDescent="0.15"/>
    <row r="870" s="187" customFormat="1" x14ac:dyDescent="0.15"/>
    <row r="871" s="187" customFormat="1" x14ac:dyDescent="0.15"/>
    <row r="872" s="187" customFormat="1" x14ac:dyDescent="0.15"/>
    <row r="873" s="187" customFormat="1" x14ac:dyDescent="0.15"/>
    <row r="874" s="187" customFormat="1" x14ac:dyDescent="0.15"/>
    <row r="875" s="187" customFormat="1" x14ac:dyDescent="0.15"/>
    <row r="876" s="187" customFormat="1" x14ac:dyDescent="0.15"/>
    <row r="877" s="187" customFormat="1" x14ac:dyDescent="0.15"/>
    <row r="878" s="187" customFormat="1" x14ac:dyDescent="0.15"/>
    <row r="879" s="187" customFormat="1" x14ac:dyDescent="0.15"/>
    <row r="880" s="187" customFormat="1" x14ac:dyDescent="0.15"/>
    <row r="881" s="187" customFormat="1" x14ac:dyDescent="0.15"/>
    <row r="882" s="187" customFormat="1" x14ac:dyDescent="0.15"/>
    <row r="883" s="187" customFormat="1" x14ac:dyDescent="0.15"/>
    <row r="884" s="187" customFormat="1" x14ac:dyDescent="0.15"/>
    <row r="885" s="187" customFormat="1" x14ac:dyDescent="0.15"/>
    <row r="886" s="187" customFormat="1" x14ac:dyDescent="0.15"/>
    <row r="887" s="187" customFormat="1" x14ac:dyDescent="0.15"/>
    <row r="888" s="187" customFormat="1" x14ac:dyDescent="0.15"/>
    <row r="889" s="187" customFormat="1" x14ac:dyDescent="0.15"/>
    <row r="890" s="187" customFormat="1" x14ac:dyDescent="0.15"/>
    <row r="891" s="187" customFormat="1" x14ac:dyDescent="0.15"/>
    <row r="892" s="187" customFormat="1" x14ac:dyDescent="0.15"/>
    <row r="893" s="187" customFormat="1" x14ac:dyDescent="0.15"/>
    <row r="894" s="187" customFormat="1" x14ac:dyDescent="0.15"/>
    <row r="895" s="187" customFormat="1" x14ac:dyDescent="0.15"/>
    <row r="896" s="187" customFormat="1" x14ac:dyDescent="0.15"/>
    <row r="897" s="187" customFormat="1" x14ac:dyDescent="0.15"/>
    <row r="898" s="187" customFormat="1" x14ac:dyDescent="0.15"/>
    <row r="899" s="187" customFormat="1" x14ac:dyDescent="0.15"/>
    <row r="900" s="187" customFormat="1" x14ac:dyDescent="0.15"/>
    <row r="901" s="187" customFormat="1" x14ac:dyDescent="0.15"/>
    <row r="902" s="187" customFormat="1" x14ac:dyDescent="0.15"/>
    <row r="903" s="187" customFormat="1" x14ac:dyDescent="0.15"/>
    <row r="904" s="187" customFormat="1" x14ac:dyDescent="0.15"/>
    <row r="905" s="187" customFormat="1" x14ac:dyDescent="0.15"/>
    <row r="906" s="187" customFormat="1" x14ac:dyDescent="0.15"/>
    <row r="907" s="187" customFormat="1" x14ac:dyDescent="0.15"/>
    <row r="908" s="187" customFormat="1" x14ac:dyDescent="0.15"/>
    <row r="909" s="187" customFormat="1" x14ac:dyDescent="0.15"/>
    <row r="910" s="187" customFormat="1" x14ac:dyDescent="0.15"/>
    <row r="911" s="187" customFormat="1" x14ac:dyDescent="0.15"/>
    <row r="912" s="187" customFormat="1" x14ac:dyDescent="0.15"/>
    <row r="913" s="187" customFormat="1" x14ac:dyDescent="0.15"/>
    <row r="914" s="187" customFormat="1" x14ac:dyDescent="0.15"/>
    <row r="915" s="187" customFormat="1" x14ac:dyDescent="0.15"/>
    <row r="916" s="187" customFormat="1" x14ac:dyDescent="0.15"/>
    <row r="917" s="187" customFormat="1" x14ac:dyDescent="0.15"/>
    <row r="918" s="187" customFormat="1" x14ac:dyDescent="0.15"/>
    <row r="919" s="187" customFormat="1" x14ac:dyDescent="0.15"/>
    <row r="920" s="187" customFormat="1" x14ac:dyDescent="0.15"/>
    <row r="921" s="187" customFormat="1" x14ac:dyDescent="0.15"/>
    <row r="922" s="187" customFormat="1" x14ac:dyDescent="0.15"/>
    <row r="923" s="187" customFormat="1" x14ac:dyDescent="0.15"/>
    <row r="924" s="187" customFormat="1" x14ac:dyDescent="0.15"/>
    <row r="925" s="187" customFormat="1" x14ac:dyDescent="0.15"/>
    <row r="926" s="187" customFormat="1" x14ac:dyDescent="0.15"/>
    <row r="927" s="187" customFormat="1" x14ac:dyDescent="0.15"/>
    <row r="928" s="187" customFormat="1" x14ac:dyDescent="0.15"/>
    <row r="929" s="187" customFormat="1" x14ac:dyDescent="0.15"/>
    <row r="930" s="187" customFormat="1" x14ac:dyDescent="0.15"/>
    <row r="931" s="187" customFormat="1" x14ac:dyDescent="0.15"/>
    <row r="932" s="187" customFormat="1" x14ac:dyDescent="0.15"/>
    <row r="933" s="187" customFormat="1" x14ac:dyDescent="0.15"/>
    <row r="934" s="187" customFormat="1" x14ac:dyDescent="0.15"/>
    <row r="935" s="187" customFormat="1" x14ac:dyDescent="0.15"/>
    <row r="936" s="187" customFormat="1" x14ac:dyDescent="0.15"/>
    <row r="937" s="187" customFormat="1" x14ac:dyDescent="0.15"/>
    <row r="938" s="187" customFormat="1" x14ac:dyDescent="0.15"/>
    <row r="939" s="187" customFormat="1" x14ac:dyDescent="0.15"/>
    <row r="940" s="187" customFormat="1" x14ac:dyDescent="0.15"/>
    <row r="941" s="187" customFormat="1" x14ac:dyDescent="0.15"/>
    <row r="942" s="187" customFormat="1" x14ac:dyDescent="0.15"/>
    <row r="943" s="187" customFormat="1" x14ac:dyDescent="0.15"/>
    <row r="944" s="187" customFormat="1" x14ac:dyDescent="0.15"/>
    <row r="945" s="187" customFormat="1" x14ac:dyDescent="0.15"/>
    <row r="946" s="187" customFormat="1" x14ac:dyDescent="0.15"/>
    <row r="947" s="187" customFormat="1" x14ac:dyDescent="0.15"/>
    <row r="948" s="187" customFormat="1" x14ac:dyDescent="0.15"/>
    <row r="949" s="187" customFormat="1" x14ac:dyDescent="0.15"/>
    <row r="950" s="187" customFormat="1" x14ac:dyDescent="0.15"/>
    <row r="951" s="187" customFormat="1" x14ac:dyDescent="0.15"/>
    <row r="952" s="187" customFormat="1" x14ac:dyDescent="0.15"/>
    <row r="953" s="187" customFormat="1" x14ac:dyDescent="0.15"/>
    <row r="954" s="187" customFormat="1" x14ac:dyDescent="0.15"/>
    <row r="955" s="187" customFormat="1" x14ac:dyDescent="0.15"/>
    <row r="956" s="187" customFormat="1" x14ac:dyDescent="0.15"/>
    <row r="957" s="187" customFormat="1" x14ac:dyDescent="0.15"/>
    <row r="958" s="187" customFormat="1" x14ac:dyDescent="0.15"/>
    <row r="959" s="187" customFormat="1" x14ac:dyDescent="0.15"/>
    <row r="960" s="187" customFormat="1" x14ac:dyDescent="0.15"/>
    <row r="961" s="187" customFormat="1" x14ac:dyDescent="0.15"/>
    <row r="962" s="187" customFormat="1" x14ac:dyDescent="0.15"/>
    <row r="963" s="187" customFormat="1" x14ac:dyDescent="0.15"/>
    <row r="964" s="187" customFormat="1" x14ac:dyDescent="0.15"/>
    <row r="965" s="187" customFormat="1" x14ac:dyDescent="0.15"/>
    <row r="966" s="187" customFormat="1" x14ac:dyDescent="0.15"/>
    <row r="967" s="187" customFormat="1" x14ac:dyDescent="0.15"/>
    <row r="968" s="187" customFormat="1" x14ac:dyDescent="0.15"/>
    <row r="969" s="187" customFormat="1" x14ac:dyDescent="0.15"/>
    <row r="970" s="187" customFormat="1" x14ac:dyDescent="0.15"/>
    <row r="971" s="187" customFormat="1" x14ac:dyDescent="0.15"/>
    <row r="972" s="187" customFormat="1" x14ac:dyDescent="0.15"/>
    <row r="973" s="187" customFormat="1" x14ac:dyDescent="0.15"/>
    <row r="974" s="187" customFormat="1" x14ac:dyDescent="0.15"/>
    <row r="975" s="187" customFormat="1" x14ac:dyDescent="0.15"/>
    <row r="976" s="187" customFormat="1" x14ac:dyDescent="0.15"/>
    <row r="977" s="187" customFormat="1" x14ac:dyDescent="0.15"/>
    <row r="978" s="187" customFormat="1" x14ac:dyDescent="0.15"/>
    <row r="979" s="187" customFormat="1" x14ac:dyDescent="0.15"/>
    <row r="980" s="187" customFormat="1" x14ac:dyDescent="0.15"/>
    <row r="981" s="187" customFormat="1" x14ac:dyDescent="0.15"/>
    <row r="982" s="187" customFormat="1" x14ac:dyDescent="0.15"/>
    <row r="983" s="187" customFormat="1" x14ac:dyDescent="0.15"/>
    <row r="984" s="187" customFormat="1" x14ac:dyDescent="0.15"/>
    <row r="985" s="187" customFormat="1" x14ac:dyDescent="0.15"/>
    <row r="986" s="187" customFormat="1" x14ac:dyDescent="0.15"/>
    <row r="987" s="187" customFormat="1" x14ac:dyDescent="0.15"/>
    <row r="988" s="187" customFormat="1" x14ac:dyDescent="0.15"/>
    <row r="989" s="187" customFormat="1" x14ac:dyDescent="0.15"/>
    <row r="990" s="187" customFormat="1" x14ac:dyDescent="0.15"/>
    <row r="991" s="187" customFormat="1" x14ac:dyDescent="0.15"/>
    <row r="992" s="187" customFormat="1" x14ac:dyDescent="0.15"/>
    <row r="993" s="187" customFormat="1" x14ac:dyDescent="0.15"/>
    <row r="994" s="187" customFormat="1" x14ac:dyDescent="0.15"/>
    <row r="995" s="187" customFormat="1" x14ac:dyDescent="0.15"/>
    <row r="996" s="187" customFormat="1" x14ac:dyDescent="0.15"/>
    <row r="997" s="187" customFormat="1" x14ac:dyDescent="0.15"/>
    <row r="998" s="187" customFormat="1" x14ac:dyDescent="0.15"/>
    <row r="999" s="187" customFormat="1" x14ac:dyDescent="0.15"/>
    <row r="1000" s="187" customFormat="1" x14ac:dyDescent="0.15"/>
    <row r="1001" s="187" customFormat="1" x14ac:dyDescent="0.15"/>
    <row r="1002" s="187" customFormat="1" x14ac:dyDescent="0.15"/>
    <row r="1003" s="187" customFormat="1" x14ac:dyDescent="0.15"/>
    <row r="1004" s="187" customFormat="1" x14ac:dyDescent="0.15"/>
    <row r="1005" s="187" customFormat="1" x14ac:dyDescent="0.15"/>
    <row r="1006" s="187" customFormat="1" x14ac:dyDescent="0.15"/>
    <row r="1007" s="187" customFormat="1" x14ac:dyDescent="0.15"/>
    <row r="1008" s="187" customFormat="1" x14ac:dyDescent="0.15"/>
    <row r="1009" s="187" customFormat="1" x14ac:dyDescent="0.15"/>
    <row r="1010" s="187" customFormat="1" x14ac:dyDescent="0.15"/>
    <row r="1011" s="187" customFormat="1" x14ac:dyDescent="0.15"/>
    <row r="1012" s="187" customFormat="1" x14ac:dyDescent="0.15"/>
    <row r="1013" s="187" customFormat="1" x14ac:dyDescent="0.15"/>
    <row r="1014" s="187" customFormat="1" x14ac:dyDescent="0.15"/>
    <row r="1015" s="187" customFormat="1" x14ac:dyDescent="0.15"/>
    <row r="1016" s="187" customFormat="1" x14ac:dyDescent="0.15"/>
    <row r="1017" s="187" customFormat="1" x14ac:dyDescent="0.15"/>
    <row r="1018" s="187" customFormat="1" x14ac:dyDescent="0.15"/>
    <row r="1019" s="187" customFormat="1" x14ac:dyDescent="0.15"/>
    <row r="1020" s="187" customFormat="1" x14ac:dyDescent="0.15"/>
    <row r="1021" s="187" customFormat="1" x14ac:dyDescent="0.15"/>
    <row r="1022" s="187" customFormat="1" x14ac:dyDescent="0.15"/>
    <row r="1023" s="187" customFormat="1" x14ac:dyDescent="0.15"/>
    <row r="1024" s="187" customFormat="1" x14ac:dyDescent="0.15"/>
    <row r="1025" s="187" customFormat="1" x14ac:dyDescent="0.15"/>
    <row r="1026" s="187" customFormat="1" x14ac:dyDescent="0.15"/>
    <row r="1027" s="187" customFormat="1" x14ac:dyDescent="0.15"/>
    <row r="1028" s="187" customFormat="1" x14ac:dyDescent="0.15"/>
    <row r="1029" s="187" customFormat="1" x14ac:dyDescent="0.15"/>
    <row r="1030" s="187" customFormat="1" x14ac:dyDescent="0.15"/>
    <row r="1031" s="187" customFormat="1" x14ac:dyDescent="0.15"/>
    <row r="1032" s="187" customFormat="1" x14ac:dyDescent="0.15"/>
    <row r="1033" s="187" customFormat="1" x14ac:dyDescent="0.15"/>
    <row r="1034" s="187" customFormat="1" x14ac:dyDescent="0.15"/>
    <row r="1035" s="187" customFormat="1" x14ac:dyDescent="0.15"/>
    <row r="1036" s="187" customFormat="1" x14ac:dyDescent="0.15"/>
    <row r="1037" s="187" customFormat="1" x14ac:dyDescent="0.15"/>
    <row r="1038" s="187" customFormat="1" x14ac:dyDescent="0.15"/>
    <row r="1039" s="187" customFormat="1" x14ac:dyDescent="0.15"/>
    <row r="1040" s="187" customFormat="1" x14ac:dyDescent="0.15"/>
    <row r="1041" s="187" customFormat="1" x14ac:dyDescent="0.15"/>
    <row r="1042" s="187" customFormat="1" x14ac:dyDescent="0.15"/>
    <row r="1043" s="187" customFormat="1" x14ac:dyDescent="0.15"/>
    <row r="1044" s="187" customFormat="1" x14ac:dyDescent="0.15"/>
    <row r="1045" s="187" customFormat="1" x14ac:dyDescent="0.15"/>
    <row r="1046" s="187" customFormat="1" x14ac:dyDescent="0.15"/>
    <row r="1047" s="187" customFormat="1" x14ac:dyDescent="0.15"/>
    <row r="1048" s="187" customFormat="1" x14ac:dyDescent="0.15"/>
    <row r="1049" s="187" customFormat="1" x14ac:dyDescent="0.15"/>
    <row r="1050" s="187" customFormat="1" x14ac:dyDescent="0.15"/>
    <row r="1051" s="187" customFormat="1" x14ac:dyDescent="0.15"/>
    <row r="1052" s="187" customFormat="1" x14ac:dyDescent="0.15"/>
    <row r="1053" s="187" customFormat="1" x14ac:dyDescent="0.15"/>
    <row r="1054" s="187" customFormat="1" x14ac:dyDescent="0.15"/>
    <row r="1055" s="187" customFormat="1" x14ac:dyDescent="0.15"/>
    <row r="1056" s="187" customFormat="1" x14ac:dyDescent="0.15"/>
    <row r="1057" s="187" customFormat="1" x14ac:dyDescent="0.15"/>
    <row r="1058" s="187" customFormat="1" x14ac:dyDescent="0.15"/>
    <row r="1059" s="187" customFormat="1" x14ac:dyDescent="0.15"/>
    <row r="1060" s="187" customFormat="1" x14ac:dyDescent="0.15"/>
    <row r="1061" s="187" customFormat="1" x14ac:dyDescent="0.15"/>
    <row r="1062" s="187" customFormat="1" x14ac:dyDescent="0.15"/>
    <row r="1063" s="187" customFormat="1" x14ac:dyDescent="0.15"/>
    <row r="1064" s="187" customFormat="1" x14ac:dyDescent="0.15"/>
    <row r="1065" s="187" customFormat="1" x14ac:dyDescent="0.15"/>
    <row r="1066" s="187" customFormat="1" x14ac:dyDescent="0.15"/>
    <row r="1067" s="187" customFormat="1" x14ac:dyDescent="0.15"/>
    <row r="1068" s="187" customFormat="1" x14ac:dyDescent="0.15"/>
    <row r="1069" s="187" customFormat="1" x14ac:dyDescent="0.15"/>
    <row r="1070" s="187" customFormat="1" x14ac:dyDescent="0.15"/>
    <row r="1071" s="187" customFormat="1" x14ac:dyDescent="0.15"/>
    <row r="1072" s="187" customFormat="1" x14ac:dyDescent="0.15"/>
    <row r="1073" s="187" customFormat="1" x14ac:dyDescent="0.15"/>
    <row r="1074" s="187" customFormat="1" x14ac:dyDescent="0.15"/>
    <row r="1075" s="187" customFormat="1" x14ac:dyDescent="0.15"/>
    <row r="1076" s="187" customFormat="1" x14ac:dyDescent="0.15"/>
    <row r="1077" s="187" customFormat="1" x14ac:dyDescent="0.15"/>
    <row r="1078" s="187" customFormat="1" x14ac:dyDescent="0.15"/>
    <row r="1079" s="187" customFormat="1" x14ac:dyDescent="0.15"/>
    <row r="1080" s="187" customFormat="1" x14ac:dyDescent="0.15"/>
    <row r="1081" s="187" customFormat="1" x14ac:dyDescent="0.15"/>
    <row r="1082" s="187" customFormat="1" x14ac:dyDescent="0.15"/>
    <row r="1083" s="187" customFormat="1" x14ac:dyDescent="0.15"/>
    <row r="1084" s="187" customFormat="1" x14ac:dyDescent="0.15"/>
    <row r="1085" s="187" customFormat="1" x14ac:dyDescent="0.15"/>
    <row r="1086" s="187" customFormat="1" x14ac:dyDescent="0.15"/>
    <row r="1087" s="187" customFormat="1" x14ac:dyDescent="0.15"/>
    <row r="1088" s="187" customFormat="1" x14ac:dyDescent="0.15"/>
    <row r="1089" s="187" customFormat="1" x14ac:dyDescent="0.15"/>
    <row r="1090" s="187" customFormat="1" x14ac:dyDescent="0.15"/>
    <row r="1091" s="187" customFormat="1" x14ac:dyDescent="0.15"/>
    <row r="1092" s="187" customFormat="1" x14ac:dyDescent="0.15"/>
    <row r="1093" s="187" customFormat="1" x14ac:dyDescent="0.15"/>
    <row r="1094" s="187" customFormat="1" x14ac:dyDescent="0.15"/>
    <row r="1095" s="187" customFormat="1" x14ac:dyDescent="0.15"/>
    <row r="1096" s="187" customFormat="1" x14ac:dyDescent="0.15"/>
    <row r="1097" s="187" customFormat="1" x14ac:dyDescent="0.15"/>
    <row r="1098" s="187" customFormat="1" x14ac:dyDescent="0.15"/>
    <row r="1099" s="187" customFormat="1" x14ac:dyDescent="0.15"/>
    <row r="1100" s="187" customFormat="1" x14ac:dyDescent="0.15"/>
    <row r="1101" s="187" customFormat="1" x14ac:dyDescent="0.15"/>
    <row r="1102" s="187" customFormat="1" x14ac:dyDescent="0.15"/>
    <row r="1103" s="187" customFormat="1" x14ac:dyDescent="0.15"/>
    <row r="1104" s="187" customFormat="1" x14ac:dyDescent="0.15"/>
    <row r="1105" s="187" customFormat="1" x14ac:dyDescent="0.15"/>
    <row r="1106" s="187" customFormat="1" x14ac:dyDescent="0.15"/>
    <row r="1107" s="187" customFormat="1" x14ac:dyDescent="0.15"/>
    <row r="1108" s="187" customFormat="1" x14ac:dyDescent="0.15"/>
    <row r="1109" s="187" customFormat="1" x14ac:dyDescent="0.15"/>
    <row r="1110" s="187" customFormat="1" x14ac:dyDescent="0.15"/>
    <row r="1111" s="187" customFormat="1" x14ac:dyDescent="0.15"/>
    <row r="1112" s="187" customFormat="1" x14ac:dyDescent="0.15"/>
    <row r="1113" s="187" customFormat="1" x14ac:dyDescent="0.15"/>
    <row r="1114" s="187" customFormat="1" x14ac:dyDescent="0.15"/>
    <row r="1115" s="187" customFormat="1" x14ac:dyDescent="0.15"/>
    <row r="1116" s="187" customFormat="1" x14ac:dyDescent="0.15"/>
    <row r="1117" s="187" customFormat="1" x14ac:dyDescent="0.15"/>
    <row r="1118" s="187" customFormat="1" x14ac:dyDescent="0.15"/>
    <row r="1119" s="187" customFormat="1" x14ac:dyDescent="0.15"/>
    <row r="1120" s="187" customFormat="1" x14ac:dyDescent="0.15"/>
    <row r="1121" s="187" customFormat="1" x14ac:dyDescent="0.15"/>
    <row r="1122" s="187" customFormat="1" x14ac:dyDescent="0.15"/>
    <row r="1123" s="187" customFormat="1" x14ac:dyDescent="0.15"/>
    <row r="1124" s="187" customFormat="1" x14ac:dyDescent="0.15"/>
    <row r="1125" s="187" customFormat="1" x14ac:dyDescent="0.15"/>
    <row r="1126" s="187" customFormat="1" x14ac:dyDescent="0.15"/>
    <row r="1127" s="187" customFormat="1" x14ac:dyDescent="0.15"/>
    <row r="1128" s="187" customFormat="1" x14ac:dyDescent="0.15"/>
    <row r="1129" s="187" customFormat="1" x14ac:dyDescent="0.15"/>
    <row r="1130" s="187" customFormat="1" x14ac:dyDescent="0.15"/>
    <row r="1131" s="187" customFormat="1" x14ac:dyDescent="0.15"/>
    <row r="1132" s="187" customFormat="1" x14ac:dyDescent="0.15"/>
    <row r="1133" s="187" customFormat="1" x14ac:dyDescent="0.15"/>
    <row r="1134" s="187" customFormat="1" x14ac:dyDescent="0.15"/>
    <row r="1135" s="187" customFormat="1" x14ac:dyDescent="0.15"/>
    <row r="1136" s="187" customFormat="1" x14ac:dyDescent="0.15"/>
    <row r="1137" s="187" customFormat="1" x14ac:dyDescent="0.15"/>
    <row r="1138" s="187" customFormat="1" x14ac:dyDescent="0.15"/>
    <row r="1139" s="187" customFormat="1" x14ac:dyDescent="0.15"/>
    <row r="1140" s="187" customFormat="1" x14ac:dyDescent="0.15"/>
    <row r="1141" s="187" customFormat="1" x14ac:dyDescent="0.15"/>
    <row r="1142" s="187" customFormat="1" x14ac:dyDescent="0.15"/>
    <row r="1143" s="187" customFormat="1" x14ac:dyDescent="0.15"/>
    <row r="1144" s="187" customFormat="1" x14ac:dyDescent="0.15"/>
    <row r="1145" s="187" customFormat="1" x14ac:dyDescent="0.15"/>
    <row r="1146" s="187" customFormat="1" x14ac:dyDescent="0.15"/>
    <row r="1147" s="187" customFormat="1" x14ac:dyDescent="0.15"/>
    <row r="1148" s="187" customFormat="1" x14ac:dyDescent="0.15"/>
    <row r="1149" s="187" customFormat="1" x14ac:dyDescent="0.15"/>
    <row r="1150" s="187" customFormat="1" x14ac:dyDescent="0.15"/>
    <row r="1151" s="187" customFormat="1" x14ac:dyDescent="0.15"/>
    <row r="1152" s="187" customFormat="1" x14ac:dyDescent="0.15"/>
    <row r="1153" s="187" customFormat="1" x14ac:dyDescent="0.15"/>
    <row r="1154" s="187" customFormat="1" x14ac:dyDescent="0.15"/>
    <row r="1155" s="187" customFormat="1" x14ac:dyDescent="0.15"/>
    <row r="1156" s="187" customFormat="1" x14ac:dyDescent="0.15"/>
    <row r="1157" s="187" customFormat="1" x14ac:dyDescent="0.15"/>
    <row r="1158" s="187" customFormat="1" x14ac:dyDescent="0.15"/>
    <row r="1159" s="187" customFormat="1" x14ac:dyDescent="0.15"/>
    <row r="1160" s="187" customFormat="1" x14ac:dyDescent="0.15"/>
    <row r="1161" s="187" customFormat="1" x14ac:dyDescent="0.15"/>
    <row r="1162" s="187" customFormat="1" x14ac:dyDescent="0.15"/>
    <row r="1163" s="187" customFormat="1" x14ac:dyDescent="0.15"/>
    <row r="1164" s="187" customFormat="1" x14ac:dyDescent="0.15"/>
    <row r="1165" s="187" customFormat="1" x14ac:dyDescent="0.15"/>
    <row r="1166" s="187" customFormat="1" x14ac:dyDescent="0.15"/>
    <row r="1167" s="187" customFormat="1" x14ac:dyDescent="0.15"/>
    <row r="1168" s="187" customFormat="1" x14ac:dyDescent="0.15"/>
    <row r="1169" s="187" customFormat="1" x14ac:dyDescent="0.15"/>
    <row r="1170" s="187" customFormat="1" x14ac:dyDescent="0.15"/>
    <row r="1171" s="187" customFormat="1" x14ac:dyDescent="0.15"/>
    <row r="1172" s="187" customFormat="1" x14ac:dyDescent="0.15"/>
    <row r="1173" s="187" customFormat="1" x14ac:dyDescent="0.15"/>
    <row r="1174" s="187" customFormat="1" x14ac:dyDescent="0.15"/>
    <row r="1175" s="187" customFormat="1" x14ac:dyDescent="0.15"/>
    <row r="1176" s="187" customFormat="1" x14ac:dyDescent="0.15"/>
    <row r="1177" s="187" customFormat="1" x14ac:dyDescent="0.15"/>
    <row r="1178" s="187" customFormat="1" x14ac:dyDescent="0.15"/>
    <row r="1179" s="187" customFormat="1" x14ac:dyDescent="0.15"/>
    <row r="1180" s="187" customFormat="1" x14ac:dyDescent="0.15"/>
    <row r="1181" s="187" customFormat="1" x14ac:dyDescent="0.15"/>
    <row r="1182" s="187" customFormat="1" x14ac:dyDescent="0.15"/>
    <row r="1183" s="187" customFormat="1" x14ac:dyDescent="0.15"/>
    <row r="1184" s="187" customFormat="1" x14ac:dyDescent="0.15"/>
    <row r="1185" s="187" customFormat="1" x14ac:dyDescent="0.15"/>
    <row r="1186" s="187" customFormat="1" x14ac:dyDescent="0.15"/>
    <row r="1187" s="187" customFormat="1" x14ac:dyDescent="0.15"/>
    <row r="1188" s="187" customFormat="1" x14ac:dyDescent="0.15"/>
    <row r="1189" s="187" customFormat="1" x14ac:dyDescent="0.15"/>
    <row r="1190" s="187" customFormat="1" x14ac:dyDescent="0.15"/>
    <row r="1191" s="187" customFormat="1" x14ac:dyDescent="0.15"/>
    <row r="1192" s="187" customFormat="1" x14ac:dyDescent="0.15"/>
    <row r="1193" s="187" customFormat="1" x14ac:dyDescent="0.15"/>
    <row r="1194" s="187" customFormat="1" x14ac:dyDescent="0.15"/>
    <row r="1195" s="187" customFormat="1" x14ac:dyDescent="0.15"/>
    <row r="1196" s="187" customFormat="1" x14ac:dyDescent="0.15"/>
    <row r="1197" s="187" customFormat="1" x14ac:dyDescent="0.15"/>
    <row r="1198" s="187" customFormat="1" x14ac:dyDescent="0.15"/>
    <row r="1199" s="187" customFormat="1" x14ac:dyDescent="0.15"/>
    <row r="1200" s="187" customFormat="1" x14ac:dyDescent="0.15"/>
    <row r="1201" s="187" customFormat="1" x14ac:dyDescent="0.15"/>
    <row r="1202" s="187" customFormat="1" x14ac:dyDescent="0.15"/>
    <row r="1203" s="187" customFormat="1" x14ac:dyDescent="0.15"/>
    <row r="1204" s="187" customFormat="1" x14ac:dyDescent="0.15"/>
    <row r="1205" s="187" customFormat="1" x14ac:dyDescent="0.15"/>
    <row r="1206" s="187" customFormat="1" x14ac:dyDescent="0.15"/>
    <row r="1207" s="187" customFormat="1" x14ac:dyDescent="0.15"/>
    <row r="1208" s="187" customFormat="1" x14ac:dyDescent="0.15"/>
    <row r="1209" s="187" customFormat="1" x14ac:dyDescent="0.15"/>
    <row r="1210" s="187" customFormat="1" x14ac:dyDescent="0.15"/>
    <row r="1211" s="187" customFormat="1" x14ac:dyDescent="0.15"/>
    <row r="1212" s="187" customFormat="1" x14ac:dyDescent="0.15"/>
    <row r="1213" s="187" customFormat="1" x14ac:dyDescent="0.15"/>
    <row r="1214" s="187" customFormat="1" x14ac:dyDescent="0.15"/>
    <row r="1215" s="187" customFormat="1" x14ac:dyDescent="0.15"/>
    <row r="1216" s="187" customFormat="1" x14ac:dyDescent="0.15"/>
    <row r="1217" s="187" customFormat="1" x14ac:dyDescent="0.15"/>
    <row r="1218" s="187" customFormat="1" x14ac:dyDescent="0.15"/>
    <row r="1219" s="187" customFormat="1" x14ac:dyDescent="0.15"/>
    <row r="1220" s="187" customFormat="1" x14ac:dyDescent="0.15"/>
    <row r="1221" s="187" customFormat="1" x14ac:dyDescent="0.15"/>
    <row r="1222" s="187" customFormat="1" x14ac:dyDescent="0.15"/>
    <row r="1223" s="187" customFormat="1" x14ac:dyDescent="0.15"/>
    <row r="1224" s="187" customFormat="1" x14ac:dyDescent="0.15"/>
    <row r="1225" s="187" customFormat="1" x14ac:dyDescent="0.15"/>
    <row r="1226" s="187" customFormat="1" x14ac:dyDescent="0.15"/>
    <row r="1227" s="187" customFormat="1" x14ac:dyDescent="0.15"/>
    <row r="1228" s="187" customFormat="1" x14ac:dyDescent="0.15"/>
    <row r="1229" s="187" customFormat="1" x14ac:dyDescent="0.15"/>
    <row r="1230" s="187" customFormat="1" x14ac:dyDescent="0.15"/>
    <row r="1231" s="187" customFormat="1" x14ac:dyDescent="0.15"/>
    <row r="1232" s="187" customFormat="1" x14ac:dyDescent="0.15"/>
    <row r="1233" s="187" customFormat="1" x14ac:dyDescent="0.15"/>
    <row r="1234" s="187" customFormat="1" x14ac:dyDescent="0.15"/>
    <row r="1235" s="187" customFormat="1" x14ac:dyDescent="0.15"/>
    <row r="1236" s="187" customFormat="1" x14ac:dyDescent="0.15"/>
    <row r="1237" s="187" customFormat="1" x14ac:dyDescent="0.15"/>
    <row r="1238" s="187" customFormat="1" x14ac:dyDescent="0.15"/>
    <row r="1239" s="187" customFormat="1" x14ac:dyDescent="0.15"/>
    <row r="1240" s="187" customFormat="1" x14ac:dyDescent="0.15"/>
    <row r="1241" s="187" customFormat="1" x14ac:dyDescent="0.15"/>
    <row r="1242" s="187" customFormat="1" x14ac:dyDescent="0.15"/>
    <row r="1243" s="187" customFormat="1" x14ac:dyDescent="0.15"/>
    <row r="1244" s="187" customFormat="1" x14ac:dyDescent="0.15"/>
    <row r="1245" s="187" customFormat="1" x14ac:dyDescent="0.15"/>
    <row r="1246" s="187" customFormat="1" x14ac:dyDescent="0.15"/>
    <row r="1247" s="187" customFormat="1" x14ac:dyDescent="0.15"/>
    <row r="1248" s="187" customFormat="1" x14ac:dyDescent="0.15"/>
    <row r="1249" s="187" customFormat="1" x14ac:dyDescent="0.15"/>
    <row r="1250" s="187" customFormat="1" x14ac:dyDescent="0.15"/>
    <row r="1251" s="187" customFormat="1" x14ac:dyDescent="0.15"/>
    <row r="1252" s="187" customFormat="1" x14ac:dyDescent="0.15"/>
    <row r="1253" s="187" customFormat="1" x14ac:dyDescent="0.15"/>
    <row r="1254" s="187" customFormat="1" x14ac:dyDescent="0.15"/>
    <row r="1255" s="187" customFormat="1" x14ac:dyDescent="0.15"/>
    <row r="1256" s="187" customFormat="1" x14ac:dyDescent="0.15"/>
    <row r="1257" s="187" customFormat="1" x14ac:dyDescent="0.15"/>
    <row r="1258" s="187" customFormat="1" x14ac:dyDescent="0.15"/>
    <row r="1259" s="187" customFormat="1" x14ac:dyDescent="0.15"/>
    <row r="1260" s="187" customFormat="1" x14ac:dyDescent="0.15"/>
    <row r="1261" s="187" customFormat="1" x14ac:dyDescent="0.15"/>
    <row r="1262" s="187" customFormat="1" x14ac:dyDescent="0.15"/>
    <row r="1263" s="187" customFormat="1" x14ac:dyDescent="0.15"/>
    <row r="1264" s="187" customFormat="1" x14ac:dyDescent="0.15"/>
    <row r="1265" s="187" customFormat="1" x14ac:dyDescent="0.15"/>
    <row r="1266" s="187" customFormat="1" x14ac:dyDescent="0.15"/>
    <row r="1267" s="187" customFormat="1" x14ac:dyDescent="0.15"/>
    <row r="1268" s="187" customFormat="1" x14ac:dyDescent="0.15"/>
    <row r="1269" s="187" customFormat="1" x14ac:dyDescent="0.15"/>
    <row r="1270" s="187" customFormat="1" x14ac:dyDescent="0.15"/>
    <row r="1271" s="187" customFormat="1" x14ac:dyDescent="0.15"/>
    <row r="1272" s="187" customFormat="1" x14ac:dyDescent="0.15"/>
    <row r="1273" s="187" customFormat="1" x14ac:dyDescent="0.15"/>
    <row r="1274" s="187" customFormat="1" x14ac:dyDescent="0.15"/>
    <row r="1275" s="187" customFormat="1" x14ac:dyDescent="0.15"/>
    <row r="1276" s="187" customFormat="1" x14ac:dyDescent="0.15"/>
    <row r="1277" s="187" customFormat="1" x14ac:dyDescent="0.15"/>
    <row r="1278" s="187" customFormat="1" x14ac:dyDescent="0.15"/>
    <row r="1279" s="187" customFormat="1" x14ac:dyDescent="0.15"/>
    <row r="1280" s="187" customFormat="1" x14ac:dyDescent="0.15"/>
    <row r="1281" s="187" customFormat="1" x14ac:dyDescent="0.15"/>
    <row r="1282" s="187" customFormat="1" x14ac:dyDescent="0.15"/>
    <row r="1283" s="187" customFormat="1" x14ac:dyDescent="0.15"/>
    <row r="1284" s="187" customFormat="1" x14ac:dyDescent="0.15"/>
    <row r="1285" s="187" customFormat="1" x14ac:dyDescent="0.15"/>
    <row r="1286" s="187" customFormat="1" x14ac:dyDescent="0.15"/>
    <row r="1287" s="187" customFormat="1" x14ac:dyDescent="0.15"/>
    <row r="1288" s="187" customFormat="1" x14ac:dyDescent="0.15"/>
    <row r="1289" s="187" customFormat="1" x14ac:dyDescent="0.15"/>
    <row r="1290" s="187" customFormat="1" x14ac:dyDescent="0.15"/>
    <row r="1291" s="187" customFormat="1" x14ac:dyDescent="0.15"/>
    <row r="1292" s="187" customFormat="1" x14ac:dyDescent="0.15"/>
    <row r="1293" s="187" customFormat="1" x14ac:dyDescent="0.15"/>
    <row r="1294" s="187" customFormat="1" x14ac:dyDescent="0.15"/>
    <row r="1295" s="187" customFormat="1" x14ac:dyDescent="0.15"/>
    <row r="1296" s="187" customFormat="1" x14ac:dyDescent="0.15"/>
    <row r="1297" s="187" customFormat="1" x14ac:dyDescent="0.15"/>
    <row r="1298" s="187" customFormat="1" x14ac:dyDescent="0.15"/>
    <row r="1299" s="187" customFormat="1" x14ac:dyDescent="0.15"/>
    <row r="1300" s="187" customFormat="1" x14ac:dyDescent="0.15"/>
    <row r="1301" s="187" customFormat="1" x14ac:dyDescent="0.15"/>
    <row r="1302" s="187" customFormat="1" x14ac:dyDescent="0.15"/>
    <row r="1303" s="187" customFormat="1" x14ac:dyDescent="0.15"/>
    <row r="1304" s="187" customFormat="1" x14ac:dyDescent="0.15"/>
    <row r="1305" s="187" customFormat="1" x14ac:dyDescent="0.15"/>
    <row r="1306" s="187" customFormat="1" x14ac:dyDescent="0.15"/>
    <row r="1307" s="187" customFormat="1" x14ac:dyDescent="0.15"/>
    <row r="1308" s="187" customFormat="1" x14ac:dyDescent="0.15"/>
    <row r="1309" s="187" customFormat="1" x14ac:dyDescent="0.15"/>
    <row r="1310" s="187" customFormat="1" x14ac:dyDescent="0.15"/>
    <row r="1311" s="187" customFormat="1" x14ac:dyDescent="0.15"/>
    <row r="1312" s="187" customFormat="1" x14ac:dyDescent="0.15"/>
    <row r="1313" s="187" customFormat="1" x14ac:dyDescent="0.15"/>
    <row r="1314" s="187" customFormat="1" x14ac:dyDescent="0.15"/>
    <row r="1315" s="187" customFormat="1" x14ac:dyDescent="0.15"/>
    <row r="1316" s="187" customFormat="1" x14ac:dyDescent="0.15"/>
    <row r="1317" s="187" customFormat="1" x14ac:dyDescent="0.15"/>
    <row r="1318" s="187" customFormat="1" x14ac:dyDescent="0.15"/>
    <row r="1319" s="187" customFormat="1" x14ac:dyDescent="0.15"/>
    <row r="1320" s="187" customFormat="1" x14ac:dyDescent="0.15"/>
    <row r="1321" s="187" customFormat="1" x14ac:dyDescent="0.15"/>
    <row r="1322" s="187" customFormat="1" x14ac:dyDescent="0.15"/>
    <row r="1323" s="187" customFormat="1" x14ac:dyDescent="0.15"/>
    <row r="1324" s="187" customFormat="1" x14ac:dyDescent="0.15"/>
    <row r="1325" s="187" customFormat="1" x14ac:dyDescent="0.15"/>
    <row r="1326" s="187" customFormat="1" x14ac:dyDescent="0.15"/>
    <row r="1327" s="187" customFormat="1" x14ac:dyDescent="0.15"/>
    <row r="1328" s="187" customFormat="1" x14ac:dyDescent="0.15"/>
    <row r="1329" s="187" customFormat="1" x14ac:dyDescent="0.15"/>
    <row r="1330" s="187" customFormat="1" x14ac:dyDescent="0.15"/>
    <row r="1331" s="187" customFormat="1" x14ac:dyDescent="0.15"/>
    <row r="1332" s="187" customFormat="1" x14ac:dyDescent="0.15"/>
    <row r="1333" s="187" customFormat="1" x14ac:dyDescent="0.15"/>
    <row r="1334" s="187" customFormat="1" x14ac:dyDescent="0.15"/>
    <row r="1335" s="187" customFormat="1" x14ac:dyDescent="0.15"/>
    <row r="1336" s="187" customFormat="1" x14ac:dyDescent="0.15"/>
    <row r="1337" s="187" customFormat="1" x14ac:dyDescent="0.15"/>
    <row r="1338" s="187" customFormat="1" x14ac:dyDescent="0.15"/>
    <row r="1339" s="187" customFormat="1" x14ac:dyDescent="0.15"/>
    <row r="1340" s="187" customFormat="1" x14ac:dyDescent="0.15"/>
    <row r="1341" s="187" customFormat="1" x14ac:dyDescent="0.15"/>
    <row r="1342" s="187" customFormat="1" x14ac:dyDescent="0.15"/>
  </sheetData>
  <sheetProtection algorithmName="SHA-512" hashValue="qcLra9gVT6J1qC2enVSU6q9VR43u7vg6sFR9ww3PjmU8J3M2METUCeLmyVPHwMQ2es6NRGfY/PB/12rzAO6HDw==" saltValue="LSZTKGMo7Q5aI1dzT2fc5g==" spinCount="100000" sheet="1" objects="1" scenarios="1"/>
  <dataValidations count="2">
    <dataValidation type="whole" showInputMessage="1" showErrorMessage="1" errorTitle="Incorrect number" error="Please enter quarterly consumption between 700-4000kWh" sqref="C5" xr:uid="{2F1C7FDF-E4E0-2A41-839A-5C2A5CE0E10B}">
      <formula1>700</formula1>
      <formula2>4000</formula2>
    </dataValidation>
    <dataValidation type="decimal" showInputMessage="1" showErrorMessage="1" errorTitle="Incorrect entry" error="Enter 1.5 or 3.0 only" sqref="C4" xr:uid="{8926573D-DBFE-464A-ACCB-9AFFFB3B8C85}">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41F4-AC0C-F249-8E59-2E08F452FCD9}">
  <sheetPr codeName="Sheet19"/>
  <dimension ref="A1:CD52"/>
  <sheetViews>
    <sheetView zoomScale="110" zoomScaleNormal="110" workbookViewId="0">
      <selection activeCell="AU7" sqref="AU7"/>
    </sheetView>
  </sheetViews>
  <sheetFormatPr baseColWidth="10" defaultRowHeight="13" customHeight="1" x14ac:dyDescent="0.15"/>
  <cols>
    <col min="1" max="10" width="10.83203125" style="156"/>
    <col min="11" max="11" width="17" style="156" bestFit="1" customWidth="1"/>
    <col min="12" max="12" width="19" style="156" bestFit="1" customWidth="1"/>
    <col min="13" max="40" width="10.83203125" style="156"/>
    <col min="41" max="41" width="13" style="156" bestFit="1" customWidth="1"/>
    <col min="42" max="67" width="10.83203125" style="156"/>
    <col min="68" max="68" width="11.6640625" style="156" customWidth="1"/>
    <col min="69" max="76" width="10.83203125" style="156"/>
    <col min="77" max="77" width="21.6640625" style="156" customWidth="1"/>
    <col min="78" max="16384" width="10.83203125" style="156"/>
  </cols>
  <sheetData>
    <row r="1" spans="1:82" s="249" customFormat="1" ht="13" customHeight="1" x14ac:dyDescent="0.15">
      <c r="A1" s="215" t="s">
        <v>343</v>
      </c>
      <c r="B1" s="216" t="s">
        <v>718</v>
      </c>
      <c r="C1" s="217" t="s">
        <v>719</v>
      </c>
      <c r="D1" s="218" t="s">
        <v>720</v>
      </c>
      <c r="E1" s="218" t="s">
        <v>721</v>
      </c>
      <c r="F1" s="218" t="s">
        <v>722</v>
      </c>
      <c r="G1" s="216" t="s">
        <v>723</v>
      </c>
      <c r="H1" s="219" t="s">
        <v>724</v>
      </c>
      <c r="I1" s="219" t="s">
        <v>725</v>
      </c>
      <c r="J1" s="219" t="s">
        <v>726</v>
      </c>
      <c r="K1" s="218" t="s">
        <v>231</v>
      </c>
      <c r="L1" s="220" t="s">
        <v>727</v>
      </c>
      <c r="M1" s="221" t="s">
        <v>233</v>
      </c>
      <c r="N1" s="222" t="s">
        <v>728</v>
      </c>
      <c r="O1" s="223" t="s">
        <v>235</v>
      </c>
      <c r="P1" s="223" t="s">
        <v>729</v>
      </c>
      <c r="Q1" s="222" t="s">
        <v>730</v>
      </c>
      <c r="R1" s="223" t="s">
        <v>731</v>
      </c>
      <c r="S1" s="222" t="s">
        <v>732</v>
      </c>
      <c r="T1" s="223" t="s">
        <v>733</v>
      </c>
      <c r="U1" s="222" t="s">
        <v>734</v>
      </c>
      <c r="V1" s="224" t="s">
        <v>735</v>
      </c>
      <c r="W1" s="225" t="s">
        <v>736</v>
      </c>
      <c r="X1" s="226" t="s">
        <v>737</v>
      </c>
      <c r="Y1" s="225" t="s">
        <v>738</v>
      </c>
      <c r="Z1" s="227" t="s">
        <v>739</v>
      </c>
      <c r="AA1" s="225" t="s">
        <v>740</v>
      </c>
      <c r="AB1" s="227" t="s">
        <v>741</v>
      </c>
      <c r="AC1" s="225" t="s">
        <v>742</v>
      </c>
      <c r="AD1" s="225" t="s">
        <v>743</v>
      </c>
      <c r="AE1" s="228" t="s">
        <v>744</v>
      </c>
      <c r="AF1" s="229" t="s">
        <v>745</v>
      </c>
      <c r="AG1" s="230" t="s">
        <v>746</v>
      </c>
      <c r="AH1" s="231" t="s">
        <v>747</v>
      </c>
      <c r="AI1" s="232" t="s">
        <v>748</v>
      </c>
      <c r="AJ1" s="232" t="s">
        <v>749</v>
      </c>
      <c r="AK1" s="231" t="s">
        <v>750</v>
      </c>
      <c r="AL1" s="233" t="s">
        <v>751</v>
      </c>
      <c r="AM1" s="234" t="s">
        <v>752</v>
      </c>
      <c r="AN1" s="234" t="s">
        <v>753</v>
      </c>
      <c r="AO1" s="235" t="s">
        <v>754</v>
      </c>
      <c r="AP1" s="236" t="s">
        <v>755</v>
      </c>
      <c r="AQ1" s="236" t="s">
        <v>756</v>
      </c>
      <c r="AR1" s="237" t="s">
        <v>757</v>
      </c>
      <c r="AS1" s="238" t="s">
        <v>758</v>
      </c>
      <c r="AT1" s="239" t="s">
        <v>759</v>
      </c>
      <c r="AU1" s="343" t="s">
        <v>867</v>
      </c>
      <c r="AV1" s="343" t="s">
        <v>868</v>
      </c>
      <c r="AW1" s="343" t="s">
        <v>866</v>
      </c>
      <c r="AX1" s="241" t="s">
        <v>763</v>
      </c>
      <c r="AY1" s="242" t="s">
        <v>764</v>
      </c>
      <c r="AZ1" s="243" t="s">
        <v>765</v>
      </c>
      <c r="BA1" s="244" t="s">
        <v>766</v>
      </c>
      <c r="BB1" s="243" t="s">
        <v>767</v>
      </c>
      <c r="BC1" s="244" t="s">
        <v>768</v>
      </c>
      <c r="BD1" s="243" t="s">
        <v>769</v>
      </c>
      <c r="BE1" s="244" t="s">
        <v>770</v>
      </c>
      <c r="BF1" s="245" t="s">
        <v>771</v>
      </c>
      <c r="BG1" s="246" t="s">
        <v>772</v>
      </c>
      <c r="BH1" s="245" t="s">
        <v>453</v>
      </c>
      <c r="BI1" s="246" t="s">
        <v>454</v>
      </c>
      <c r="BJ1" s="243" t="s">
        <v>773</v>
      </c>
      <c r="BK1" s="247" t="s">
        <v>774</v>
      </c>
      <c r="BL1" s="219" t="s">
        <v>775</v>
      </c>
      <c r="BM1" s="219" t="s">
        <v>776</v>
      </c>
      <c r="BN1" s="219" t="s">
        <v>777</v>
      </c>
      <c r="BO1" s="219" t="s">
        <v>778</v>
      </c>
      <c r="BP1" s="248" t="s">
        <v>779</v>
      </c>
      <c r="BQ1" s="219" t="s">
        <v>456</v>
      </c>
      <c r="BR1" s="219" t="s">
        <v>457</v>
      </c>
      <c r="BS1" s="219" t="s">
        <v>458</v>
      </c>
      <c r="BT1" s="217" t="s">
        <v>780</v>
      </c>
      <c r="BU1" s="217" t="s">
        <v>781</v>
      </c>
      <c r="BV1" s="219" t="s">
        <v>782</v>
      </c>
      <c r="BW1" s="219" t="s">
        <v>783</v>
      </c>
      <c r="BX1" s="219" t="s">
        <v>784</v>
      </c>
      <c r="BY1" s="217" t="s">
        <v>785</v>
      </c>
      <c r="BZ1" s="219" t="s">
        <v>786</v>
      </c>
      <c r="CA1" s="216" t="s">
        <v>787</v>
      </c>
    </row>
    <row r="2" spans="1:82" ht="13" customHeight="1" x14ac:dyDescent="0.15">
      <c r="A2" s="306">
        <v>10816</v>
      </c>
      <c r="B2" s="46">
        <v>42925</v>
      </c>
      <c r="C2" s="46" t="s">
        <v>641</v>
      </c>
      <c r="D2" s="48" t="s">
        <v>534</v>
      </c>
      <c r="E2" s="48"/>
      <c r="F2" s="48" t="s">
        <v>642</v>
      </c>
      <c r="G2" s="46">
        <v>42922</v>
      </c>
      <c r="H2" s="49" t="s">
        <v>507</v>
      </c>
      <c r="I2" s="49" t="s">
        <v>508</v>
      </c>
      <c r="J2" s="48"/>
      <c r="K2" s="48" t="s">
        <v>138</v>
      </c>
      <c r="L2" s="48" t="s">
        <v>643</v>
      </c>
      <c r="M2" s="146">
        <v>89.854545454545445</v>
      </c>
      <c r="N2" s="146">
        <v>30.8</v>
      </c>
      <c r="O2" s="48"/>
      <c r="P2" s="50"/>
      <c r="Q2" s="146"/>
      <c r="R2" s="50"/>
      <c r="S2" s="146"/>
      <c r="T2" s="50"/>
      <c r="U2" s="146"/>
      <c r="V2" s="146"/>
      <c r="W2" s="146"/>
      <c r="X2" s="48"/>
      <c r="Y2" s="146"/>
      <c r="Z2" s="146"/>
      <c r="AA2" s="146"/>
      <c r="AB2" s="146"/>
      <c r="AC2" s="146"/>
      <c r="AD2" s="146"/>
      <c r="AE2" s="146"/>
      <c r="AF2" s="50"/>
      <c r="AG2" s="48"/>
      <c r="AH2" s="146"/>
      <c r="AI2" s="48"/>
      <c r="AJ2" s="48"/>
      <c r="AK2" s="146"/>
      <c r="AL2" s="48"/>
      <c r="AM2" s="146"/>
      <c r="AN2" s="146"/>
      <c r="AO2" s="48" t="s">
        <v>645</v>
      </c>
      <c r="AP2" s="49" t="s">
        <v>547</v>
      </c>
      <c r="AQ2" s="48"/>
      <c r="AR2" s="48"/>
      <c r="AS2" s="49"/>
      <c r="AT2" s="49">
        <v>16</v>
      </c>
      <c r="AU2" s="49"/>
      <c r="AV2" s="49"/>
      <c r="AW2" s="49"/>
      <c r="AX2" s="49" t="s">
        <v>495</v>
      </c>
      <c r="AY2" s="49"/>
      <c r="AZ2" s="49">
        <v>0</v>
      </c>
      <c r="BA2" s="49">
        <v>0</v>
      </c>
      <c r="BB2" s="49">
        <v>0</v>
      </c>
      <c r="BC2" s="49">
        <v>0</v>
      </c>
      <c r="BD2" s="49">
        <v>0</v>
      </c>
      <c r="BE2" s="49">
        <v>0</v>
      </c>
      <c r="BF2" s="49">
        <v>0</v>
      </c>
      <c r="BG2" s="49">
        <v>0</v>
      </c>
      <c r="BH2" s="49">
        <v>0</v>
      </c>
      <c r="BI2" s="49">
        <v>0</v>
      </c>
      <c r="BJ2" s="49">
        <v>0</v>
      </c>
      <c r="BK2" s="49">
        <v>0</v>
      </c>
      <c r="BL2" s="49"/>
      <c r="BM2" s="49" t="s">
        <v>547</v>
      </c>
      <c r="BN2" s="49">
        <v>12</v>
      </c>
      <c r="BO2" s="49" t="s">
        <v>547</v>
      </c>
      <c r="BP2" s="250"/>
      <c r="BQ2" s="49"/>
      <c r="BR2" s="49"/>
      <c r="BS2" s="49"/>
      <c r="BT2" s="49"/>
      <c r="BU2" s="49"/>
      <c r="BV2" s="49"/>
      <c r="BW2" s="49" t="s">
        <v>646</v>
      </c>
      <c r="BX2" s="49"/>
      <c r="BY2" s="48"/>
      <c r="BZ2" s="324" t="s">
        <v>647</v>
      </c>
      <c r="CA2" s="48" t="s">
        <v>90</v>
      </c>
    </row>
    <row r="3" spans="1:82" ht="13" customHeight="1" x14ac:dyDescent="0.2">
      <c r="A3" s="306">
        <v>14769</v>
      </c>
      <c r="B3" s="256">
        <v>42925</v>
      </c>
      <c r="C3" s="257" t="s">
        <v>641</v>
      </c>
      <c r="D3" s="255" t="s">
        <v>534</v>
      </c>
      <c r="E3" s="255"/>
      <c r="F3" s="255" t="s">
        <v>642</v>
      </c>
      <c r="G3" s="307">
        <v>42916</v>
      </c>
      <c r="H3" s="258" t="s">
        <v>507</v>
      </c>
      <c r="I3" s="258" t="s">
        <v>547</v>
      </c>
      <c r="J3" s="258"/>
      <c r="K3" s="255" t="s">
        <v>139</v>
      </c>
      <c r="L3" s="255" t="s">
        <v>802</v>
      </c>
      <c r="M3" s="259">
        <v>83</v>
      </c>
      <c r="N3" s="259">
        <v>24.063636363636359</v>
      </c>
      <c r="O3" s="255" t="s">
        <v>648</v>
      </c>
      <c r="P3" s="260">
        <v>300</v>
      </c>
      <c r="Q3" s="259">
        <v>26.799999999999997</v>
      </c>
      <c r="R3" s="260"/>
      <c r="S3" s="259"/>
      <c r="T3" s="255"/>
      <c r="U3" s="259"/>
      <c r="V3" s="259"/>
      <c r="W3" s="259"/>
      <c r="X3" s="255"/>
      <c r="Y3" s="259"/>
      <c r="Z3" s="259"/>
      <c r="AA3" s="259"/>
      <c r="AB3" s="259"/>
      <c r="AC3" s="259"/>
      <c r="AD3" s="259"/>
      <c r="AE3" s="259"/>
      <c r="AF3" s="260"/>
      <c r="AG3" s="255"/>
      <c r="AH3" s="259"/>
      <c r="AI3" s="255"/>
      <c r="AJ3" s="255"/>
      <c r="AK3" s="259"/>
      <c r="AL3" s="255"/>
      <c r="AM3" s="259"/>
      <c r="AN3" s="259"/>
      <c r="AO3" s="255" t="s">
        <v>645</v>
      </c>
      <c r="AP3" s="258" t="s">
        <v>547</v>
      </c>
      <c r="AQ3" s="258"/>
      <c r="AR3" s="258"/>
      <c r="AS3" s="262"/>
      <c r="AT3" s="258">
        <v>9.5</v>
      </c>
      <c r="AU3" s="258"/>
      <c r="AV3" s="258"/>
      <c r="AW3" s="258"/>
      <c r="AX3" s="258" t="s">
        <v>547</v>
      </c>
      <c r="AY3" s="255"/>
      <c r="AZ3" s="258">
        <v>0</v>
      </c>
      <c r="BA3" s="258">
        <v>0</v>
      </c>
      <c r="BB3" s="258">
        <v>0</v>
      </c>
      <c r="BC3" s="258">
        <v>0</v>
      </c>
      <c r="BD3" s="258">
        <v>0</v>
      </c>
      <c r="BE3" s="258">
        <v>0</v>
      </c>
      <c r="BF3" s="258">
        <v>0</v>
      </c>
      <c r="BG3" s="258">
        <v>0</v>
      </c>
      <c r="BH3" s="258">
        <v>0</v>
      </c>
      <c r="BI3" s="258">
        <v>0</v>
      </c>
      <c r="BJ3" s="258">
        <v>0</v>
      </c>
      <c r="BK3" s="258">
        <v>0</v>
      </c>
      <c r="BL3" s="258"/>
      <c r="BM3" s="258" t="s">
        <v>547</v>
      </c>
      <c r="BN3" s="258"/>
      <c r="BO3" s="258" t="s">
        <v>547</v>
      </c>
      <c r="BP3" s="263"/>
      <c r="BQ3" s="258"/>
      <c r="BR3" s="258"/>
      <c r="BS3" s="258"/>
      <c r="BT3" s="255"/>
      <c r="BU3" s="255"/>
      <c r="BV3" s="258"/>
      <c r="BW3" s="258" t="s">
        <v>646</v>
      </c>
      <c r="BX3" s="258">
        <v>1</v>
      </c>
      <c r="BY3" s="255"/>
      <c r="BZ3" s="308" t="s">
        <v>803</v>
      </c>
      <c r="CA3" s="255" t="s">
        <v>90</v>
      </c>
    </row>
    <row r="4" spans="1:82" ht="13" customHeight="1" x14ac:dyDescent="0.2">
      <c r="A4" s="306">
        <v>11132</v>
      </c>
      <c r="B4" s="256">
        <v>42928</v>
      </c>
      <c r="C4" s="257" t="s">
        <v>641</v>
      </c>
      <c r="D4" s="255" t="s">
        <v>534</v>
      </c>
      <c r="E4" s="255"/>
      <c r="F4" s="255" t="s">
        <v>642</v>
      </c>
      <c r="G4" s="307">
        <v>42643</v>
      </c>
      <c r="H4" s="258" t="s">
        <v>507</v>
      </c>
      <c r="I4" s="258" t="s">
        <v>547</v>
      </c>
      <c r="J4" s="258"/>
      <c r="K4" s="255" t="s">
        <v>142</v>
      </c>
      <c r="L4" s="255" t="s">
        <v>788</v>
      </c>
      <c r="M4" s="259">
        <v>86.95</v>
      </c>
      <c r="N4" s="259">
        <v>33.26</v>
      </c>
      <c r="O4" s="255" t="s">
        <v>648</v>
      </c>
      <c r="P4" s="260">
        <v>300</v>
      </c>
      <c r="Q4" s="259">
        <v>35.89</v>
      </c>
      <c r="R4" s="260">
        <v>700</v>
      </c>
      <c r="S4" s="259">
        <v>38.950000000000003</v>
      </c>
      <c r="T4" s="260">
        <v>1500</v>
      </c>
      <c r="U4" s="259">
        <v>39.869999999999997</v>
      </c>
      <c r="V4" s="259"/>
      <c r="W4" s="259"/>
      <c r="X4" s="255"/>
      <c r="Y4" s="259"/>
      <c r="Z4" s="259"/>
      <c r="AA4" s="259"/>
      <c r="AB4" s="259"/>
      <c r="AC4" s="259"/>
      <c r="AD4" s="259"/>
      <c r="AE4" s="259"/>
      <c r="AF4" s="260"/>
      <c r="AG4" s="255"/>
      <c r="AH4" s="259"/>
      <c r="AI4" s="255"/>
      <c r="AJ4" s="255"/>
      <c r="AK4" s="259"/>
      <c r="AL4" s="255"/>
      <c r="AM4" s="259"/>
      <c r="AN4" s="259"/>
      <c r="AO4" s="255" t="s">
        <v>645</v>
      </c>
      <c r="AP4" s="258" t="s">
        <v>547</v>
      </c>
      <c r="AQ4" s="258"/>
      <c r="AR4" s="258"/>
      <c r="AS4" s="258">
        <v>10</v>
      </c>
      <c r="AT4" s="258">
        <v>10.199999999999999</v>
      </c>
      <c r="AU4" s="258"/>
      <c r="AV4" s="258"/>
      <c r="AW4" s="258"/>
      <c r="AX4" s="258" t="s">
        <v>495</v>
      </c>
      <c r="AY4" s="255"/>
      <c r="AZ4" s="258">
        <v>0</v>
      </c>
      <c r="BA4" s="258">
        <v>0</v>
      </c>
      <c r="BB4" s="258">
        <v>7</v>
      </c>
      <c r="BC4" s="258">
        <v>0</v>
      </c>
      <c r="BD4" s="258">
        <v>0</v>
      </c>
      <c r="BE4" s="258">
        <v>0</v>
      </c>
      <c r="BF4" s="258">
        <v>0</v>
      </c>
      <c r="BG4" s="258">
        <v>0</v>
      </c>
      <c r="BH4" s="258">
        <v>0</v>
      </c>
      <c r="BI4" s="258">
        <v>0</v>
      </c>
      <c r="BJ4" s="258">
        <v>0</v>
      </c>
      <c r="BK4" s="258">
        <v>0</v>
      </c>
      <c r="BL4" s="258"/>
      <c r="BM4" s="258" t="s">
        <v>547</v>
      </c>
      <c r="BN4" s="258"/>
      <c r="BO4" s="258" t="s">
        <v>547</v>
      </c>
      <c r="BP4" s="263"/>
      <c r="BQ4" s="258"/>
      <c r="BR4" s="258"/>
      <c r="BS4" s="258"/>
      <c r="BT4" s="255"/>
      <c r="BU4" s="255"/>
      <c r="BV4" s="258"/>
      <c r="BW4" s="258" t="s">
        <v>646</v>
      </c>
      <c r="BX4" s="258"/>
      <c r="BY4" s="255"/>
      <c r="BZ4" s="308" t="s">
        <v>804</v>
      </c>
      <c r="CA4" s="264" t="s">
        <v>56</v>
      </c>
    </row>
    <row r="5" spans="1:82" ht="13" customHeight="1" x14ac:dyDescent="0.2">
      <c r="A5" s="306">
        <v>962</v>
      </c>
      <c r="B5" s="256">
        <v>42928</v>
      </c>
      <c r="C5" s="257" t="s">
        <v>641</v>
      </c>
      <c r="D5" s="255" t="s">
        <v>534</v>
      </c>
      <c r="E5" s="255"/>
      <c r="F5" s="255" t="s">
        <v>642</v>
      </c>
      <c r="G5" s="256">
        <v>42916</v>
      </c>
      <c r="H5" s="258" t="s">
        <v>507</v>
      </c>
      <c r="I5" s="258" t="s">
        <v>547</v>
      </c>
      <c r="J5" s="258"/>
      <c r="K5" s="255" t="s">
        <v>143</v>
      </c>
      <c r="L5" s="255" t="s">
        <v>609</v>
      </c>
      <c r="M5" s="259">
        <v>94.636363636363626</v>
      </c>
      <c r="N5" s="259">
        <v>29.345454545454544</v>
      </c>
      <c r="O5" s="255"/>
      <c r="P5" s="260"/>
      <c r="Q5" s="255"/>
      <c r="R5" s="260"/>
      <c r="S5" s="259"/>
      <c r="T5" s="255"/>
      <c r="U5" s="259"/>
      <c r="V5" s="259"/>
      <c r="W5" s="259"/>
      <c r="X5" s="255"/>
      <c r="Y5" s="259"/>
      <c r="Z5" s="259"/>
      <c r="AA5" s="259"/>
      <c r="AB5" s="259"/>
      <c r="AC5" s="259"/>
      <c r="AD5" s="259"/>
      <c r="AE5" s="259"/>
      <c r="AF5" s="260"/>
      <c r="AG5" s="255"/>
      <c r="AH5" s="259"/>
      <c r="AI5" s="255"/>
      <c r="AJ5" s="255"/>
      <c r="AK5" s="259"/>
      <c r="AL5" s="255"/>
      <c r="AM5" s="259"/>
      <c r="AN5" s="259"/>
      <c r="AO5" s="255" t="s">
        <v>645</v>
      </c>
      <c r="AP5" s="258" t="s">
        <v>547</v>
      </c>
      <c r="AQ5" s="258"/>
      <c r="AR5" s="258"/>
      <c r="AS5" s="262"/>
      <c r="AT5" s="258">
        <v>11.6</v>
      </c>
      <c r="AU5" s="258"/>
      <c r="AV5" s="258"/>
      <c r="AW5" s="258"/>
      <c r="AX5" s="258" t="s">
        <v>495</v>
      </c>
      <c r="AY5" s="255"/>
      <c r="AZ5" s="258">
        <v>0</v>
      </c>
      <c r="BA5" s="258">
        <v>0</v>
      </c>
      <c r="BB5" s="258">
        <v>0</v>
      </c>
      <c r="BC5" s="258">
        <v>0</v>
      </c>
      <c r="BD5" s="258">
        <v>0</v>
      </c>
      <c r="BE5" s="258">
        <v>0</v>
      </c>
      <c r="BF5" s="258">
        <v>0</v>
      </c>
      <c r="BG5" s="258">
        <v>0</v>
      </c>
      <c r="BH5" s="258">
        <v>0</v>
      </c>
      <c r="BI5" s="258">
        <v>0</v>
      </c>
      <c r="BJ5" s="258">
        <v>0</v>
      </c>
      <c r="BK5" s="258">
        <v>0</v>
      </c>
      <c r="BL5" s="258"/>
      <c r="BM5" s="258" t="s">
        <v>547</v>
      </c>
      <c r="BN5" s="258"/>
      <c r="BO5" s="258" t="s">
        <v>547</v>
      </c>
      <c r="BP5" s="263"/>
      <c r="BQ5" s="258"/>
      <c r="BR5" s="258"/>
      <c r="BS5" s="258"/>
      <c r="BT5" s="255"/>
      <c r="BU5" s="255"/>
      <c r="BV5" s="258"/>
      <c r="BW5" s="258" t="s">
        <v>646</v>
      </c>
      <c r="BX5" s="258"/>
      <c r="BY5" s="255"/>
      <c r="BZ5" s="309" t="s">
        <v>655</v>
      </c>
      <c r="CA5" s="264" t="s">
        <v>90</v>
      </c>
    </row>
    <row r="6" spans="1:82" ht="13" customHeight="1" x14ac:dyDescent="0.15">
      <c r="A6" s="306">
        <v>10289</v>
      </c>
      <c r="B6" s="256">
        <v>42925</v>
      </c>
      <c r="C6" s="310" t="s">
        <v>641</v>
      </c>
      <c r="D6" s="255" t="s">
        <v>534</v>
      </c>
      <c r="E6" s="311"/>
      <c r="F6" s="255" t="s">
        <v>642</v>
      </c>
      <c r="G6" s="256">
        <v>42916</v>
      </c>
      <c r="H6" s="258" t="s">
        <v>507</v>
      </c>
      <c r="I6" s="258" t="s">
        <v>547</v>
      </c>
      <c r="J6" s="258"/>
      <c r="K6" s="255" t="s">
        <v>144</v>
      </c>
      <c r="L6" s="255" t="s">
        <v>618</v>
      </c>
      <c r="M6" s="259">
        <v>80.499999999999986</v>
      </c>
      <c r="N6" s="259">
        <v>31.654545454545453</v>
      </c>
      <c r="O6" s="255"/>
      <c r="P6" s="260"/>
      <c r="Q6" s="255"/>
      <c r="R6" s="260"/>
      <c r="S6" s="259"/>
      <c r="T6" s="260"/>
      <c r="U6" s="259"/>
      <c r="V6" s="259"/>
      <c r="W6" s="259"/>
      <c r="X6" s="260"/>
      <c r="Y6" s="259"/>
      <c r="Z6" s="259"/>
      <c r="AA6" s="259"/>
      <c r="AB6" s="259"/>
      <c r="AC6" s="259"/>
      <c r="AD6" s="259"/>
      <c r="AE6" s="259"/>
      <c r="AF6" s="260"/>
      <c r="AG6" s="255"/>
      <c r="AH6" s="259"/>
      <c r="AI6" s="255"/>
      <c r="AJ6" s="255"/>
      <c r="AK6" s="259"/>
      <c r="AL6" s="255"/>
      <c r="AM6" s="259"/>
      <c r="AN6" s="259"/>
      <c r="AO6" s="255" t="s">
        <v>645</v>
      </c>
      <c r="AP6" s="258" t="s">
        <v>547</v>
      </c>
      <c r="AQ6" s="258"/>
      <c r="AR6" s="258"/>
      <c r="AS6" s="262"/>
      <c r="AT6" s="258">
        <v>10.5</v>
      </c>
      <c r="AU6" s="258"/>
      <c r="AV6" s="258"/>
      <c r="AW6" s="258"/>
      <c r="AX6" s="258" t="s">
        <v>495</v>
      </c>
      <c r="AY6" s="255"/>
      <c r="AZ6" s="258">
        <v>6</v>
      </c>
      <c r="BA6" s="258">
        <v>0</v>
      </c>
      <c r="BB6" s="258">
        <v>0</v>
      </c>
      <c r="BC6" s="258">
        <v>0</v>
      </c>
      <c r="BD6" s="258">
        <v>0</v>
      </c>
      <c r="BE6" s="258">
        <v>0</v>
      </c>
      <c r="BF6" s="258">
        <v>0</v>
      </c>
      <c r="BG6" s="258">
        <v>0</v>
      </c>
      <c r="BH6" s="258">
        <v>0</v>
      </c>
      <c r="BI6" s="258">
        <v>0</v>
      </c>
      <c r="BJ6" s="258">
        <v>0</v>
      </c>
      <c r="BK6" s="258">
        <v>0</v>
      </c>
      <c r="BL6" s="258"/>
      <c r="BM6" s="258" t="s">
        <v>547</v>
      </c>
      <c r="BN6" s="258">
        <v>12</v>
      </c>
      <c r="BO6" s="258" t="s">
        <v>547</v>
      </c>
      <c r="BP6" s="263"/>
      <c r="BQ6" s="258"/>
      <c r="BR6" s="258">
        <v>12</v>
      </c>
      <c r="BS6" s="258"/>
      <c r="BT6" s="255"/>
      <c r="BU6" s="255"/>
      <c r="BV6" s="258"/>
      <c r="BW6" s="258" t="s">
        <v>646</v>
      </c>
      <c r="BX6" s="258"/>
      <c r="BY6" s="255" t="s">
        <v>805</v>
      </c>
      <c r="BZ6" s="312" t="s">
        <v>656</v>
      </c>
      <c r="CA6" s="255" t="s">
        <v>90</v>
      </c>
      <c r="CD6" s="162"/>
    </row>
    <row r="7" spans="1:82" ht="13" customHeight="1" x14ac:dyDescent="0.2">
      <c r="A7" s="306">
        <v>11895</v>
      </c>
      <c r="B7" s="256">
        <v>42926</v>
      </c>
      <c r="C7" s="310" t="s">
        <v>641</v>
      </c>
      <c r="D7" s="255" t="s">
        <v>534</v>
      </c>
      <c r="E7" s="311"/>
      <c r="F7" s="255" t="s">
        <v>642</v>
      </c>
      <c r="G7" s="256">
        <v>42916</v>
      </c>
      <c r="H7" s="258" t="s">
        <v>507</v>
      </c>
      <c r="I7" s="258" t="s">
        <v>547</v>
      </c>
      <c r="J7" s="258"/>
      <c r="K7" s="255" t="s">
        <v>145</v>
      </c>
      <c r="L7" s="255" t="s">
        <v>657</v>
      </c>
      <c r="M7" s="259">
        <v>79.899999999999991</v>
      </c>
      <c r="N7" s="259">
        <v>30.95454545454545</v>
      </c>
      <c r="O7" s="255"/>
      <c r="P7" s="260"/>
      <c r="Q7" s="255"/>
      <c r="R7" s="260"/>
      <c r="S7" s="259"/>
      <c r="T7" s="260"/>
      <c r="U7" s="259"/>
      <c r="V7" s="259"/>
      <c r="W7" s="259"/>
      <c r="X7" s="255"/>
      <c r="Y7" s="259"/>
      <c r="Z7" s="259"/>
      <c r="AA7" s="259"/>
      <c r="AB7" s="259"/>
      <c r="AC7" s="259"/>
      <c r="AD7" s="259"/>
      <c r="AE7" s="259"/>
      <c r="AF7" s="260"/>
      <c r="AG7" s="255"/>
      <c r="AH7" s="259"/>
      <c r="AI7" s="255"/>
      <c r="AJ7" s="255"/>
      <c r="AK7" s="259"/>
      <c r="AL7" s="255"/>
      <c r="AM7" s="259"/>
      <c r="AN7" s="259"/>
      <c r="AO7" s="255" t="s">
        <v>645</v>
      </c>
      <c r="AP7" s="258" t="s">
        <v>547</v>
      </c>
      <c r="AQ7" s="258"/>
      <c r="AR7" s="258"/>
      <c r="AS7" s="262"/>
      <c r="AT7" s="258">
        <v>3</v>
      </c>
      <c r="AU7" s="258"/>
      <c r="AV7" s="258"/>
      <c r="AW7" s="258"/>
      <c r="AX7" s="258" t="s">
        <v>495</v>
      </c>
      <c r="AY7" s="255"/>
      <c r="AZ7" s="258">
        <v>0</v>
      </c>
      <c r="BA7" s="258">
        <v>0</v>
      </c>
      <c r="BB7" s="258">
        <v>0</v>
      </c>
      <c r="BC7" s="258">
        <v>0</v>
      </c>
      <c r="BD7" s="258">
        <v>0</v>
      </c>
      <c r="BE7" s="258">
        <v>0</v>
      </c>
      <c r="BF7" s="258">
        <v>0</v>
      </c>
      <c r="BG7" s="258">
        <v>0</v>
      </c>
      <c r="BH7" s="258">
        <v>0</v>
      </c>
      <c r="BI7" s="258">
        <v>0</v>
      </c>
      <c r="BJ7" s="258">
        <v>0</v>
      </c>
      <c r="BK7" s="258">
        <v>0</v>
      </c>
      <c r="BL7" s="258"/>
      <c r="BM7" s="258" t="s">
        <v>547</v>
      </c>
      <c r="BN7" s="258"/>
      <c r="BO7" s="258" t="s">
        <v>547</v>
      </c>
      <c r="BP7" s="263"/>
      <c r="BQ7" s="258"/>
      <c r="BR7" s="258"/>
      <c r="BS7" s="258"/>
      <c r="BT7" s="255" t="s">
        <v>806</v>
      </c>
      <c r="BU7" s="255"/>
      <c r="BV7" s="258"/>
      <c r="BW7" s="258" t="s">
        <v>646</v>
      </c>
      <c r="BX7" s="258"/>
      <c r="BY7" s="264"/>
      <c r="BZ7" s="308" t="s">
        <v>807</v>
      </c>
      <c r="CA7" s="264" t="s">
        <v>90</v>
      </c>
    </row>
    <row r="8" spans="1:82" ht="13" customHeight="1" x14ac:dyDescent="0.15">
      <c r="A8" s="306">
        <v>14652</v>
      </c>
      <c r="B8" s="46">
        <v>42926</v>
      </c>
      <c r="C8" s="46" t="s">
        <v>641</v>
      </c>
      <c r="D8" s="48" t="s">
        <v>534</v>
      </c>
      <c r="E8" s="48"/>
      <c r="F8" s="48" t="s">
        <v>642</v>
      </c>
      <c r="G8" s="46">
        <v>42916</v>
      </c>
      <c r="H8" s="49" t="s">
        <v>507</v>
      </c>
      <c r="I8" s="49" t="s">
        <v>508</v>
      </c>
      <c r="J8" s="48"/>
      <c r="K8" s="48" t="s">
        <v>146</v>
      </c>
      <c r="L8" s="48" t="s">
        <v>808</v>
      </c>
      <c r="M8" s="146">
        <v>95.263636363636365</v>
      </c>
      <c r="N8" s="146">
        <v>30.299999999999997</v>
      </c>
      <c r="O8" s="48"/>
      <c r="P8" s="48"/>
      <c r="Q8" s="146"/>
      <c r="R8" s="50"/>
      <c r="S8" s="146"/>
      <c r="T8" s="48"/>
      <c r="U8" s="146"/>
      <c r="V8" s="146"/>
      <c r="W8" s="146"/>
      <c r="X8" s="48"/>
      <c r="Y8" s="146"/>
      <c r="Z8" s="146"/>
      <c r="AA8" s="146"/>
      <c r="AB8" s="146"/>
      <c r="AC8" s="146"/>
      <c r="AD8" s="146"/>
      <c r="AE8" s="146"/>
      <c r="AF8" s="48"/>
      <c r="AG8" s="48"/>
      <c r="AH8" s="146"/>
      <c r="AI8" s="48"/>
      <c r="AJ8" s="48"/>
      <c r="AK8" s="146"/>
      <c r="AL8" s="48"/>
      <c r="AM8" s="146"/>
      <c r="AN8" s="146"/>
      <c r="AO8" s="48" t="s">
        <v>645</v>
      </c>
      <c r="AP8" s="49" t="s">
        <v>547</v>
      </c>
      <c r="AQ8" s="48"/>
      <c r="AR8" s="48"/>
      <c r="AS8" s="49"/>
      <c r="AT8" s="49">
        <v>10</v>
      </c>
      <c r="AU8" s="49"/>
      <c r="AV8" s="49"/>
      <c r="AW8" s="49"/>
      <c r="AX8" s="49" t="s">
        <v>495</v>
      </c>
      <c r="AY8" s="49"/>
      <c r="AZ8" s="49">
        <v>0</v>
      </c>
      <c r="BA8" s="49">
        <v>0</v>
      </c>
      <c r="BB8" s="49">
        <v>0</v>
      </c>
      <c r="BC8" s="49">
        <v>0</v>
      </c>
      <c r="BD8" s="49">
        <v>0</v>
      </c>
      <c r="BE8" s="49">
        <v>0</v>
      </c>
      <c r="BF8" s="49">
        <v>0</v>
      </c>
      <c r="BG8" s="49">
        <v>0</v>
      </c>
      <c r="BH8" s="49">
        <v>0</v>
      </c>
      <c r="BI8" s="49">
        <v>0</v>
      </c>
      <c r="BJ8" s="49">
        <v>0</v>
      </c>
      <c r="BK8" s="49">
        <v>0</v>
      </c>
      <c r="BL8" s="49"/>
      <c r="BM8" s="49" t="s">
        <v>547</v>
      </c>
      <c r="BN8" s="49"/>
      <c r="BO8" s="49" t="s">
        <v>547</v>
      </c>
      <c r="BP8" s="250"/>
      <c r="BQ8" s="49"/>
      <c r="BR8" s="49"/>
      <c r="BS8" s="49"/>
      <c r="BT8" s="49"/>
      <c r="BU8" s="49"/>
      <c r="BV8" s="49"/>
      <c r="BW8" s="49" t="s">
        <v>646</v>
      </c>
      <c r="BX8" s="49"/>
      <c r="BY8" s="48"/>
      <c r="BZ8" s="48" t="s">
        <v>809</v>
      </c>
      <c r="CA8" s="48" t="s">
        <v>90</v>
      </c>
    </row>
    <row r="9" spans="1:82" ht="13" customHeight="1" x14ac:dyDescent="0.15">
      <c r="A9" s="306">
        <v>12326</v>
      </c>
      <c r="B9" s="46">
        <v>42929</v>
      </c>
      <c r="C9" s="46" t="s">
        <v>641</v>
      </c>
      <c r="D9" s="48" t="s">
        <v>534</v>
      </c>
      <c r="E9" s="48"/>
      <c r="F9" s="48" t="s">
        <v>642</v>
      </c>
      <c r="G9" s="46">
        <v>42916</v>
      </c>
      <c r="H9" s="49" t="s">
        <v>507</v>
      </c>
      <c r="I9" s="49" t="s">
        <v>508</v>
      </c>
      <c r="J9" s="48"/>
      <c r="K9" s="48" t="s">
        <v>147</v>
      </c>
      <c r="L9" s="48" t="s">
        <v>662</v>
      </c>
      <c r="M9" s="146">
        <v>81.72727272727272</v>
      </c>
      <c r="N9" s="146">
        <v>31.536363636363632</v>
      </c>
      <c r="O9" s="48" t="s">
        <v>648</v>
      </c>
      <c r="P9" s="50">
        <v>1000</v>
      </c>
      <c r="Q9" s="146">
        <v>33.86363636363636</v>
      </c>
      <c r="R9" s="50"/>
      <c r="S9" s="146"/>
      <c r="T9" s="50"/>
      <c r="U9" s="146"/>
      <c r="V9" s="146"/>
      <c r="W9" s="146"/>
      <c r="X9" s="48"/>
      <c r="Y9" s="146"/>
      <c r="Z9" s="146"/>
      <c r="AA9" s="146"/>
      <c r="AB9" s="146"/>
      <c r="AC9" s="146"/>
      <c r="AD9" s="146"/>
      <c r="AE9" s="146"/>
      <c r="AF9" s="50"/>
      <c r="AG9" s="48"/>
      <c r="AH9" s="146"/>
      <c r="AI9" s="48"/>
      <c r="AJ9" s="48"/>
      <c r="AK9" s="146"/>
      <c r="AL9" s="48"/>
      <c r="AM9" s="146"/>
      <c r="AN9" s="146"/>
      <c r="AO9" s="48" t="s">
        <v>645</v>
      </c>
      <c r="AP9" s="49" t="s">
        <v>547</v>
      </c>
      <c r="AQ9" s="48"/>
      <c r="AR9" s="48"/>
      <c r="AS9" s="49">
        <v>10</v>
      </c>
      <c r="AT9" s="49">
        <v>13</v>
      </c>
      <c r="AU9" s="49"/>
      <c r="AV9" s="49">
        <v>12</v>
      </c>
      <c r="AW9" s="49">
        <v>6</v>
      </c>
      <c r="AX9" s="49" t="s">
        <v>495</v>
      </c>
      <c r="AY9" s="49"/>
      <c r="AZ9" s="49">
        <v>0</v>
      </c>
      <c r="BA9" s="49">
        <v>0</v>
      </c>
      <c r="BB9" s="49">
        <v>0</v>
      </c>
      <c r="BC9" s="49">
        <v>0</v>
      </c>
      <c r="BD9" s="49">
        <v>0</v>
      </c>
      <c r="BE9" s="49">
        <v>0</v>
      </c>
      <c r="BF9" s="49">
        <v>0</v>
      </c>
      <c r="BG9" s="49">
        <v>0</v>
      </c>
      <c r="BH9" s="49">
        <v>0</v>
      </c>
      <c r="BI9" s="49">
        <v>0</v>
      </c>
      <c r="BJ9" s="49">
        <v>0</v>
      </c>
      <c r="BK9" s="49">
        <v>0</v>
      </c>
      <c r="BL9" s="49"/>
      <c r="BM9" s="49" t="s">
        <v>547</v>
      </c>
      <c r="BN9" s="49">
        <v>12</v>
      </c>
      <c r="BO9" s="49" t="s">
        <v>547</v>
      </c>
      <c r="BP9" s="250"/>
      <c r="BQ9" s="49"/>
      <c r="BR9" s="49"/>
      <c r="BS9" s="49"/>
      <c r="BT9" s="49"/>
      <c r="BU9" s="49"/>
      <c r="BV9" s="49"/>
      <c r="BW9" s="49" t="s">
        <v>646</v>
      </c>
      <c r="BX9" s="49"/>
      <c r="BY9" s="48"/>
      <c r="BZ9" s="324" t="s">
        <v>664</v>
      </c>
      <c r="CA9" s="48" t="s">
        <v>90</v>
      </c>
    </row>
    <row r="10" spans="1:82" ht="13" customHeight="1" x14ac:dyDescent="0.15">
      <c r="A10" s="306">
        <v>13107</v>
      </c>
      <c r="B10" s="256">
        <v>42926</v>
      </c>
      <c r="C10" s="313" t="s">
        <v>641</v>
      </c>
      <c r="D10" s="314" t="s">
        <v>534</v>
      </c>
      <c r="E10" s="314"/>
      <c r="F10" s="314" t="s">
        <v>642</v>
      </c>
      <c r="G10" s="307">
        <v>42922</v>
      </c>
      <c r="H10" s="315" t="s">
        <v>507</v>
      </c>
      <c r="I10" s="315" t="s">
        <v>547</v>
      </c>
      <c r="J10" s="315"/>
      <c r="K10" s="314" t="s">
        <v>148</v>
      </c>
      <c r="L10" s="255" t="s">
        <v>665</v>
      </c>
      <c r="M10" s="316">
        <v>66.48181818181817</v>
      </c>
      <c r="N10" s="316">
        <v>29.563636363636363</v>
      </c>
      <c r="O10" s="314"/>
      <c r="P10" s="317"/>
      <c r="Q10" s="314"/>
      <c r="R10" s="317"/>
      <c r="S10" s="316"/>
      <c r="T10" s="317"/>
      <c r="U10" s="316"/>
      <c r="V10" s="316"/>
      <c r="W10" s="316"/>
      <c r="X10" s="314"/>
      <c r="Y10" s="316"/>
      <c r="Z10" s="316"/>
      <c r="AA10" s="316"/>
      <c r="AB10" s="316"/>
      <c r="AC10" s="316"/>
      <c r="AD10" s="316"/>
      <c r="AE10" s="316"/>
      <c r="AF10" s="317"/>
      <c r="AG10" s="314"/>
      <c r="AH10" s="316"/>
      <c r="AI10" s="314"/>
      <c r="AJ10" s="314"/>
      <c r="AK10" s="316"/>
      <c r="AL10" s="314"/>
      <c r="AM10" s="316"/>
      <c r="AN10" s="316"/>
      <c r="AO10" s="314" t="s">
        <v>645</v>
      </c>
      <c r="AP10" s="315" t="s">
        <v>547</v>
      </c>
      <c r="AQ10" s="315"/>
      <c r="AR10" s="315"/>
      <c r="AS10" s="318"/>
      <c r="AT10" s="315">
        <v>8</v>
      </c>
      <c r="AU10" s="315"/>
      <c r="AV10" s="315"/>
      <c r="AW10" s="315"/>
      <c r="AX10" s="315" t="s">
        <v>495</v>
      </c>
      <c r="AY10" s="314"/>
      <c r="AZ10" s="315">
        <v>0</v>
      </c>
      <c r="BA10" s="315">
        <v>0</v>
      </c>
      <c r="BB10" s="315">
        <v>0</v>
      </c>
      <c r="BC10" s="315">
        <v>0</v>
      </c>
      <c r="BD10" s="315">
        <v>0</v>
      </c>
      <c r="BE10" s="315">
        <v>0</v>
      </c>
      <c r="BF10" s="315">
        <v>0</v>
      </c>
      <c r="BG10" s="315">
        <v>0</v>
      </c>
      <c r="BH10" s="315">
        <v>0</v>
      </c>
      <c r="BI10" s="315">
        <v>0</v>
      </c>
      <c r="BJ10" s="315">
        <v>0</v>
      </c>
      <c r="BK10" s="315">
        <v>0</v>
      </c>
      <c r="BL10" s="315"/>
      <c r="BM10" s="315" t="s">
        <v>547</v>
      </c>
      <c r="BN10" s="258">
        <v>12</v>
      </c>
      <c r="BO10" s="315" t="s">
        <v>547</v>
      </c>
      <c r="BP10" s="319"/>
      <c r="BQ10" s="315"/>
      <c r="BR10" s="258">
        <v>12</v>
      </c>
      <c r="BS10" s="315"/>
      <c r="BT10" s="314"/>
      <c r="BU10" s="314"/>
      <c r="BV10" s="315"/>
      <c r="BW10" s="315" t="s">
        <v>646</v>
      </c>
      <c r="BX10" s="315"/>
      <c r="BY10" s="314"/>
      <c r="BZ10" s="342" t="s">
        <v>666</v>
      </c>
      <c r="CA10" s="264" t="s">
        <v>90</v>
      </c>
    </row>
    <row r="11" spans="1:82" ht="13" customHeight="1" x14ac:dyDescent="0.2">
      <c r="A11" s="306">
        <v>11320</v>
      </c>
      <c r="B11" s="256">
        <v>42928</v>
      </c>
      <c r="C11" s="257" t="s">
        <v>641</v>
      </c>
      <c r="D11" s="255" t="s">
        <v>534</v>
      </c>
      <c r="E11" s="255"/>
      <c r="F11" s="255" t="s">
        <v>642</v>
      </c>
      <c r="G11" s="256">
        <v>42916</v>
      </c>
      <c r="H11" s="258" t="s">
        <v>507</v>
      </c>
      <c r="I11" s="258" t="s">
        <v>547</v>
      </c>
      <c r="J11" s="258"/>
      <c r="K11" s="255" t="s">
        <v>448</v>
      </c>
      <c r="L11" s="255" t="s">
        <v>667</v>
      </c>
      <c r="M11" s="259">
        <v>82</v>
      </c>
      <c r="N11" s="259">
        <v>31.099999999999998</v>
      </c>
      <c r="O11" s="255"/>
      <c r="P11" s="260"/>
      <c r="Q11" s="255"/>
      <c r="R11" s="260"/>
      <c r="S11" s="259"/>
      <c r="T11" s="255"/>
      <c r="U11" s="259"/>
      <c r="V11" s="259"/>
      <c r="W11" s="259"/>
      <c r="X11" s="260"/>
      <c r="Y11" s="259"/>
      <c r="Z11" s="259"/>
      <c r="AA11" s="259"/>
      <c r="AB11" s="259"/>
      <c r="AC11" s="259"/>
      <c r="AD11" s="259"/>
      <c r="AE11" s="259"/>
      <c r="AF11" s="260"/>
      <c r="AG11" s="255"/>
      <c r="AH11" s="259"/>
      <c r="AI11" s="255"/>
      <c r="AJ11" s="255"/>
      <c r="AK11" s="259"/>
      <c r="AL11" s="255"/>
      <c r="AM11" s="259"/>
      <c r="AN11" s="259"/>
      <c r="AO11" s="255" t="s">
        <v>645</v>
      </c>
      <c r="AP11" s="258" t="s">
        <v>547</v>
      </c>
      <c r="AQ11" s="258"/>
      <c r="AR11" s="258"/>
      <c r="AS11" s="262"/>
      <c r="AT11" s="258">
        <v>3</v>
      </c>
      <c r="AU11" s="258"/>
      <c r="AV11" s="258"/>
      <c r="AW11" s="258"/>
      <c r="AX11" s="258" t="s">
        <v>495</v>
      </c>
      <c r="AY11" s="255"/>
      <c r="AZ11" s="258">
        <v>0</v>
      </c>
      <c r="BA11" s="258">
        <v>0</v>
      </c>
      <c r="BB11" s="258">
        <v>0</v>
      </c>
      <c r="BC11" s="258">
        <v>0</v>
      </c>
      <c r="BD11" s="258">
        <v>0</v>
      </c>
      <c r="BE11" s="258">
        <v>0</v>
      </c>
      <c r="BF11" s="258">
        <v>0</v>
      </c>
      <c r="BG11" s="258">
        <v>0</v>
      </c>
      <c r="BH11" s="258">
        <v>0</v>
      </c>
      <c r="BI11" s="258">
        <v>0</v>
      </c>
      <c r="BJ11" s="258">
        <v>0</v>
      </c>
      <c r="BK11" s="258">
        <v>0</v>
      </c>
      <c r="BL11" s="258"/>
      <c r="BM11" s="258" t="s">
        <v>547</v>
      </c>
      <c r="BN11" s="258"/>
      <c r="BO11" s="258" t="s">
        <v>547</v>
      </c>
      <c r="BP11" s="263"/>
      <c r="BQ11" s="258"/>
      <c r="BR11" s="258"/>
      <c r="BS11" s="258"/>
      <c r="BT11" s="264"/>
      <c r="BU11" s="264"/>
      <c r="BV11" s="258"/>
      <c r="BW11" s="258" t="s">
        <v>646</v>
      </c>
      <c r="BX11" s="258"/>
      <c r="BY11" s="264"/>
      <c r="BZ11" s="308" t="s">
        <v>668</v>
      </c>
      <c r="CA11" s="255" t="s">
        <v>90</v>
      </c>
    </row>
    <row r="12" spans="1:82" ht="13" customHeight="1" x14ac:dyDescent="0.2">
      <c r="A12" s="306">
        <v>13692</v>
      </c>
      <c r="B12" s="256">
        <v>42929</v>
      </c>
      <c r="C12" s="257" t="s">
        <v>641</v>
      </c>
      <c r="D12" s="255" t="s">
        <v>534</v>
      </c>
      <c r="E12" s="255"/>
      <c r="F12" s="255" t="s">
        <v>642</v>
      </c>
      <c r="G12" s="256">
        <v>42658</v>
      </c>
      <c r="H12" s="258" t="s">
        <v>507</v>
      </c>
      <c r="I12" s="258" t="s">
        <v>547</v>
      </c>
      <c r="J12" s="258"/>
      <c r="K12" s="255" t="s">
        <v>594</v>
      </c>
      <c r="L12" s="255" t="s">
        <v>810</v>
      </c>
      <c r="M12" s="259">
        <v>56.36363636363636</v>
      </c>
      <c r="N12" s="259">
        <v>24.554545454545455</v>
      </c>
      <c r="O12" s="255"/>
      <c r="P12" s="260"/>
      <c r="Q12" s="255"/>
      <c r="R12" s="260"/>
      <c r="S12" s="259"/>
      <c r="T12" s="255"/>
      <c r="U12" s="259"/>
      <c r="V12" s="259"/>
      <c r="W12" s="259"/>
      <c r="X12" s="255"/>
      <c r="Y12" s="259"/>
      <c r="Z12" s="259"/>
      <c r="AA12" s="259"/>
      <c r="AB12" s="259"/>
      <c r="AC12" s="259"/>
      <c r="AD12" s="259"/>
      <c r="AE12" s="259"/>
      <c r="AF12" s="260"/>
      <c r="AG12" s="255"/>
      <c r="AH12" s="259"/>
      <c r="AI12" s="255"/>
      <c r="AJ12" s="255"/>
      <c r="AK12" s="259"/>
      <c r="AL12" s="255"/>
      <c r="AM12" s="259"/>
      <c r="AN12" s="259"/>
      <c r="AO12" s="255" t="s">
        <v>645</v>
      </c>
      <c r="AP12" s="258" t="s">
        <v>547</v>
      </c>
      <c r="AQ12" s="258"/>
      <c r="AR12" s="258"/>
      <c r="AS12" s="262"/>
      <c r="AT12" s="258">
        <v>8.5</v>
      </c>
      <c r="AU12" s="258"/>
      <c r="AV12" s="258"/>
      <c r="AW12" s="258"/>
      <c r="AX12" s="258" t="s">
        <v>495</v>
      </c>
      <c r="AY12" s="255"/>
      <c r="AZ12" s="258">
        <v>0</v>
      </c>
      <c r="BA12" s="258">
        <v>0</v>
      </c>
      <c r="BB12" s="258">
        <v>0</v>
      </c>
      <c r="BC12" s="258">
        <v>0</v>
      </c>
      <c r="BD12" s="258">
        <v>0</v>
      </c>
      <c r="BE12" s="258">
        <v>0</v>
      </c>
      <c r="BF12" s="258">
        <v>0</v>
      </c>
      <c r="BG12" s="258">
        <v>0</v>
      </c>
      <c r="BH12" s="258">
        <v>0</v>
      </c>
      <c r="BI12" s="258">
        <v>0</v>
      </c>
      <c r="BJ12" s="258">
        <v>0</v>
      </c>
      <c r="BK12" s="258">
        <v>0</v>
      </c>
      <c r="BL12" s="258"/>
      <c r="BM12" s="258" t="s">
        <v>547</v>
      </c>
      <c r="BN12" s="258"/>
      <c r="BO12" s="258" t="s">
        <v>547</v>
      </c>
      <c r="BP12" s="263">
        <v>130.83636363636361</v>
      </c>
      <c r="BQ12" s="258"/>
      <c r="BR12" s="258"/>
      <c r="BS12" s="320">
        <v>42915</v>
      </c>
      <c r="BT12" s="255"/>
      <c r="BU12" s="264"/>
      <c r="BV12" s="258"/>
      <c r="BW12" s="258" t="s">
        <v>646</v>
      </c>
      <c r="BX12" s="258"/>
      <c r="BY12" s="264"/>
      <c r="BZ12" s="308" t="s">
        <v>811</v>
      </c>
      <c r="CA12" s="264" t="s">
        <v>56</v>
      </c>
    </row>
    <row r="13" spans="1:82" ht="13" customHeight="1" x14ac:dyDescent="0.2">
      <c r="A13" s="306">
        <v>13694</v>
      </c>
      <c r="B13" s="256">
        <v>42930</v>
      </c>
      <c r="C13" s="257" t="s">
        <v>641</v>
      </c>
      <c r="D13" s="255" t="s">
        <v>534</v>
      </c>
      <c r="E13" s="255"/>
      <c r="F13" s="255" t="s">
        <v>642</v>
      </c>
      <c r="G13" s="256">
        <v>42916</v>
      </c>
      <c r="H13" s="258" t="s">
        <v>507</v>
      </c>
      <c r="I13" s="258" t="s">
        <v>547</v>
      </c>
      <c r="J13" s="258"/>
      <c r="K13" s="255" t="s">
        <v>125</v>
      </c>
      <c r="L13" s="255" t="s">
        <v>812</v>
      </c>
      <c r="M13" s="259">
        <v>97</v>
      </c>
      <c r="N13" s="259">
        <v>30.136363636363633</v>
      </c>
      <c r="O13" s="255" t="s">
        <v>648</v>
      </c>
      <c r="P13" s="260">
        <v>1000</v>
      </c>
      <c r="Q13" s="259">
        <v>33.136363636363633</v>
      </c>
      <c r="R13" s="260"/>
      <c r="S13" s="259"/>
      <c r="T13" s="260"/>
      <c r="U13" s="259"/>
      <c r="V13" s="259"/>
      <c r="W13" s="259"/>
      <c r="X13" s="255"/>
      <c r="Y13" s="259"/>
      <c r="Z13" s="259"/>
      <c r="AA13" s="259"/>
      <c r="AB13" s="259"/>
      <c r="AC13" s="259"/>
      <c r="AD13" s="259"/>
      <c r="AE13" s="259"/>
      <c r="AF13" s="255"/>
      <c r="AG13" s="255"/>
      <c r="AH13" s="259"/>
      <c r="AI13" s="255"/>
      <c r="AJ13" s="255"/>
      <c r="AK13" s="259"/>
      <c r="AL13" s="255"/>
      <c r="AM13" s="259"/>
      <c r="AN13" s="259"/>
      <c r="AO13" s="255" t="s">
        <v>645</v>
      </c>
      <c r="AP13" s="258" t="s">
        <v>547</v>
      </c>
      <c r="AQ13" s="258"/>
      <c r="AR13" s="258"/>
      <c r="AS13" s="262"/>
      <c r="AT13" s="258">
        <v>4.5</v>
      </c>
      <c r="AU13" s="258"/>
      <c r="AV13" s="258"/>
      <c r="AW13" s="258"/>
      <c r="AX13" s="258" t="s">
        <v>547</v>
      </c>
      <c r="AY13" s="255"/>
      <c r="AZ13" s="258">
        <v>10</v>
      </c>
      <c r="BA13" s="258">
        <v>0</v>
      </c>
      <c r="BB13" s="258">
        <v>0</v>
      </c>
      <c r="BC13" s="258">
        <v>0</v>
      </c>
      <c r="BD13" s="258">
        <v>0</v>
      </c>
      <c r="BE13" s="258">
        <v>0</v>
      </c>
      <c r="BF13" s="258">
        <v>0</v>
      </c>
      <c r="BG13" s="258">
        <v>0</v>
      </c>
      <c r="BH13" s="258">
        <v>0</v>
      </c>
      <c r="BI13" s="258">
        <v>0</v>
      </c>
      <c r="BJ13" s="258">
        <v>0</v>
      </c>
      <c r="BK13" s="258">
        <v>0</v>
      </c>
      <c r="BL13" s="258"/>
      <c r="BM13" s="258" t="s">
        <v>547</v>
      </c>
      <c r="BN13" s="258"/>
      <c r="BO13" s="258" t="s">
        <v>547</v>
      </c>
      <c r="BP13" s="263"/>
      <c r="BQ13" s="258"/>
      <c r="BR13" s="258"/>
      <c r="BS13" s="258"/>
      <c r="BT13" s="255"/>
      <c r="BU13" s="255"/>
      <c r="BV13" s="258"/>
      <c r="BW13" s="258" t="s">
        <v>646</v>
      </c>
      <c r="BX13" s="258"/>
      <c r="BY13" s="255"/>
      <c r="BZ13" s="321" t="s">
        <v>813</v>
      </c>
      <c r="CA13" s="255" t="s">
        <v>90</v>
      </c>
    </row>
    <row r="14" spans="1:82" ht="13" customHeight="1" x14ac:dyDescent="0.15">
      <c r="A14" s="306">
        <v>15304</v>
      </c>
      <c r="B14" s="256">
        <v>42926</v>
      </c>
      <c r="C14" s="257" t="s">
        <v>641</v>
      </c>
      <c r="D14" s="255" t="s">
        <v>534</v>
      </c>
      <c r="E14" s="255"/>
      <c r="F14" s="255" t="s">
        <v>642</v>
      </c>
      <c r="G14" s="256">
        <v>42900</v>
      </c>
      <c r="H14" s="258" t="s">
        <v>507</v>
      </c>
      <c r="I14" s="258" t="s">
        <v>547</v>
      </c>
      <c r="J14" s="258"/>
      <c r="K14" s="255" t="s">
        <v>600</v>
      </c>
      <c r="L14" s="255" t="s">
        <v>814</v>
      </c>
      <c r="M14" s="259">
        <v>94.999999999999986</v>
      </c>
      <c r="N14" s="259">
        <v>24.499999999999996</v>
      </c>
      <c r="O14" s="255"/>
      <c r="P14" s="260"/>
      <c r="Q14" s="255"/>
      <c r="R14" s="260"/>
      <c r="S14" s="259"/>
      <c r="T14" s="260"/>
      <c r="U14" s="259"/>
      <c r="V14" s="259"/>
      <c r="W14" s="259"/>
      <c r="X14" s="255"/>
      <c r="Y14" s="259"/>
      <c r="Z14" s="259"/>
      <c r="AA14" s="259"/>
      <c r="AB14" s="259"/>
      <c r="AC14" s="259"/>
      <c r="AD14" s="259"/>
      <c r="AE14" s="259"/>
      <c r="AF14" s="260"/>
      <c r="AG14" s="255"/>
      <c r="AH14" s="259"/>
      <c r="AI14" s="255"/>
      <c r="AJ14" s="255"/>
      <c r="AK14" s="259"/>
      <c r="AL14" s="255"/>
      <c r="AM14" s="259"/>
      <c r="AN14" s="259"/>
      <c r="AO14" s="255" t="s">
        <v>645</v>
      </c>
      <c r="AP14" s="258" t="s">
        <v>547</v>
      </c>
      <c r="AQ14" s="258"/>
      <c r="AR14" s="258"/>
      <c r="AS14" s="262"/>
      <c r="AT14" s="258">
        <v>3</v>
      </c>
      <c r="AU14" s="258"/>
      <c r="AV14" s="258"/>
      <c r="AW14" s="258"/>
      <c r="AX14" s="258" t="s">
        <v>495</v>
      </c>
      <c r="AY14" s="255"/>
      <c r="AZ14" s="258">
        <v>0</v>
      </c>
      <c r="BA14" s="258">
        <v>0</v>
      </c>
      <c r="BB14" s="258">
        <v>0</v>
      </c>
      <c r="BC14" s="258">
        <v>0</v>
      </c>
      <c r="BD14" s="258">
        <v>0</v>
      </c>
      <c r="BE14" s="258">
        <v>0</v>
      </c>
      <c r="BF14" s="258">
        <v>0</v>
      </c>
      <c r="BG14" s="258">
        <v>0</v>
      </c>
      <c r="BH14" s="258">
        <v>0</v>
      </c>
      <c r="BI14" s="258">
        <v>0</v>
      </c>
      <c r="BJ14" s="258">
        <v>0</v>
      </c>
      <c r="BK14" s="258">
        <v>0</v>
      </c>
      <c r="BL14" s="258"/>
      <c r="BM14" s="258" t="s">
        <v>547</v>
      </c>
      <c r="BN14" s="258"/>
      <c r="BO14" s="258" t="s">
        <v>547</v>
      </c>
      <c r="BP14" s="263"/>
      <c r="BQ14" s="258"/>
      <c r="BR14" s="258"/>
      <c r="BS14" s="258"/>
      <c r="BT14" s="264"/>
      <c r="BU14" s="264"/>
      <c r="BV14" s="258"/>
      <c r="BW14" s="258" t="s">
        <v>646</v>
      </c>
      <c r="BX14" s="258">
        <v>1</v>
      </c>
      <c r="BY14" s="255"/>
      <c r="BZ14" s="312" t="s">
        <v>815</v>
      </c>
      <c r="CA14" s="264" t="s">
        <v>527</v>
      </c>
    </row>
    <row r="15" spans="1:82" ht="13" customHeight="1" x14ac:dyDescent="0.15">
      <c r="A15" s="306">
        <v>10054</v>
      </c>
      <c r="B15" s="46">
        <v>42926</v>
      </c>
      <c r="C15" s="46" t="s">
        <v>641</v>
      </c>
      <c r="D15" s="48" t="s">
        <v>534</v>
      </c>
      <c r="E15" s="48"/>
      <c r="F15" s="48" t="s">
        <v>642</v>
      </c>
      <c r="G15" s="46">
        <v>42916</v>
      </c>
      <c r="H15" s="49" t="s">
        <v>507</v>
      </c>
      <c r="I15" s="49" t="s">
        <v>508</v>
      </c>
      <c r="J15" s="48"/>
      <c r="K15" s="48" t="s">
        <v>635</v>
      </c>
      <c r="L15" s="48" t="s">
        <v>634</v>
      </c>
      <c r="M15" s="146">
        <v>109.5</v>
      </c>
      <c r="N15" s="146">
        <v>22.718181818181815</v>
      </c>
      <c r="O15" s="48"/>
      <c r="P15" s="50"/>
      <c r="Q15" s="146"/>
      <c r="R15" s="50"/>
      <c r="S15" s="146"/>
      <c r="T15" s="50"/>
      <c r="U15" s="146"/>
      <c r="V15" s="146"/>
      <c r="W15" s="146"/>
      <c r="X15" s="48"/>
      <c r="Y15" s="146"/>
      <c r="Z15" s="146"/>
      <c r="AA15" s="146"/>
      <c r="AB15" s="146"/>
      <c r="AC15" s="146"/>
      <c r="AD15" s="146"/>
      <c r="AE15" s="146"/>
      <c r="AF15" s="48"/>
      <c r="AG15" s="48"/>
      <c r="AH15" s="146"/>
      <c r="AI15" s="48"/>
      <c r="AJ15" s="48"/>
      <c r="AK15" s="146"/>
      <c r="AL15" s="48"/>
      <c r="AM15" s="146"/>
      <c r="AN15" s="146"/>
      <c r="AO15" s="48" t="s">
        <v>645</v>
      </c>
      <c r="AP15" s="49" t="s">
        <v>547</v>
      </c>
      <c r="AQ15" s="48"/>
      <c r="AR15" s="48"/>
      <c r="AS15" s="49"/>
      <c r="AT15" s="49">
        <v>1</v>
      </c>
      <c r="AU15" s="49"/>
      <c r="AV15" s="49"/>
      <c r="AW15" s="49"/>
      <c r="AX15" s="49" t="s">
        <v>547</v>
      </c>
      <c r="AY15" s="49"/>
      <c r="AZ15" s="49">
        <v>0</v>
      </c>
      <c r="BA15" s="49">
        <v>0</v>
      </c>
      <c r="BB15" s="49">
        <v>0</v>
      </c>
      <c r="BC15" s="49">
        <v>0</v>
      </c>
      <c r="BD15" s="49">
        <v>0</v>
      </c>
      <c r="BE15" s="49">
        <v>0</v>
      </c>
      <c r="BF15" s="49">
        <v>0</v>
      </c>
      <c r="BG15" s="49">
        <v>0</v>
      </c>
      <c r="BH15" s="49">
        <v>0</v>
      </c>
      <c r="BI15" s="49">
        <v>0</v>
      </c>
      <c r="BJ15" s="49">
        <v>0</v>
      </c>
      <c r="BK15" s="49">
        <v>0</v>
      </c>
      <c r="BL15" s="49"/>
      <c r="BM15" s="49" t="s">
        <v>547</v>
      </c>
      <c r="BN15" s="49"/>
      <c r="BO15" s="49" t="s">
        <v>547</v>
      </c>
      <c r="BP15" s="250">
        <v>35.454545454545453</v>
      </c>
      <c r="BQ15" s="49"/>
      <c r="BR15" s="49"/>
      <c r="BS15" s="49"/>
      <c r="BT15" s="49"/>
      <c r="BU15" s="49"/>
      <c r="BV15" s="49"/>
      <c r="BW15" s="49" t="s">
        <v>646</v>
      </c>
      <c r="BX15" s="49">
        <v>1</v>
      </c>
      <c r="BY15" s="48" t="s">
        <v>676</v>
      </c>
      <c r="BZ15" s="48" t="s">
        <v>816</v>
      </c>
      <c r="CA15" s="48" t="s">
        <v>90</v>
      </c>
    </row>
    <row r="16" spans="1:82" ht="13" customHeight="1" x14ac:dyDescent="0.15">
      <c r="A16" s="306"/>
      <c r="B16" s="123">
        <v>42934</v>
      </c>
      <c r="C16" s="47" t="s">
        <v>641</v>
      </c>
      <c r="D16" s="144" t="s">
        <v>534</v>
      </c>
      <c r="E16" s="48"/>
      <c r="F16" s="48" t="s">
        <v>642</v>
      </c>
      <c r="G16" s="307">
        <v>42917</v>
      </c>
      <c r="H16" s="49" t="s">
        <v>547</v>
      </c>
      <c r="I16" s="49" t="s">
        <v>817</v>
      </c>
      <c r="J16" s="49"/>
      <c r="K16" s="48" t="s">
        <v>608</v>
      </c>
      <c r="L16" s="48" t="s">
        <v>818</v>
      </c>
      <c r="M16" s="146">
        <v>91.590909090909079</v>
      </c>
      <c r="N16" s="146">
        <v>26.554545454545455</v>
      </c>
      <c r="O16" s="48"/>
      <c r="P16" s="50"/>
      <c r="Q16" s="146" t="s">
        <v>644</v>
      </c>
      <c r="R16" s="48"/>
      <c r="S16" s="48"/>
      <c r="T16" s="48"/>
      <c r="U16" s="48"/>
      <c r="V16" s="48"/>
      <c r="W16" s="48"/>
      <c r="X16" s="50"/>
      <c r="Y16" s="48"/>
      <c r="Z16" s="50"/>
      <c r="AA16" s="48"/>
      <c r="AB16" s="50"/>
      <c r="AC16" s="48"/>
      <c r="AD16" s="48"/>
      <c r="AE16" s="48" t="s">
        <v>644</v>
      </c>
      <c r="AF16" s="50" t="s">
        <v>644</v>
      </c>
      <c r="AG16" s="48" t="s">
        <v>644</v>
      </c>
      <c r="AH16" s="48" t="s">
        <v>644</v>
      </c>
      <c r="AI16" s="48" t="s">
        <v>644</v>
      </c>
      <c r="AJ16" s="48" t="s">
        <v>644</v>
      </c>
      <c r="AK16" s="48" t="s">
        <v>644</v>
      </c>
      <c r="AL16" s="48" t="s">
        <v>644</v>
      </c>
      <c r="AM16" s="48" t="s">
        <v>644</v>
      </c>
      <c r="AN16" s="48" t="s">
        <v>644</v>
      </c>
      <c r="AO16" s="48" t="s">
        <v>645</v>
      </c>
      <c r="AP16" s="49" t="s">
        <v>547</v>
      </c>
      <c r="AQ16" s="49"/>
      <c r="AR16" s="49"/>
      <c r="AS16" s="51"/>
      <c r="AT16" s="49">
        <v>8</v>
      </c>
      <c r="AU16" s="49"/>
      <c r="AV16" s="49"/>
      <c r="AW16" s="49"/>
      <c r="AX16" s="49" t="s">
        <v>495</v>
      </c>
      <c r="AY16" s="48"/>
      <c r="AZ16" s="49">
        <v>0</v>
      </c>
      <c r="BA16" s="49">
        <v>0</v>
      </c>
      <c r="BB16" s="49">
        <v>0</v>
      </c>
      <c r="BC16" s="49">
        <v>0</v>
      </c>
      <c r="BD16" s="49">
        <v>0</v>
      </c>
      <c r="BE16" s="49">
        <v>0</v>
      </c>
      <c r="BF16" s="49">
        <v>0</v>
      </c>
      <c r="BG16" s="49">
        <v>0</v>
      </c>
      <c r="BH16" s="49">
        <v>0</v>
      </c>
      <c r="BI16" s="49">
        <v>0</v>
      </c>
      <c r="BJ16" s="49">
        <v>0</v>
      </c>
      <c r="BK16" s="49">
        <v>0</v>
      </c>
      <c r="BL16" s="49"/>
      <c r="BM16" s="49" t="s">
        <v>547</v>
      </c>
      <c r="BN16" s="49"/>
      <c r="BO16" s="49" t="s">
        <v>547</v>
      </c>
      <c r="BP16" s="250">
        <v>163.63</v>
      </c>
      <c r="BQ16" s="49"/>
      <c r="BR16" s="49"/>
      <c r="BS16" s="49"/>
      <c r="BT16" s="52"/>
      <c r="BU16" s="48"/>
      <c r="BV16" s="49"/>
      <c r="BW16" s="49" t="s">
        <v>646</v>
      </c>
      <c r="BX16" s="49">
        <v>1</v>
      </c>
      <c r="BY16" s="52" t="s">
        <v>819</v>
      </c>
      <c r="BZ16" s="149" t="s">
        <v>820</v>
      </c>
      <c r="CA16" s="264" t="s">
        <v>90</v>
      </c>
    </row>
    <row r="17" spans="1:79" ht="13" customHeight="1" x14ac:dyDescent="0.15">
      <c r="A17" s="306">
        <v>772</v>
      </c>
      <c r="B17" s="46">
        <v>42929</v>
      </c>
      <c r="C17" s="46" t="s">
        <v>641</v>
      </c>
      <c r="D17" s="48" t="s">
        <v>534</v>
      </c>
      <c r="E17" s="48"/>
      <c r="F17" s="48" t="s">
        <v>642</v>
      </c>
      <c r="G17" s="46">
        <v>42916</v>
      </c>
      <c r="H17" s="49" t="s">
        <v>507</v>
      </c>
      <c r="I17" s="49" t="s">
        <v>508</v>
      </c>
      <c r="J17" s="48"/>
      <c r="K17" s="48" t="s">
        <v>682</v>
      </c>
      <c r="L17" s="48" t="s">
        <v>821</v>
      </c>
      <c r="M17" s="146">
        <v>61.809090909090898</v>
      </c>
      <c r="N17" s="146">
        <v>31.054545454545448</v>
      </c>
      <c r="O17" s="48"/>
      <c r="P17" s="50"/>
      <c r="Q17" s="146"/>
      <c r="R17" s="50"/>
      <c r="S17" s="146"/>
      <c r="T17" s="50"/>
      <c r="U17" s="146"/>
      <c r="V17" s="146"/>
      <c r="W17" s="146"/>
      <c r="X17" s="48"/>
      <c r="Y17" s="146"/>
      <c r="Z17" s="146"/>
      <c r="AA17" s="146"/>
      <c r="AB17" s="146"/>
      <c r="AC17" s="146"/>
      <c r="AD17" s="146"/>
      <c r="AE17" s="146"/>
      <c r="AF17" s="50"/>
      <c r="AG17" s="48"/>
      <c r="AH17" s="146"/>
      <c r="AI17" s="48"/>
      <c r="AJ17" s="48"/>
      <c r="AK17" s="146"/>
      <c r="AL17" s="48"/>
      <c r="AM17" s="146"/>
      <c r="AN17" s="146"/>
      <c r="AO17" s="48" t="s">
        <v>645</v>
      </c>
      <c r="AP17" s="49" t="s">
        <v>547</v>
      </c>
      <c r="AQ17" s="48"/>
      <c r="AR17" s="48"/>
      <c r="AS17" s="49"/>
      <c r="AT17" s="49">
        <v>16</v>
      </c>
      <c r="AU17" s="49">
        <v>300</v>
      </c>
      <c r="AV17" s="49"/>
      <c r="AW17" s="49">
        <v>10</v>
      </c>
      <c r="AX17" s="49" t="s">
        <v>495</v>
      </c>
      <c r="AY17" s="49"/>
      <c r="AZ17" s="49">
        <v>0</v>
      </c>
      <c r="BA17" s="49">
        <v>24</v>
      </c>
      <c r="BB17" s="49">
        <v>0</v>
      </c>
      <c r="BC17" s="49">
        <v>0</v>
      </c>
      <c r="BD17" s="49">
        <v>0</v>
      </c>
      <c r="BE17" s="49">
        <v>0</v>
      </c>
      <c r="BF17" s="49">
        <v>0</v>
      </c>
      <c r="BG17" s="49">
        <v>0</v>
      </c>
      <c r="BH17" s="49">
        <v>0</v>
      </c>
      <c r="BI17" s="49">
        <v>0</v>
      </c>
      <c r="BJ17" s="49">
        <v>0</v>
      </c>
      <c r="BK17" s="49">
        <v>0</v>
      </c>
      <c r="BL17" s="49"/>
      <c r="BM17" s="49" t="s">
        <v>547</v>
      </c>
      <c r="BN17" s="49"/>
      <c r="BO17" s="49" t="s">
        <v>547</v>
      </c>
      <c r="BP17" s="250"/>
      <c r="BQ17" s="49"/>
      <c r="BR17" s="49"/>
      <c r="BS17" s="49"/>
      <c r="BT17" s="49"/>
      <c r="BU17" s="49"/>
      <c r="BV17" s="49"/>
      <c r="BW17" s="49" t="s">
        <v>646</v>
      </c>
      <c r="BX17" s="49"/>
      <c r="BY17" s="48" t="s">
        <v>822</v>
      </c>
      <c r="BZ17" s="324" t="s">
        <v>823</v>
      </c>
      <c r="CA17" s="48" t="s">
        <v>90</v>
      </c>
    </row>
    <row r="18" spans="1:79" ht="13" customHeight="1" x14ac:dyDescent="0.2">
      <c r="A18" s="306">
        <v>12043</v>
      </c>
      <c r="B18" s="256">
        <v>42929</v>
      </c>
      <c r="C18" s="257" t="s">
        <v>641</v>
      </c>
      <c r="D18" s="255" t="s">
        <v>534</v>
      </c>
      <c r="E18" s="255"/>
      <c r="F18" s="255" t="s">
        <v>642</v>
      </c>
      <c r="G18" s="256">
        <v>42587</v>
      </c>
      <c r="H18" s="258" t="s">
        <v>507</v>
      </c>
      <c r="I18" s="258" t="s">
        <v>547</v>
      </c>
      <c r="J18" s="258"/>
      <c r="K18" s="255" t="s">
        <v>685</v>
      </c>
      <c r="L18" s="255" t="s">
        <v>686</v>
      </c>
      <c r="M18" s="259">
        <v>85.799999999999983</v>
      </c>
      <c r="N18" s="259">
        <v>28.25454545454545</v>
      </c>
      <c r="O18" s="255"/>
      <c r="P18" s="255"/>
      <c r="Q18" s="255"/>
      <c r="R18" s="260"/>
      <c r="S18" s="259"/>
      <c r="T18" s="255"/>
      <c r="U18" s="259"/>
      <c r="V18" s="259"/>
      <c r="W18" s="259"/>
      <c r="X18" s="260"/>
      <c r="Y18" s="259"/>
      <c r="Z18" s="259"/>
      <c r="AA18" s="259"/>
      <c r="AB18" s="259"/>
      <c r="AC18" s="259"/>
      <c r="AD18" s="259"/>
      <c r="AE18" s="259"/>
      <c r="AF18" s="260"/>
      <c r="AG18" s="255"/>
      <c r="AH18" s="259"/>
      <c r="AI18" s="255"/>
      <c r="AJ18" s="255"/>
      <c r="AK18" s="259"/>
      <c r="AL18" s="255"/>
      <c r="AM18" s="259"/>
      <c r="AN18" s="259"/>
      <c r="AO18" s="255" t="s">
        <v>645</v>
      </c>
      <c r="AP18" s="258" t="s">
        <v>547</v>
      </c>
      <c r="AQ18" s="258"/>
      <c r="AR18" s="258"/>
      <c r="AS18" s="262"/>
      <c r="AT18" s="258">
        <v>4</v>
      </c>
      <c r="AU18" s="258"/>
      <c r="AV18" s="258"/>
      <c r="AW18" s="258"/>
      <c r="AX18" s="258" t="s">
        <v>547</v>
      </c>
      <c r="AY18" s="255"/>
      <c r="AZ18" s="258">
        <v>0</v>
      </c>
      <c r="BA18" s="258">
        <v>0</v>
      </c>
      <c r="BB18" s="258">
        <v>0</v>
      </c>
      <c r="BC18" s="258">
        <v>0</v>
      </c>
      <c r="BD18" s="258">
        <v>0</v>
      </c>
      <c r="BE18" s="258">
        <v>0</v>
      </c>
      <c r="BF18" s="258">
        <v>0</v>
      </c>
      <c r="BG18" s="258">
        <v>0</v>
      </c>
      <c r="BH18" s="258">
        <v>0</v>
      </c>
      <c r="BI18" s="258">
        <v>0</v>
      </c>
      <c r="BJ18" s="258">
        <v>0</v>
      </c>
      <c r="BK18" s="258">
        <v>0</v>
      </c>
      <c r="BL18" s="258"/>
      <c r="BM18" s="258" t="s">
        <v>547</v>
      </c>
      <c r="BN18" s="258">
        <v>12</v>
      </c>
      <c r="BO18" s="258" t="s">
        <v>547</v>
      </c>
      <c r="BP18" s="263"/>
      <c r="BQ18" s="258"/>
      <c r="BR18" s="258"/>
      <c r="BS18" s="258"/>
      <c r="BT18" s="255"/>
      <c r="BU18" s="264"/>
      <c r="BV18" s="258"/>
      <c r="BW18" s="258" t="s">
        <v>646</v>
      </c>
      <c r="BX18" s="258">
        <v>1</v>
      </c>
      <c r="BY18" s="264"/>
      <c r="BZ18" s="321" t="s">
        <v>791</v>
      </c>
      <c r="CA18" s="255" t="s">
        <v>56</v>
      </c>
    </row>
    <row r="19" spans="1:79" ht="13" customHeight="1" x14ac:dyDescent="0.15">
      <c r="A19" s="306">
        <v>15334</v>
      </c>
      <c r="B19" s="256">
        <v>42929</v>
      </c>
      <c r="C19" s="257" t="s">
        <v>641</v>
      </c>
      <c r="D19" s="255" t="s">
        <v>534</v>
      </c>
      <c r="E19" s="255"/>
      <c r="F19" s="255" t="s">
        <v>642</v>
      </c>
      <c r="G19" s="256">
        <v>42916</v>
      </c>
      <c r="H19" s="258" t="s">
        <v>507</v>
      </c>
      <c r="I19" s="258" t="s">
        <v>547</v>
      </c>
      <c r="J19" s="258"/>
      <c r="K19" s="255" t="s">
        <v>801</v>
      </c>
      <c r="L19" s="255" t="s">
        <v>824</v>
      </c>
      <c r="M19" s="259">
        <v>109</v>
      </c>
      <c r="N19" s="259">
        <v>28.999999999999996</v>
      </c>
      <c r="O19" s="255"/>
      <c r="P19" s="260"/>
      <c r="Q19" s="255"/>
      <c r="R19" s="260"/>
      <c r="S19" s="259"/>
      <c r="T19" s="255"/>
      <c r="U19" s="259"/>
      <c r="V19" s="259"/>
      <c r="W19" s="259"/>
      <c r="X19" s="260"/>
      <c r="Y19" s="259"/>
      <c r="Z19" s="259"/>
      <c r="AA19" s="259"/>
      <c r="AB19" s="259"/>
      <c r="AC19" s="259"/>
      <c r="AD19" s="259"/>
      <c r="AE19" s="259"/>
      <c r="AF19" s="260"/>
      <c r="AG19" s="255"/>
      <c r="AH19" s="259"/>
      <c r="AI19" s="255"/>
      <c r="AJ19" s="255"/>
      <c r="AK19" s="259"/>
      <c r="AL19" s="255"/>
      <c r="AM19" s="259"/>
      <c r="AN19" s="259"/>
      <c r="AO19" s="255" t="s">
        <v>645</v>
      </c>
      <c r="AP19" s="258" t="s">
        <v>547</v>
      </c>
      <c r="AQ19" s="258"/>
      <c r="AR19" s="258"/>
      <c r="AS19" s="262"/>
      <c r="AT19" s="258">
        <v>3</v>
      </c>
      <c r="AU19" s="258"/>
      <c r="AV19" s="258"/>
      <c r="AW19" s="258"/>
      <c r="AX19" s="258" t="s">
        <v>547</v>
      </c>
      <c r="AY19" s="255"/>
      <c r="AZ19" s="258">
        <v>0</v>
      </c>
      <c r="BA19" s="258">
        <v>0</v>
      </c>
      <c r="BB19" s="258">
        <v>0</v>
      </c>
      <c r="BC19" s="258">
        <v>0</v>
      </c>
      <c r="BD19" s="258">
        <v>0</v>
      </c>
      <c r="BE19" s="258">
        <v>0</v>
      </c>
      <c r="BF19" s="258">
        <v>0</v>
      </c>
      <c r="BG19" s="258">
        <v>0</v>
      </c>
      <c r="BH19" s="258">
        <v>0</v>
      </c>
      <c r="BI19" s="258">
        <v>0</v>
      </c>
      <c r="BJ19" s="258">
        <v>0</v>
      </c>
      <c r="BK19" s="258">
        <v>0</v>
      </c>
      <c r="BL19" s="258"/>
      <c r="BM19" s="258" t="s">
        <v>547</v>
      </c>
      <c r="BN19" s="258"/>
      <c r="BO19" s="258" t="s">
        <v>547</v>
      </c>
      <c r="BP19" s="263"/>
      <c r="BQ19" s="258"/>
      <c r="BR19" s="258"/>
      <c r="BS19" s="258"/>
      <c r="BT19" s="255" t="s">
        <v>825</v>
      </c>
      <c r="BU19" s="264" t="s">
        <v>826</v>
      </c>
      <c r="BV19" s="258">
        <v>50</v>
      </c>
      <c r="BW19" s="258" t="s">
        <v>646</v>
      </c>
      <c r="BX19" s="258"/>
      <c r="BY19" s="264"/>
      <c r="BZ19" s="322" t="s">
        <v>827</v>
      </c>
      <c r="CA19" s="255" t="s">
        <v>527</v>
      </c>
    </row>
    <row r="20" spans="1:79" ht="13" customHeight="1" x14ac:dyDescent="0.15">
      <c r="A20" s="306">
        <v>11186</v>
      </c>
      <c r="B20" s="256">
        <v>42926</v>
      </c>
      <c r="C20" s="257" t="s">
        <v>641</v>
      </c>
      <c r="D20" s="255" t="s">
        <v>534</v>
      </c>
      <c r="E20" s="255"/>
      <c r="F20" s="255" t="s">
        <v>642</v>
      </c>
      <c r="G20" s="256">
        <v>42900</v>
      </c>
      <c r="H20" s="258" t="s">
        <v>507</v>
      </c>
      <c r="I20" s="258" t="s">
        <v>547</v>
      </c>
      <c r="J20" s="258"/>
      <c r="K20" s="255" t="s">
        <v>688</v>
      </c>
      <c r="L20" s="255" t="s">
        <v>609</v>
      </c>
      <c r="M20" s="259">
        <v>106.33636363636363</v>
      </c>
      <c r="N20" s="259">
        <v>22.836363636363636</v>
      </c>
      <c r="O20" s="255"/>
      <c r="P20" s="260"/>
      <c r="Q20" s="255"/>
      <c r="R20" s="260"/>
      <c r="S20" s="259"/>
      <c r="T20" s="260"/>
      <c r="U20" s="259"/>
      <c r="V20" s="259"/>
      <c r="W20" s="259"/>
      <c r="X20" s="255"/>
      <c r="Y20" s="259"/>
      <c r="Z20" s="259"/>
      <c r="AA20" s="259"/>
      <c r="AB20" s="259"/>
      <c r="AC20" s="259"/>
      <c r="AD20" s="259"/>
      <c r="AE20" s="259"/>
      <c r="AF20" s="260"/>
      <c r="AG20" s="255"/>
      <c r="AH20" s="259"/>
      <c r="AI20" s="255"/>
      <c r="AJ20" s="255"/>
      <c r="AK20" s="259"/>
      <c r="AL20" s="255"/>
      <c r="AM20" s="259"/>
      <c r="AN20" s="259"/>
      <c r="AO20" s="255" t="s">
        <v>645</v>
      </c>
      <c r="AP20" s="258" t="s">
        <v>547</v>
      </c>
      <c r="AQ20" s="258"/>
      <c r="AR20" s="258"/>
      <c r="AS20" s="262"/>
      <c r="AT20" s="258">
        <v>2.06</v>
      </c>
      <c r="AU20" s="258"/>
      <c r="AV20" s="258"/>
      <c r="AW20" s="258"/>
      <c r="AX20" s="258" t="s">
        <v>547</v>
      </c>
      <c r="AY20" s="255"/>
      <c r="AZ20" s="258">
        <v>0</v>
      </c>
      <c r="BA20" s="258">
        <v>0</v>
      </c>
      <c r="BB20" s="258">
        <v>0</v>
      </c>
      <c r="BC20" s="258">
        <v>0</v>
      </c>
      <c r="BD20" s="258">
        <v>0</v>
      </c>
      <c r="BE20" s="258">
        <v>0</v>
      </c>
      <c r="BF20" s="258">
        <v>0</v>
      </c>
      <c r="BG20" s="258">
        <v>0</v>
      </c>
      <c r="BH20" s="258">
        <v>0</v>
      </c>
      <c r="BI20" s="258">
        <v>0</v>
      </c>
      <c r="BJ20" s="258">
        <v>0</v>
      </c>
      <c r="BK20" s="258">
        <v>0</v>
      </c>
      <c r="BL20" s="258"/>
      <c r="BM20" s="258" t="s">
        <v>547</v>
      </c>
      <c r="BN20" s="258"/>
      <c r="BO20" s="258" t="s">
        <v>547</v>
      </c>
      <c r="BP20" s="263"/>
      <c r="BQ20" s="258"/>
      <c r="BR20" s="258"/>
      <c r="BS20" s="258"/>
      <c r="BT20" s="264"/>
      <c r="BU20" s="264"/>
      <c r="BV20" s="258"/>
      <c r="BW20" s="258" t="s">
        <v>646</v>
      </c>
      <c r="BX20" s="258">
        <v>1</v>
      </c>
      <c r="BY20" s="312"/>
      <c r="BZ20" s="342" t="s">
        <v>828</v>
      </c>
      <c r="CA20" s="264" t="s">
        <v>90</v>
      </c>
    </row>
    <row r="21" spans="1:79" ht="13" customHeight="1" x14ac:dyDescent="0.2">
      <c r="A21" s="306">
        <v>12712</v>
      </c>
      <c r="B21" s="256">
        <v>42926</v>
      </c>
      <c r="C21" s="257" t="s">
        <v>641</v>
      </c>
      <c r="D21" s="255" t="s">
        <v>534</v>
      </c>
      <c r="E21" s="255"/>
      <c r="F21" s="255" t="s">
        <v>642</v>
      </c>
      <c r="G21" s="307">
        <v>42916</v>
      </c>
      <c r="H21" s="258" t="s">
        <v>507</v>
      </c>
      <c r="I21" s="258" t="s">
        <v>547</v>
      </c>
      <c r="J21" s="258"/>
      <c r="K21" s="255" t="s">
        <v>690</v>
      </c>
      <c r="L21" s="255" t="s">
        <v>691</v>
      </c>
      <c r="M21" s="259">
        <v>77</v>
      </c>
      <c r="N21" s="259">
        <v>24.999999999999996</v>
      </c>
      <c r="O21" s="255"/>
      <c r="P21" s="255"/>
      <c r="Q21" s="255"/>
      <c r="R21" s="260"/>
      <c r="S21" s="259"/>
      <c r="T21" s="255"/>
      <c r="U21" s="259"/>
      <c r="V21" s="259"/>
      <c r="W21" s="259"/>
      <c r="X21" s="255"/>
      <c r="Y21" s="259"/>
      <c r="Z21" s="259"/>
      <c r="AA21" s="259"/>
      <c r="AB21" s="259"/>
      <c r="AC21" s="259"/>
      <c r="AD21" s="259"/>
      <c r="AE21" s="259"/>
      <c r="AF21" s="255"/>
      <c r="AG21" s="255"/>
      <c r="AH21" s="259"/>
      <c r="AI21" s="255"/>
      <c r="AJ21" s="255"/>
      <c r="AK21" s="259"/>
      <c r="AL21" s="255"/>
      <c r="AM21" s="259"/>
      <c r="AN21" s="259"/>
      <c r="AO21" s="255" t="s">
        <v>645</v>
      </c>
      <c r="AP21" s="258" t="s">
        <v>547</v>
      </c>
      <c r="AQ21" s="258"/>
      <c r="AR21" s="258"/>
      <c r="AS21" s="262"/>
      <c r="AT21" s="258">
        <v>8</v>
      </c>
      <c r="AU21" s="258"/>
      <c r="AV21" s="258"/>
      <c r="AW21" s="258"/>
      <c r="AX21" s="258" t="s">
        <v>507</v>
      </c>
      <c r="AY21" s="255" t="s">
        <v>692</v>
      </c>
      <c r="AZ21" s="258">
        <v>0</v>
      </c>
      <c r="BA21" s="258">
        <v>0</v>
      </c>
      <c r="BB21" s="258">
        <v>0</v>
      </c>
      <c r="BC21" s="258">
        <v>0</v>
      </c>
      <c r="BD21" s="258">
        <v>0</v>
      </c>
      <c r="BE21" s="258">
        <v>0</v>
      </c>
      <c r="BF21" s="258">
        <v>0</v>
      </c>
      <c r="BG21" s="258">
        <v>0</v>
      </c>
      <c r="BH21" s="258">
        <v>0</v>
      </c>
      <c r="BI21" s="258">
        <v>0</v>
      </c>
      <c r="BJ21" s="258">
        <v>0</v>
      </c>
      <c r="BK21" s="258">
        <v>0</v>
      </c>
      <c r="BL21" s="258"/>
      <c r="BM21" s="258" t="s">
        <v>547</v>
      </c>
      <c r="BN21" s="258"/>
      <c r="BO21" s="258" t="s">
        <v>547</v>
      </c>
      <c r="BP21" s="263"/>
      <c r="BQ21" s="258"/>
      <c r="BR21" s="258"/>
      <c r="BS21" s="258"/>
      <c r="BT21" s="255"/>
      <c r="BU21" s="264"/>
      <c r="BV21" s="258"/>
      <c r="BW21" s="258" t="s">
        <v>646</v>
      </c>
      <c r="BX21" s="258">
        <v>1</v>
      </c>
      <c r="BY21" s="322" t="s">
        <v>693</v>
      </c>
      <c r="BZ21" s="308" t="s">
        <v>829</v>
      </c>
      <c r="CA21" s="255" t="s">
        <v>90</v>
      </c>
    </row>
    <row r="22" spans="1:79" customFormat="1" x14ac:dyDescent="0.15">
      <c r="A22" s="306">
        <v>13808</v>
      </c>
      <c r="B22" s="46">
        <v>42928</v>
      </c>
      <c r="C22" s="46" t="s">
        <v>641</v>
      </c>
      <c r="D22" s="48" t="s">
        <v>534</v>
      </c>
      <c r="E22" s="48"/>
      <c r="F22" s="48" t="s">
        <v>642</v>
      </c>
      <c r="G22" s="46">
        <v>42642</v>
      </c>
      <c r="H22" s="49" t="s">
        <v>507</v>
      </c>
      <c r="I22" s="49" t="s">
        <v>508</v>
      </c>
      <c r="J22" s="48"/>
      <c r="K22" s="48" t="s">
        <v>695</v>
      </c>
      <c r="L22" s="48" t="s">
        <v>830</v>
      </c>
      <c r="M22" s="146">
        <v>79.154545454545442</v>
      </c>
      <c r="N22" s="146">
        <v>34.409090909090907</v>
      </c>
      <c r="O22" s="48"/>
      <c r="P22" s="50"/>
      <c r="Q22" s="146"/>
      <c r="R22" s="50"/>
      <c r="S22" s="146"/>
      <c r="T22" s="50"/>
      <c r="U22" s="146"/>
      <c r="V22" s="146"/>
      <c r="W22" s="146"/>
      <c r="X22" s="48"/>
      <c r="Y22" s="146"/>
      <c r="Z22" s="146"/>
      <c r="AA22" s="146"/>
      <c r="AB22" s="146"/>
      <c r="AC22" s="146"/>
      <c r="AD22" s="146"/>
      <c r="AE22" s="146"/>
      <c r="AF22" s="50"/>
      <c r="AG22" s="48"/>
      <c r="AH22" s="146"/>
      <c r="AI22" s="48"/>
      <c r="AJ22" s="48"/>
      <c r="AK22" s="146"/>
      <c r="AL22" s="48"/>
      <c r="AM22" s="146"/>
      <c r="AN22" s="146"/>
      <c r="AO22" s="48" t="s">
        <v>645</v>
      </c>
      <c r="AP22" s="49" t="s">
        <v>547</v>
      </c>
      <c r="AQ22" s="48"/>
      <c r="AR22" s="48"/>
      <c r="AS22" s="49"/>
      <c r="AT22" s="49">
        <v>19</v>
      </c>
      <c r="AU22" s="49">
        <v>455</v>
      </c>
      <c r="AV22" s="49"/>
      <c r="AW22" s="49">
        <v>5</v>
      </c>
      <c r="AX22" s="49" t="s">
        <v>495</v>
      </c>
      <c r="AY22" s="49"/>
      <c r="AZ22" s="49">
        <v>0</v>
      </c>
      <c r="BA22" s="49">
        <v>0</v>
      </c>
      <c r="BB22" s="49">
        <v>0</v>
      </c>
      <c r="BC22" s="49">
        <v>0</v>
      </c>
      <c r="BD22" s="49">
        <v>0</v>
      </c>
      <c r="BE22" s="49">
        <v>0</v>
      </c>
      <c r="BF22" s="49">
        <v>0</v>
      </c>
      <c r="BG22" s="49">
        <v>0</v>
      </c>
      <c r="BH22" s="49">
        <v>0</v>
      </c>
      <c r="BI22" s="49">
        <v>0</v>
      </c>
      <c r="BJ22" s="49">
        <v>0</v>
      </c>
      <c r="BK22" s="49">
        <v>0</v>
      </c>
      <c r="BL22" s="49"/>
      <c r="BM22" s="49" t="s">
        <v>547</v>
      </c>
      <c r="BN22" s="49"/>
      <c r="BO22" s="49" t="s">
        <v>547</v>
      </c>
      <c r="BP22" s="250"/>
      <c r="BQ22" s="49"/>
      <c r="BR22" s="49"/>
      <c r="BS22" s="49"/>
      <c r="BT22" s="49"/>
      <c r="BU22" s="49"/>
      <c r="BV22" s="49"/>
      <c r="BW22" s="49" t="s">
        <v>646</v>
      </c>
      <c r="BX22" s="49"/>
      <c r="BY22" s="48"/>
      <c r="BZ22" s="48" t="s">
        <v>831</v>
      </c>
      <c r="CA22" s="48" t="s">
        <v>56</v>
      </c>
    </row>
    <row r="23" spans="1:79" customFormat="1" x14ac:dyDescent="0.15">
      <c r="A23" s="306">
        <v>14320</v>
      </c>
      <c r="B23" s="46">
        <v>42925</v>
      </c>
      <c r="C23" s="46" t="s">
        <v>641</v>
      </c>
      <c r="D23" s="48" t="s">
        <v>534</v>
      </c>
      <c r="E23" s="48"/>
      <c r="F23" s="48" t="s">
        <v>642</v>
      </c>
      <c r="G23" s="46">
        <v>42916</v>
      </c>
      <c r="H23" s="49" t="s">
        <v>507</v>
      </c>
      <c r="I23" s="49" t="s">
        <v>508</v>
      </c>
      <c r="J23" s="48"/>
      <c r="K23" s="48" t="s">
        <v>832</v>
      </c>
      <c r="L23" s="48" t="s">
        <v>833</v>
      </c>
      <c r="M23" s="146">
        <v>80.954545454545439</v>
      </c>
      <c r="N23" s="146">
        <v>31.481818181818181</v>
      </c>
      <c r="O23" s="48" t="s">
        <v>648</v>
      </c>
      <c r="P23" s="50">
        <v>1000</v>
      </c>
      <c r="Q23" s="146">
        <v>33.781818181818174</v>
      </c>
      <c r="R23" s="50"/>
      <c r="S23" s="146"/>
      <c r="T23" s="50"/>
      <c r="U23" s="146"/>
      <c r="V23" s="146"/>
      <c r="W23" s="146"/>
      <c r="X23" s="48"/>
      <c r="Y23" s="146"/>
      <c r="Z23" s="146"/>
      <c r="AA23" s="146"/>
      <c r="AB23" s="146"/>
      <c r="AC23" s="146"/>
      <c r="AD23" s="146"/>
      <c r="AE23" s="146"/>
      <c r="AF23" s="48"/>
      <c r="AG23" s="48"/>
      <c r="AH23" s="146"/>
      <c r="AI23" s="48"/>
      <c r="AJ23" s="48"/>
      <c r="AK23" s="146"/>
      <c r="AL23" s="48"/>
      <c r="AM23" s="146"/>
      <c r="AN23" s="146"/>
      <c r="AO23" s="48" t="s">
        <v>645</v>
      </c>
      <c r="AP23" s="49" t="s">
        <v>547</v>
      </c>
      <c r="AQ23" s="48"/>
      <c r="AR23" s="48"/>
      <c r="AS23" s="49"/>
      <c r="AT23" s="49">
        <v>13</v>
      </c>
      <c r="AU23" s="49"/>
      <c r="AV23" s="49"/>
      <c r="AW23" s="49"/>
      <c r="AX23" s="49" t="s">
        <v>547</v>
      </c>
      <c r="AY23" s="49"/>
      <c r="AZ23" s="49">
        <v>0</v>
      </c>
      <c r="BA23" s="49">
        <v>0</v>
      </c>
      <c r="BB23" s="49">
        <v>0</v>
      </c>
      <c r="BC23" s="49">
        <v>0</v>
      </c>
      <c r="BD23" s="49">
        <v>0</v>
      </c>
      <c r="BE23" s="49">
        <v>0</v>
      </c>
      <c r="BF23" s="49">
        <v>0</v>
      </c>
      <c r="BG23" s="49">
        <v>0</v>
      </c>
      <c r="BH23" s="49">
        <v>0</v>
      </c>
      <c r="BI23" s="49">
        <v>0</v>
      </c>
      <c r="BJ23" s="49">
        <v>0</v>
      </c>
      <c r="BK23" s="49">
        <v>0</v>
      </c>
      <c r="BL23" s="49"/>
      <c r="BM23" s="49" t="s">
        <v>547</v>
      </c>
      <c r="BN23" s="49"/>
      <c r="BO23" s="49" t="s">
        <v>547</v>
      </c>
      <c r="BP23" s="250"/>
      <c r="BQ23" s="49"/>
      <c r="BR23" s="49"/>
      <c r="BS23" s="49"/>
      <c r="BT23" s="49"/>
      <c r="BU23" s="49"/>
      <c r="BV23" s="49"/>
      <c r="BW23" s="49" t="s">
        <v>646</v>
      </c>
      <c r="BX23" s="49">
        <v>1</v>
      </c>
      <c r="BY23" s="48"/>
      <c r="BZ23" s="48" t="s">
        <v>834</v>
      </c>
      <c r="CA23" s="48" t="s">
        <v>90</v>
      </c>
    </row>
    <row r="24" spans="1:79" ht="13" customHeight="1" x14ac:dyDescent="0.15">
      <c r="A24" s="306">
        <v>14323</v>
      </c>
      <c r="B24" s="256">
        <v>42926</v>
      </c>
      <c r="C24" s="313" t="s">
        <v>641</v>
      </c>
      <c r="D24" s="314" t="s">
        <v>534</v>
      </c>
      <c r="E24" s="314"/>
      <c r="F24" s="314" t="s">
        <v>642</v>
      </c>
      <c r="G24" s="307">
        <v>42614</v>
      </c>
      <c r="H24" s="315" t="s">
        <v>507</v>
      </c>
      <c r="I24" s="315" t="s">
        <v>547</v>
      </c>
      <c r="J24" s="315"/>
      <c r="K24" s="314" t="s">
        <v>835</v>
      </c>
      <c r="L24" s="255" t="s">
        <v>836</v>
      </c>
      <c r="M24" s="259">
        <v>99.999999999999986</v>
      </c>
      <c r="N24" s="259">
        <v>27.27272727272727</v>
      </c>
      <c r="O24" s="255"/>
      <c r="P24" s="255"/>
      <c r="Q24" s="255"/>
      <c r="R24" s="255"/>
      <c r="S24" s="259"/>
      <c r="T24" s="255"/>
      <c r="U24" s="259"/>
      <c r="V24" s="259"/>
      <c r="W24" s="259"/>
      <c r="X24" s="255"/>
      <c r="Y24" s="259"/>
      <c r="Z24" s="259"/>
      <c r="AA24" s="259"/>
      <c r="AB24" s="259"/>
      <c r="AC24" s="259"/>
      <c r="AD24" s="259"/>
      <c r="AE24" s="259"/>
      <c r="AF24" s="255"/>
      <c r="AG24" s="255"/>
      <c r="AH24" s="259"/>
      <c r="AI24" s="255"/>
      <c r="AJ24" s="255"/>
      <c r="AK24" s="259"/>
      <c r="AL24" s="255"/>
      <c r="AM24" s="259"/>
      <c r="AN24" s="259"/>
      <c r="AO24" s="48" t="s">
        <v>645</v>
      </c>
      <c r="AP24" s="258" t="s">
        <v>547</v>
      </c>
      <c r="AQ24" s="258"/>
      <c r="AR24" s="258"/>
      <c r="AS24" s="262"/>
      <c r="AT24" s="258">
        <v>8</v>
      </c>
      <c r="AU24" s="258"/>
      <c r="AV24" s="258"/>
      <c r="AW24" s="258"/>
      <c r="AX24" s="258" t="s">
        <v>547</v>
      </c>
      <c r="AY24" s="255"/>
      <c r="AZ24" s="258">
        <v>0</v>
      </c>
      <c r="BA24" s="258">
        <v>0</v>
      </c>
      <c r="BB24" s="258">
        <v>0</v>
      </c>
      <c r="BC24" s="258">
        <v>0</v>
      </c>
      <c r="BD24" s="258">
        <v>0</v>
      </c>
      <c r="BE24" s="258">
        <v>0</v>
      </c>
      <c r="BF24" s="258">
        <v>0</v>
      </c>
      <c r="BG24" s="258">
        <v>0</v>
      </c>
      <c r="BH24" s="258">
        <v>0</v>
      </c>
      <c r="BI24" s="258">
        <v>0</v>
      </c>
      <c r="BJ24" s="258">
        <v>0</v>
      </c>
      <c r="BK24" s="258">
        <v>0</v>
      </c>
      <c r="BL24" s="258"/>
      <c r="BM24" s="258" t="s">
        <v>547</v>
      </c>
      <c r="BN24" s="258"/>
      <c r="BO24" s="258" t="s">
        <v>547</v>
      </c>
      <c r="BP24" s="263"/>
      <c r="BQ24" s="258"/>
      <c r="BR24" s="258"/>
      <c r="BS24" s="320">
        <v>42973</v>
      </c>
      <c r="BT24" s="255"/>
      <c r="BU24" s="255"/>
      <c r="BV24" s="258"/>
      <c r="BW24" s="258" t="s">
        <v>646</v>
      </c>
      <c r="BX24" s="258"/>
      <c r="BY24" s="255"/>
      <c r="BZ24" s="312" t="s">
        <v>837</v>
      </c>
      <c r="CA24" s="264" t="s">
        <v>56</v>
      </c>
    </row>
    <row r="25" spans="1:79" ht="13" customHeight="1" x14ac:dyDescent="0.15">
      <c r="A25" s="306">
        <v>15320</v>
      </c>
      <c r="B25" s="256">
        <v>42926</v>
      </c>
      <c r="C25" s="257" t="s">
        <v>641</v>
      </c>
      <c r="D25" s="255" t="s">
        <v>534</v>
      </c>
      <c r="E25" s="255"/>
      <c r="F25" s="255" t="s">
        <v>642</v>
      </c>
      <c r="G25" s="256">
        <v>42916</v>
      </c>
      <c r="H25" s="258" t="s">
        <v>507</v>
      </c>
      <c r="I25" s="258" t="s">
        <v>547</v>
      </c>
      <c r="J25" s="258"/>
      <c r="K25" s="255" t="s">
        <v>838</v>
      </c>
      <c r="L25" s="255" t="s">
        <v>839</v>
      </c>
      <c r="M25" s="259">
        <v>102.49999999999999</v>
      </c>
      <c r="N25" s="259">
        <v>25.799999999999997</v>
      </c>
      <c r="O25" s="255"/>
      <c r="P25" s="255"/>
      <c r="Q25" s="255"/>
      <c r="R25" s="260"/>
      <c r="S25" s="259"/>
      <c r="T25" s="255"/>
      <c r="U25" s="259"/>
      <c r="V25" s="259"/>
      <c r="W25" s="259"/>
      <c r="X25" s="255"/>
      <c r="Y25" s="259"/>
      <c r="Z25" s="259"/>
      <c r="AA25" s="259"/>
      <c r="AB25" s="259"/>
      <c r="AC25" s="259"/>
      <c r="AD25" s="259"/>
      <c r="AE25" s="259"/>
      <c r="AF25" s="255"/>
      <c r="AG25" s="255"/>
      <c r="AH25" s="259"/>
      <c r="AI25" s="255"/>
      <c r="AJ25" s="255"/>
      <c r="AK25" s="259"/>
      <c r="AL25" s="255"/>
      <c r="AM25" s="259"/>
      <c r="AN25" s="259"/>
      <c r="AO25" s="255" t="s">
        <v>645</v>
      </c>
      <c r="AP25" s="258" t="s">
        <v>547</v>
      </c>
      <c r="AQ25" s="258"/>
      <c r="AR25" s="258"/>
      <c r="AS25" s="262"/>
      <c r="AT25" s="258">
        <v>2</v>
      </c>
      <c r="AU25" s="258"/>
      <c r="AV25" s="258"/>
      <c r="AW25" s="258"/>
      <c r="AX25" s="258" t="s">
        <v>547</v>
      </c>
      <c r="AY25" s="255"/>
      <c r="AZ25" s="258">
        <v>0</v>
      </c>
      <c r="BA25" s="258">
        <v>0</v>
      </c>
      <c r="BB25" s="258">
        <v>0</v>
      </c>
      <c r="BC25" s="258">
        <v>0</v>
      </c>
      <c r="BD25" s="258">
        <v>0</v>
      </c>
      <c r="BE25" s="258">
        <v>0</v>
      </c>
      <c r="BF25" s="258">
        <v>0</v>
      </c>
      <c r="BG25" s="258">
        <v>0</v>
      </c>
      <c r="BH25" s="258">
        <v>0</v>
      </c>
      <c r="BI25" s="258">
        <v>0</v>
      </c>
      <c r="BJ25" s="258">
        <v>0</v>
      </c>
      <c r="BK25" s="258">
        <v>0</v>
      </c>
      <c r="BL25" s="258"/>
      <c r="BM25" s="258" t="s">
        <v>547</v>
      </c>
      <c r="BN25" s="258">
        <v>12</v>
      </c>
      <c r="BO25" s="258" t="s">
        <v>547</v>
      </c>
      <c r="BP25" s="263"/>
      <c r="BQ25" s="258"/>
      <c r="BR25" s="258">
        <v>12</v>
      </c>
      <c r="BS25" s="258"/>
      <c r="BT25" s="264"/>
      <c r="BU25" s="264"/>
      <c r="BV25" s="258"/>
      <c r="BW25" s="258" t="s">
        <v>646</v>
      </c>
      <c r="BX25" s="258">
        <v>1</v>
      </c>
      <c r="BY25" s="264" t="s">
        <v>840</v>
      </c>
      <c r="BZ25" s="312" t="s">
        <v>841</v>
      </c>
      <c r="CA25" s="264" t="s">
        <v>527</v>
      </c>
    </row>
    <row r="26" spans="1:79" customFormat="1" ht="13" customHeight="1" x14ac:dyDescent="0.2">
      <c r="A26" s="306"/>
      <c r="B26" s="256">
        <v>42944</v>
      </c>
      <c r="C26" s="257" t="s">
        <v>641</v>
      </c>
      <c r="D26" s="255" t="s">
        <v>534</v>
      </c>
      <c r="E26" s="255"/>
      <c r="F26" s="255" t="s">
        <v>642</v>
      </c>
      <c r="G26" s="256">
        <v>42857</v>
      </c>
      <c r="H26" s="258" t="s">
        <v>507</v>
      </c>
      <c r="I26" s="258" t="s">
        <v>508</v>
      </c>
      <c r="J26" s="258"/>
      <c r="K26" s="255" t="s">
        <v>857</v>
      </c>
      <c r="L26" s="255" t="s">
        <v>858</v>
      </c>
      <c r="M26" s="259">
        <v>102.99999999999999</v>
      </c>
      <c r="N26" s="259">
        <v>34.4</v>
      </c>
      <c r="O26" s="255"/>
      <c r="P26" s="260"/>
      <c r="Q26" s="255"/>
      <c r="R26" s="260"/>
      <c r="S26" s="259"/>
      <c r="T26" s="260"/>
      <c r="U26" s="259"/>
      <c r="V26" s="259"/>
      <c r="W26" s="259"/>
      <c r="X26" s="255"/>
      <c r="Y26" s="259"/>
      <c r="Z26" s="259"/>
      <c r="AA26" s="259"/>
      <c r="AB26" s="259"/>
      <c r="AC26" s="259"/>
      <c r="AD26" s="259"/>
      <c r="AE26" s="255"/>
      <c r="AF26" s="260"/>
      <c r="AG26" s="255"/>
      <c r="AH26" s="259"/>
      <c r="AI26" s="255"/>
      <c r="AJ26" s="255"/>
      <c r="AK26" s="259"/>
      <c r="AL26" s="255"/>
      <c r="AM26" s="259"/>
      <c r="AN26" s="259"/>
      <c r="AO26" s="255" t="s">
        <v>645</v>
      </c>
      <c r="AP26" s="258" t="s">
        <v>547</v>
      </c>
      <c r="AQ26" s="258"/>
      <c r="AR26" s="258"/>
      <c r="AS26" s="262"/>
      <c r="AT26" s="258">
        <v>20</v>
      </c>
      <c r="AU26" s="258">
        <v>318</v>
      </c>
      <c r="AV26" s="258"/>
      <c r="AW26" s="258">
        <v>7.5</v>
      </c>
      <c r="AX26" s="258" t="s">
        <v>495</v>
      </c>
      <c r="AY26" s="255"/>
      <c r="AZ26" s="258">
        <v>0</v>
      </c>
      <c r="BA26" s="258">
        <v>0</v>
      </c>
      <c r="BB26" s="258">
        <v>0</v>
      </c>
      <c r="BC26" s="258">
        <v>0</v>
      </c>
      <c r="BD26" s="258">
        <v>0</v>
      </c>
      <c r="BE26" s="258">
        <v>0</v>
      </c>
      <c r="BF26" s="258">
        <v>0</v>
      </c>
      <c r="BG26" s="258">
        <v>0</v>
      </c>
      <c r="BH26" s="258">
        <v>0</v>
      </c>
      <c r="BI26" s="258">
        <v>0</v>
      </c>
      <c r="BJ26" s="258">
        <v>0</v>
      </c>
      <c r="BK26" s="258">
        <v>0</v>
      </c>
      <c r="BL26" s="258"/>
      <c r="BM26" s="258" t="s">
        <v>547</v>
      </c>
      <c r="BN26" s="258"/>
      <c r="BO26" s="258" t="s">
        <v>547</v>
      </c>
      <c r="BP26" s="263"/>
      <c r="BQ26" s="258"/>
      <c r="BR26" s="258">
        <v>12</v>
      </c>
      <c r="BS26" s="258"/>
      <c r="BT26" s="264"/>
      <c r="BU26" s="264"/>
      <c r="BV26" s="258"/>
      <c r="BW26" s="258" t="s">
        <v>646</v>
      </c>
      <c r="BX26" s="258"/>
      <c r="BY26" s="264" t="s">
        <v>859</v>
      </c>
      <c r="BZ26" s="308" t="s">
        <v>860</v>
      </c>
      <c r="CA26" s="264" t="s">
        <v>527</v>
      </c>
    </row>
    <row r="27" spans="1:79" customFormat="1" ht="13" customHeight="1" x14ac:dyDescent="0.2">
      <c r="A27" s="306"/>
      <c r="B27" s="256">
        <v>42944</v>
      </c>
      <c r="C27" s="257" t="s">
        <v>641</v>
      </c>
      <c r="D27" s="255" t="s">
        <v>534</v>
      </c>
      <c r="E27" s="255"/>
      <c r="F27" s="255" t="s">
        <v>642</v>
      </c>
      <c r="G27" s="256">
        <v>42941</v>
      </c>
      <c r="H27" s="258" t="s">
        <v>507</v>
      </c>
      <c r="I27" s="258" t="s">
        <v>508</v>
      </c>
      <c r="J27" s="258"/>
      <c r="K27" s="255" t="s">
        <v>861</v>
      </c>
      <c r="L27" s="255" t="s">
        <v>862</v>
      </c>
      <c r="M27" s="259">
        <v>66.5</v>
      </c>
      <c r="N27" s="259">
        <v>28.563636363636363</v>
      </c>
      <c r="O27" s="255"/>
      <c r="P27" s="260"/>
      <c r="Q27" s="255"/>
      <c r="R27" s="260"/>
      <c r="S27" s="259"/>
      <c r="T27" s="260"/>
      <c r="U27" s="259"/>
      <c r="V27" s="259"/>
      <c r="W27" s="259"/>
      <c r="X27" s="255"/>
      <c r="Y27" s="259"/>
      <c r="Z27" s="259"/>
      <c r="AA27" s="259"/>
      <c r="AB27" s="259"/>
      <c r="AC27" s="259"/>
      <c r="AD27" s="259"/>
      <c r="AE27" s="255"/>
      <c r="AF27" s="260"/>
      <c r="AG27" s="255"/>
      <c r="AH27" s="259"/>
      <c r="AI27" s="255"/>
      <c r="AJ27" s="255"/>
      <c r="AK27" s="259"/>
      <c r="AL27" s="255"/>
      <c r="AM27" s="259"/>
      <c r="AN27" s="259"/>
      <c r="AO27" s="255" t="s">
        <v>645</v>
      </c>
      <c r="AP27" s="258" t="s">
        <v>547</v>
      </c>
      <c r="AQ27" s="258"/>
      <c r="AR27" s="258"/>
      <c r="AS27" s="262"/>
      <c r="AT27" s="258">
        <v>5.5</v>
      </c>
      <c r="AU27" s="258"/>
      <c r="AV27" s="258"/>
      <c r="AW27" s="258"/>
      <c r="AX27" s="258" t="s">
        <v>495</v>
      </c>
      <c r="AY27" s="255"/>
      <c r="AZ27" s="258">
        <v>0</v>
      </c>
      <c r="BA27" s="258">
        <v>5</v>
      </c>
      <c r="BB27" s="258">
        <v>0</v>
      </c>
      <c r="BC27" s="258">
        <v>0</v>
      </c>
      <c r="BD27" s="258">
        <v>0</v>
      </c>
      <c r="BE27" s="258">
        <v>0</v>
      </c>
      <c r="BF27" s="258">
        <v>0</v>
      </c>
      <c r="BG27" s="258">
        <v>0</v>
      </c>
      <c r="BH27" s="258">
        <v>0</v>
      </c>
      <c r="BI27" s="258">
        <v>0</v>
      </c>
      <c r="BJ27" s="258">
        <v>0</v>
      </c>
      <c r="BK27" s="258">
        <v>0</v>
      </c>
      <c r="BL27" s="258"/>
      <c r="BM27" s="258" t="s">
        <v>547</v>
      </c>
      <c r="BN27" s="258"/>
      <c r="BO27" s="258" t="s">
        <v>547</v>
      </c>
      <c r="BP27" s="263"/>
      <c r="BQ27" s="258"/>
      <c r="BR27" s="258"/>
      <c r="BS27" s="258"/>
      <c r="BT27" s="264"/>
      <c r="BU27" s="264"/>
      <c r="BV27" s="258"/>
      <c r="BW27" s="258" t="s">
        <v>646</v>
      </c>
      <c r="BX27" s="258"/>
      <c r="BY27" s="264"/>
      <c r="BZ27" s="308" t="s">
        <v>863</v>
      </c>
      <c r="CA27" s="264" t="s">
        <v>527</v>
      </c>
    </row>
    <row r="28" spans="1:79" ht="13" customHeight="1" x14ac:dyDescent="0.15">
      <c r="A28" s="306">
        <v>10815</v>
      </c>
      <c r="B28" s="46">
        <v>42925</v>
      </c>
      <c r="C28" s="46" t="s">
        <v>641</v>
      </c>
      <c r="D28" s="48" t="s">
        <v>534</v>
      </c>
      <c r="E28" s="48"/>
      <c r="F28" s="48" t="s">
        <v>696</v>
      </c>
      <c r="G28" s="46">
        <v>42922</v>
      </c>
      <c r="H28" s="49" t="s">
        <v>507</v>
      </c>
      <c r="I28" s="49" t="s">
        <v>508</v>
      </c>
      <c r="J28" s="48"/>
      <c r="K28" s="48" t="s">
        <v>138</v>
      </c>
      <c r="L28" s="48" t="s">
        <v>643</v>
      </c>
      <c r="M28" s="146">
        <v>89.854545454545445</v>
      </c>
      <c r="N28" s="146">
        <v>30.8</v>
      </c>
      <c r="O28" s="48"/>
      <c r="P28" s="50"/>
      <c r="Q28" s="146"/>
      <c r="R28" s="50"/>
      <c r="S28" s="146"/>
      <c r="T28" s="50"/>
      <c r="U28" s="146"/>
      <c r="V28" s="146"/>
      <c r="W28" s="146"/>
      <c r="X28" s="48"/>
      <c r="Y28" s="146"/>
      <c r="Z28" s="146"/>
      <c r="AA28" s="146"/>
      <c r="AB28" s="146"/>
      <c r="AC28" s="146"/>
      <c r="AD28" s="146"/>
      <c r="AE28" s="146">
        <v>14.809090909090907</v>
      </c>
      <c r="AF28" s="50"/>
      <c r="AG28" s="48"/>
      <c r="AH28" s="146"/>
      <c r="AI28" s="48"/>
      <c r="AJ28" s="48"/>
      <c r="AK28" s="146"/>
      <c r="AL28" s="48"/>
      <c r="AM28" s="146"/>
      <c r="AN28" s="146"/>
      <c r="AO28" s="48" t="s">
        <v>697</v>
      </c>
      <c r="AP28" s="49" t="s">
        <v>547</v>
      </c>
      <c r="AQ28" s="48"/>
      <c r="AR28" s="48"/>
      <c r="AS28" s="49"/>
      <c r="AT28" s="49">
        <v>16</v>
      </c>
      <c r="AU28" s="49"/>
      <c r="AV28" s="49"/>
      <c r="AW28" s="49"/>
      <c r="AX28" s="49" t="s">
        <v>495</v>
      </c>
      <c r="AY28" s="49"/>
      <c r="AZ28" s="49">
        <v>0</v>
      </c>
      <c r="BA28" s="49">
        <v>0</v>
      </c>
      <c r="BB28" s="49">
        <v>0</v>
      </c>
      <c r="BC28" s="49">
        <v>0</v>
      </c>
      <c r="BD28" s="49">
        <v>0</v>
      </c>
      <c r="BE28" s="49">
        <v>0</v>
      </c>
      <c r="BF28" s="49">
        <v>0</v>
      </c>
      <c r="BG28" s="49">
        <v>0</v>
      </c>
      <c r="BH28" s="49">
        <v>0</v>
      </c>
      <c r="BI28" s="49">
        <v>0</v>
      </c>
      <c r="BJ28" s="49">
        <v>0</v>
      </c>
      <c r="BK28" s="49">
        <v>0</v>
      </c>
      <c r="BL28" s="49"/>
      <c r="BM28" s="49" t="s">
        <v>547</v>
      </c>
      <c r="BN28" s="49">
        <v>12</v>
      </c>
      <c r="BO28" s="49" t="s">
        <v>547</v>
      </c>
      <c r="BP28" s="250"/>
      <c r="BQ28" s="49"/>
      <c r="BR28" s="49"/>
      <c r="BS28" s="49"/>
      <c r="BT28" s="49"/>
      <c r="BU28" s="49"/>
      <c r="BV28" s="49"/>
      <c r="BW28" s="49" t="s">
        <v>646</v>
      </c>
      <c r="BX28" s="49"/>
      <c r="BY28" s="48"/>
      <c r="BZ28" s="48" t="s">
        <v>698</v>
      </c>
      <c r="CA28" s="48" t="s">
        <v>90</v>
      </c>
    </row>
    <row r="29" spans="1:79" ht="13" customHeight="1" x14ac:dyDescent="0.15">
      <c r="A29" s="306">
        <v>14770</v>
      </c>
      <c r="B29" s="256">
        <v>42925</v>
      </c>
      <c r="C29" s="257" t="s">
        <v>641</v>
      </c>
      <c r="D29" s="255" t="s">
        <v>534</v>
      </c>
      <c r="E29" s="255"/>
      <c r="F29" s="255" t="s">
        <v>696</v>
      </c>
      <c r="G29" s="307">
        <v>42916</v>
      </c>
      <c r="H29" s="258" t="s">
        <v>507</v>
      </c>
      <c r="I29" s="258" t="s">
        <v>547</v>
      </c>
      <c r="J29" s="258"/>
      <c r="K29" s="255" t="s">
        <v>139</v>
      </c>
      <c r="L29" s="255" t="s">
        <v>802</v>
      </c>
      <c r="M29" s="259">
        <v>83</v>
      </c>
      <c r="N29" s="259">
        <v>24.063636363636359</v>
      </c>
      <c r="O29" s="255" t="s">
        <v>648</v>
      </c>
      <c r="P29" s="260">
        <v>300</v>
      </c>
      <c r="Q29" s="259">
        <v>26.799999999999997</v>
      </c>
      <c r="R29" s="260"/>
      <c r="S29" s="259"/>
      <c r="T29" s="255"/>
      <c r="U29" s="259"/>
      <c r="V29" s="259"/>
      <c r="W29" s="259"/>
      <c r="X29" s="255"/>
      <c r="Y29" s="259"/>
      <c r="Z29" s="259"/>
      <c r="AA29" s="259"/>
      <c r="AB29" s="259"/>
      <c r="AC29" s="259"/>
      <c r="AD29" s="259"/>
      <c r="AE29" s="259">
        <v>13.263636363636362</v>
      </c>
      <c r="AF29" s="260"/>
      <c r="AG29" s="255"/>
      <c r="AH29" s="259"/>
      <c r="AI29" s="255"/>
      <c r="AJ29" s="255"/>
      <c r="AK29" s="259"/>
      <c r="AL29" s="255"/>
      <c r="AM29" s="259"/>
      <c r="AN29" s="259"/>
      <c r="AO29" s="255" t="s">
        <v>697</v>
      </c>
      <c r="AP29" s="258" t="s">
        <v>547</v>
      </c>
      <c r="AQ29" s="258"/>
      <c r="AR29" s="258"/>
      <c r="AS29" s="262"/>
      <c r="AT29" s="258">
        <v>9.5</v>
      </c>
      <c r="AU29" s="258"/>
      <c r="AV29" s="258"/>
      <c r="AW29" s="258"/>
      <c r="AX29" s="258" t="s">
        <v>547</v>
      </c>
      <c r="AY29" s="255"/>
      <c r="AZ29" s="258">
        <v>0</v>
      </c>
      <c r="BA29" s="258">
        <v>0</v>
      </c>
      <c r="BB29" s="258">
        <v>0</v>
      </c>
      <c r="BC29" s="258">
        <v>0</v>
      </c>
      <c r="BD29" s="258">
        <v>0</v>
      </c>
      <c r="BE29" s="258">
        <v>0</v>
      </c>
      <c r="BF29" s="258">
        <v>0</v>
      </c>
      <c r="BG29" s="258">
        <v>0</v>
      </c>
      <c r="BH29" s="258">
        <v>0</v>
      </c>
      <c r="BI29" s="258">
        <v>0</v>
      </c>
      <c r="BJ29" s="258">
        <v>0</v>
      </c>
      <c r="BK29" s="258">
        <v>0</v>
      </c>
      <c r="BL29" s="258"/>
      <c r="BM29" s="258" t="s">
        <v>547</v>
      </c>
      <c r="BN29" s="258"/>
      <c r="BO29" s="258" t="s">
        <v>547</v>
      </c>
      <c r="BP29" s="263"/>
      <c r="BQ29" s="258"/>
      <c r="BR29" s="258"/>
      <c r="BS29" s="258"/>
      <c r="BT29" s="255"/>
      <c r="BU29" s="255"/>
      <c r="BV29" s="258"/>
      <c r="BW29" s="258" t="s">
        <v>646</v>
      </c>
      <c r="BX29" s="258">
        <v>1</v>
      </c>
      <c r="BY29" s="255"/>
      <c r="BZ29" s="255" t="s">
        <v>79</v>
      </c>
      <c r="CA29" s="255" t="s">
        <v>90</v>
      </c>
    </row>
    <row r="30" spans="1:79" ht="13" customHeight="1" x14ac:dyDescent="0.2">
      <c r="A30" s="306">
        <v>11133</v>
      </c>
      <c r="B30" s="256">
        <v>42928</v>
      </c>
      <c r="C30" s="257" t="s">
        <v>641</v>
      </c>
      <c r="D30" s="255" t="s">
        <v>534</v>
      </c>
      <c r="E30" s="255"/>
      <c r="F30" s="255" t="s">
        <v>696</v>
      </c>
      <c r="G30" s="307">
        <v>42643</v>
      </c>
      <c r="H30" s="258" t="s">
        <v>507</v>
      </c>
      <c r="I30" s="258" t="s">
        <v>547</v>
      </c>
      <c r="J30" s="258"/>
      <c r="K30" s="255" t="s">
        <v>142</v>
      </c>
      <c r="L30" s="255" t="s">
        <v>788</v>
      </c>
      <c r="M30" s="259">
        <v>86.95</v>
      </c>
      <c r="N30" s="259">
        <v>33.26</v>
      </c>
      <c r="O30" s="255" t="s">
        <v>648</v>
      </c>
      <c r="P30" s="260">
        <v>300</v>
      </c>
      <c r="Q30" s="259">
        <v>35.89</v>
      </c>
      <c r="R30" s="260">
        <v>700</v>
      </c>
      <c r="S30" s="259">
        <v>38.950000000000003</v>
      </c>
      <c r="T30" s="260">
        <v>1500</v>
      </c>
      <c r="U30" s="259">
        <v>39.869999999999997</v>
      </c>
      <c r="V30" s="259"/>
      <c r="W30" s="259"/>
      <c r="X30" s="255"/>
      <c r="Y30" s="259"/>
      <c r="Z30" s="259"/>
      <c r="AA30" s="259"/>
      <c r="AB30" s="259"/>
      <c r="AC30" s="259"/>
      <c r="AD30" s="259"/>
      <c r="AE30" s="259">
        <v>19.954545454545453</v>
      </c>
      <c r="AF30" s="260"/>
      <c r="AG30" s="255"/>
      <c r="AH30" s="259"/>
      <c r="AI30" s="255"/>
      <c r="AJ30" s="255"/>
      <c r="AK30" s="259"/>
      <c r="AL30" s="255"/>
      <c r="AM30" s="259"/>
      <c r="AN30" s="259"/>
      <c r="AO30" s="255" t="s">
        <v>697</v>
      </c>
      <c r="AP30" s="258" t="s">
        <v>547</v>
      </c>
      <c r="AQ30" s="258"/>
      <c r="AR30" s="258"/>
      <c r="AS30" s="258">
        <v>10</v>
      </c>
      <c r="AT30" s="258">
        <v>10.199999999999999</v>
      </c>
      <c r="AU30" s="258"/>
      <c r="AV30" s="258"/>
      <c r="AW30" s="258"/>
      <c r="AX30" s="258" t="s">
        <v>495</v>
      </c>
      <c r="AY30" s="255"/>
      <c r="AZ30" s="258">
        <v>0</v>
      </c>
      <c r="BA30" s="258">
        <v>0</v>
      </c>
      <c r="BB30" s="258">
        <v>7</v>
      </c>
      <c r="BC30" s="258">
        <v>0</v>
      </c>
      <c r="BD30" s="258">
        <v>0</v>
      </c>
      <c r="BE30" s="258">
        <v>0</v>
      </c>
      <c r="BF30" s="258">
        <v>0</v>
      </c>
      <c r="BG30" s="258">
        <v>0</v>
      </c>
      <c r="BH30" s="258">
        <v>0</v>
      </c>
      <c r="BI30" s="258">
        <v>0</v>
      </c>
      <c r="BJ30" s="258">
        <v>0</v>
      </c>
      <c r="BK30" s="258">
        <v>0</v>
      </c>
      <c r="BL30" s="258"/>
      <c r="BM30" s="258" t="s">
        <v>547</v>
      </c>
      <c r="BN30" s="258"/>
      <c r="BO30" s="258" t="s">
        <v>547</v>
      </c>
      <c r="BP30" s="263"/>
      <c r="BQ30" s="258"/>
      <c r="BR30" s="258"/>
      <c r="BS30" s="258"/>
      <c r="BT30" s="255"/>
      <c r="BU30" s="255"/>
      <c r="BV30" s="258"/>
      <c r="BW30" s="258" t="s">
        <v>646</v>
      </c>
      <c r="BX30" s="258"/>
      <c r="BY30" s="255"/>
      <c r="BZ30" s="309" t="s">
        <v>804</v>
      </c>
      <c r="CA30" s="264" t="s">
        <v>56</v>
      </c>
    </row>
    <row r="31" spans="1:79" ht="13" customHeight="1" x14ac:dyDescent="0.2">
      <c r="A31" s="306">
        <v>961</v>
      </c>
      <c r="B31" s="256">
        <v>42928</v>
      </c>
      <c r="C31" s="257" t="s">
        <v>641</v>
      </c>
      <c r="D31" s="255" t="s">
        <v>534</v>
      </c>
      <c r="E31" s="255"/>
      <c r="F31" s="255" t="s">
        <v>696</v>
      </c>
      <c r="G31" s="256">
        <v>42916</v>
      </c>
      <c r="H31" s="258" t="s">
        <v>507</v>
      </c>
      <c r="I31" s="258" t="s">
        <v>547</v>
      </c>
      <c r="J31" s="258"/>
      <c r="K31" s="255" t="s">
        <v>143</v>
      </c>
      <c r="L31" s="255" t="s">
        <v>609</v>
      </c>
      <c r="M31" s="259">
        <v>66.8</v>
      </c>
      <c r="N31" s="259">
        <v>29.345454545454544</v>
      </c>
      <c r="O31" s="255"/>
      <c r="P31" s="260"/>
      <c r="Q31" s="255"/>
      <c r="R31" s="260"/>
      <c r="S31" s="259"/>
      <c r="T31" s="255"/>
      <c r="U31" s="259"/>
      <c r="V31" s="259"/>
      <c r="W31" s="259"/>
      <c r="X31" s="255"/>
      <c r="Y31" s="259"/>
      <c r="Z31" s="259"/>
      <c r="AA31" s="259"/>
      <c r="AB31" s="259"/>
      <c r="AC31" s="259"/>
      <c r="AD31" s="259"/>
      <c r="AE31" s="259">
        <v>18.072727272727271</v>
      </c>
      <c r="AF31" s="260"/>
      <c r="AG31" s="255"/>
      <c r="AH31" s="259"/>
      <c r="AI31" s="255"/>
      <c r="AJ31" s="255"/>
      <c r="AK31" s="259"/>
      <c r="AL31" s="255"/>
      <c r="AM31" s="259"/>
      <c r="AN31" s="259"/>
      <c r="AO31" s="255" t="s">
        <v>697</v>
      </c>
      <c r="AP31" s="258" t="s">
        <v>547</v>
      </c>
      <c r="AQ31" s="258"/>
      <c r="AR31" s="258"/>
      <c r="AS31" s="262"/>
      <c r="AT31" s="258">
        <v>11.6</v>
      </c>
      <c r="AU31" s="258"/>
      <c r="AV31" s="258"/>
      <c r="AW31" s="258"/>
      <c r="AX31" s="258" t="s">
        <v>495</v>
      </c>
      <c r="AY31" s="255"/>
      <c r="AZ31" s="258">
        <v>0</v>
      </c>
      <c r="BA31" s="258">
        <v>0</v>
      </c>
      <c r="BB31" s="258">
        <v>0</v>
      </c>
      <c r="BC31" s="258">
        <v>0</v>
      </c>
      <c r="BD31" s="258">
        <v>0</v>
      </c>
      <c r="BE31" s="258">
        <v>0</v>
      </c>
      <c r="BF31" s="258">
        <v>0</v>
      </c>
      <c r="BG31" s="258">
        <v>0</v>
      </c>
      <c r="BH31" s="258">
        <v>0</v>
      </c>
      <c r="BI31" s="258">
        <v>0</v>
      </c>
      <c r="BJ31" s="258">
        <v>0</v>
      </c>
      <c r="BK31" s="258">
        <v>0</v>
      </c>
      <c r="BL31" s="258"/>
      <c r="BM31" s="258" t="s">
        <v>547</v>
      </c>
      <c r="BN31" s="258"/>
      <c r="BO31" s="258" t="s">
        <v>547</v>
      </c>
      <c r="BP31" s="263"/>
      <c r="BQ31" s="258"/>
      <c r="BR31" s="258"/>
      <c r="BS31" s="258"/>
      <c r="BT31" s="255"/>
      <c r="BU31" s="255"/>
      <c r="BV31" s="258"/>
      <c r="BW31" s="258" t="s">
        <v>646</v>
      </c>
      <c r="BX31" s="258"/>
      <c r="BY31" s="255"/>
      <c r="BZ31" s="308" t="s">
        <v>703</v>
      </c>
      <c r="CA31" s="264" t="s">
        <v>90</v>
      </c>
    </row>
    <row r="32" spans="1:79" ht="13" customHeight="1" x14ac:dyDescent="0.15">
      <c r="A32" s="306">
        <v>10288</v>
      </c>
      <c r="B32" s="256">
        <v>42925</v>
      </c>
      <c r="C32" s="257" t="s">
        <v>641</v>
      </c>
      <c r="D32" s="255" t="s">
        <v>534</v>
      </c>
      <c r="E32" s="255"/>
      <c r="F32" s="255" t="s">
        <v>696</v>
      </c>
      <c r="G32" s="256">
        <v>42916</v>
      </c>
      <c r="H32" s="258" t="s">
        <v>507</v>
      </c>
      <c r="I32" s="258" t="s">
        <v>547</v>
      </c>
      <c r="J32" s="258"/>
      <c r="K32" s="255" t="s">
        <v>144</v>
      </c>
      <c r="L32" s="255" t="s">
        <v>618</v>
      </c>
      <c r="M32" s="259">
        <v>80.499999999999986</v>
      </c>
      <c r="N32" s="259">
        <v>31.654545454545453</v>
      </c>
      <c r="O32" s="255"/>
      <c r="P32" s="260"/>
      <c r="Q32" s="255"/>
      <c r="R32" s="260"/>
      <c r="S32" s="259"/>
      <c r="T32" s="260"/>
      <c r="U32" s="259"/>
      <c r="V32" s="259"/>
      <c r="W32" s="259"/>
      <c r="X32" s="260"/>
      <c r="Y32" s="259"/>
      <c r="Z32" s="259"/>
      <c r="AA32" s="259"/>
      <c r="AB32" s="259"/>
      <c r="AC32" s="259"/>
      <c r="AD32" s="259"/>
      <c r="AE32" s="259">
        <v>14.718181818181819</v>
      </c>
      <c r="AF32" s="260"/>
      <c r="AG32" s="255"/>
      <c r="AH32" s="259"/>
      <c r="AI32" s="255"/>
      <c r="AJ32" s="255"/>
      <c r="AK32" s="259"/>
      <c r="AL32" s="255"/>
      <c r="AM32" s="259"/>
      <c r="AN32" s="259"/>
      <c r="AO32" s="255" t="s">
        <v>697</v>
      </c>
      <c r="AP32" s="258" t="s">
        <v>547</v>
      </c>
      <c r="AQ32" s="258"/>
      <c r="AR32" s="258"/>
      <c r="AS32" s="262"/>
      <c r="AT32" s="258">
        <v>10.5</v>
      </c>
      <c r="AU32" s="258"/>
      <c r="AV32" s="258"/>
      <c r="AW32" s="258"/>
      <c r="AX32" s="258" t="s">
        <v>495</v>
      </c>
      <c r="AY32" s="255"/>
      <c r="AZ32" s="258">
        <v>6</v>
      </c>
      <c r="BA32" s="258">
        <v>0</v>
      </c>
      <c r="BB32" s="258">
        <v>0</v>
      </c>
      <c r="BC32" s="258">
        <v>0</v>
      </c>
      <c r="BD32" s="258">
        <v>0</v>
      </c>
      <c r="BE32" s="258">
        <v>0</v>
      </c>
      <c r="BF32" s="258">
        <v>0</v>
      </c>
      <c r="BG32" s="258">
        <v>0</v>
      </c>
      <c r="BH32" s="258">
        <v>0</v>
      </c>
      <c r="BI32" s="258">
        <v>0</v>
      </c>
      <c r="BJ32" s="258">
        <v>0</v>
      </c>
      <c r="BK32" s="258">
        <v>0</v>
      </c>
      <c r="BL32" s="258"/>
      <c r="BM32" s="258" t="s">
        <v>547</v>
      </c>
      <c r="BN32" s="258">
        <v>12</v>
      </c>
      <c r="BO32" s="258" t="s">
        <v>547</v>
      </c>
      <c r="BP32" s="263"/>
      <c r="BQ32" s="258"/>
      <c r="BR32" s="258">
        <v>12</v>
      </c>
      <c r="BS32" s="258"/>
      <c r="BT32" s="255"/>
      <c r="BU32" s="255"/>
      <c r="BV32" s="258"/>
      <c r="BW32" s="258" t="s">
        <v>646</v>
      </c>
      <c r="BX32" s="258"/>
      <c r="BY32" s="255" t="s">
        <v>805</v>
      </c>
      <c r="BZ32" s="312" t="s">
        <v>704</v>
      </c>
      <c r="CA32" s="255" t="s">
        <v>90</v>
      </c>
    </row>
    <row r="33" spans="1:79" ht="13" customHeight="1" x14ac:dyDescent="0.2">
      <c r="A33" s="306">
        <v>11894</v>
      </c>
      <c r="B33" s="256">
        <v>42926</v>
      </c>
      <c r="C33" s="257" t="s">
        <v>641</v>
      </c>
      <c r="D33" s="255" t="s">
        <v>534</v>
      </c>
      <c r="E33" s="255"/>
      <c r="F33" s="255" t="s">
        <v>696</v>
      </c>
      <c r="G33" s="256">
        <v>42916</v>
      </c>
      <c r="H33" s="258" t="s">
        <v>507</v>
      </c>
      <c r="I33" s="258" t="s">
        <v>547</v>
      </c>
      <c r="J33" s="258"/>
      <c r="K33" s="255" t="s">
        <v>145</v>
      </c>
      <c r="L33" s="255" t="s">
        <v>657</v>
      </c>
      <c r="M33" s="259">
        <v>79.899999999999991</v>
      </c>
      <c r="N33" s="259">
        <v>30.95454545454545</v>
      </c>
      <c r="O33" s="255"/>
      <c r="P33" s="260"/>
      <c r="Q33" s="255"/>
      <c r="R33" s="260"/>
      <c r="S33" s="259"/>
      <c r="T33" s="260"/>
      <c r="U33" s="259"/>
      <c r="V33" s="259"/>
      <c r="W33" s="259"/>
      <c r="X33" s="255"/>
      <c r="Y33" s="259"/>
      <c r="Z33" s="259"/>
      <c r="AA33" s="259"/>
      <c r="AB33" s="259"/>
      <c r="AC33" s="259"/>
      <c r="AD33" s="259"/>
      <c r="AE33" s="259">
        <v>15.518181818181818</v>
      </c>
      <c r="AF33" s="260"/>
      <c r="AG33" s="255"/>
      <c r="AH33" s="259"/>
      <c r="AI33" s="255"/>
      <c r="AJ33" s="255"/>
      <c r="AK33" s="259"/>
      <c r="AL33" s="255"/>
      <c r="AM33" s="259"/>
      <c r="AN33" s="259"/>
      <c r="AO33" s="255" t="s">
        <v>697</v>
      </c>
      <c r="AP33" s="258" t="s">
        <v>547</v>
      </c>
      <c r="AQ33" s="258"/>
      <c r="AR33" s="258"/>
      <c r="AS33" s="262"/>
      <c r="AT33" s="258">
        <v>3</v>
      </c>
      <c r="AU33" s="258"/>
      <c r="AV33" s="258"/>
      <c r="AW33" s="258"/>
      <c r="AX33" s="258" t="s">
        <v>495</v>
      </c>
      <c r="AY33" s="255"/>
      <c r="AZ33" s="258">
        <v>0</v>
      </c>
      <c r="BA33" s="258">
        <v>0</v>
      </c>
      <c r="BB33" s="258">
        <v>0</v>
      </c>
      <c r="BC33" s="258">
        <v>0</v>
      </c>
      <c r="BD33" s="258">
        <v>0</v>
      </c>
      <c r="BE33" s="258">
        <v>0</v>
      </c>
      <c r="BF33" s="258">
        <v>0</v>
      </c>
      <c r="BG33" s="258">
        <v>0</v>
      </c>
      <c r="BH33" s="258">
        <v>0</v>
      </c>
      <c r="BI33" s="258">
        <v>0</v>
      </c>
      <c r="BJ33" s="258">
        <v>0</v>
      </c>
      <c r="BK33" s="258">
        <v>0</v>
      </c>
      <c r="BL33" s="258"/>
      <c r="BM33" s="258" t="s">
        <v>547</v>
      </c>
      <c r="BN33" s="258"/>
      <c r="BO33" s="258" t="s">
        <v>547</v>
      </c>
      <c r="BP33" s="263"/>
      <c r="BQ33" s="258"/>
      <c r="BR33" s="258"/>
      <c r="BS33" s="258"/>
      <c r="BT33" s="255" t="s">
        <v>806</v>
      </c>
      <c r="BU33" s="255"/>
      <c r="BV33" s="258"/>
      <c r="BW33" s="258" t="s">
        <v>646</v>
      </c>
      <c r="BX33" s="258"/>
      <c r="BY33" s="264"/>
      <c r="BZ33" s="308" t="s">
        <v>843</v>
      </c>
      <c r="CA33" s="264" t="s">
        <v>90</v>
      </c>
    </row>
    <row r="34" spans="1:79" ht="13" customHeight="1" x14ac:dyDescent="0.15">
      <c r="A34" s="306">
        <v>14653</v>
      </c>
      <c r="B34" s="46">
        <v>42926</v>
      </c>
      <c r="C34" s="46" t="s">
        <v>641</v>
      </c>
      <c r="D34" s="48" t="s">
        <v>534</v>
      </c>
      <c r="E34" s="48"/>
      <c r="F34" s="48" t="s">
        <v>696</v>
      </c>
      <c r="G34" s="46">
        <v>42916</v>
      </c>
      <c r="H34" s="49" t="s">
        <v>507</v>
      </c>
      <c r="I34" s="49" t="s">
        <v>508</v>
      </c>
      <c r="J34" s="48"/>
      <c r="K34" s="48" t="s">
        <v>146</v>
      </c>
      <c r="L34" s="48" t="s">
        <v>808</v>
      </c>
      <c r="M34" s="146">
        <v>101.6090909090909</v>
      </c>
      <c r="N34" s="146">
        <v>29.736363636363635</v>
      </c>
      <c r="O34" s="48"/>
      <c r="P34" s="48"/>
      <c r="Q34" s="146"/>
      <c r="R34" s="50"/>
      <c r="S34" s="146"/>
      <c r="T34" s="48"/>
      <c r="U34" s="146"/>
      <c r="V34" s="146"/>
      <c r="W34" s="146"/>
      <c r="X34" s="48"/>
      <c r="Y34" s="146"/>
      <c r="Z34" s="146"/>
      <c r="AA34" s="146"/>
      <c r="AB34" s="146"/>
      <c r="AC34" s="146"/>
      <c r="AD34" s="146"/>
      <c r="AE34" s="146">
        <v>14.890909090909089</v>
      </c>
      <c r="AF34" s="48"/>
      <c r="AG34" s="48"/>
      <c r="AH34" s="146"/>
      <c r="AI34" s="48"/>
      <c r="AJ34" s="48"/>
      <c r="AK34" s="146"/>
      <c r="AL34" s="48"/>
      <c r="AM34" s="146"/>
      <c r="AN34" s="146"/>
      <c r="AO34" s="48" t="s">
        <v>697</v>
      </c>
      <c r="AP34" s="49" t="s">
        <v>547</v>
      </c>
      <c r="AQ34" s="48"/>
      <c r="AR34" s="48"/>
      <c r="AS34" s="49"/>
      <c r="AT34" s="49">
        <v>10</v>
      </c>
      <c r="AU34" s="49"/>
      <c r="AV34" s="49"/>
      <c r="AW34" s="49"/>
      <c r="AX34" s="49" t="s">
        <v>495</v>
      </c>
      <c r="AY34" s="49"/>
      <c r="AZ34" s="49">
        <v>0</v>
      </c>
      <c r="BA34" s="49">
        <v>0</v>
      </c>
      <c r="BB34" s="49">
        <v>0</v>
      </c>
      <c r="BC34" s="49">
        <v>0</v>
      </c>
      <c r="BD34" s="49">
        <v>0</v>
      </c>
      <c r="BE34" s="49">
        <v>0</v>
      </c>
      <c r="BF34" s="49">
        <v>0</v>
      </c>
      <c r="BG34" s="49">
        <v>0</v>
      </c>
      <c r="BH34" s="49">
        <v>0</v>
      </c>
      <c r="BI34" s="49">
        <v>0</v>
      </c>
      <c r="BJ34" s="49">
        <v>0</v>
      </c>
      <c r="BK34" s="49">
        <v>0</v>
      </c>
      <c r="BL34" s="49"/>
      <c r="BM34" s="49" t="s">
        <v>547</v>
      </c>
      <c r="BN34" s="49"/>
      <c r="BO34" s="49" t="s">
        <v>547</v>
      </c>
      <c r="BP34" s="250"/>
      <c r="BQ34" s="49"/>
      <c r="BR34" s="49"/>
      <c r="BS34" s="49"/>
      <c r="BT34" s="49"/>
      <c r="BU34" s="49"/>
      <c r="BV34" s="49"/>
      <c r="BW34" s="49" t="s">
        <v>646</v>
      </c>
      <c r="BX34" s="49"/>
      <c r="BY34" s="48"/>
      <c r="BZ34" s="48" t="s">
        <v>844</v>
      </c>
      <c r="CA34" s="48" t="s">
        <v>90</v>
      </c>
    </row>
    <row r="35" spans="1:79" ht="13" customHeight="1" x14ac:dyDescent="0.15">
      <c r="A35" s="306">
        <v>12325</v>
      </c>
      <c r="B35" s="46">
        <v>42929</v>
      </c>
      <c r="C35" s="46" t="s">
        <v>641</v>
      </c>
      <c r="D35" s="48" t="s">
        <v>534</v>
      </c>
      <c r="E35" s="48"/>
      <c r="F35" s="48" t="s">
        <v>696</v>
      </c>
      <c r="G35" s="46">
        <v>42916</v>
      </c>
      <c r="H35" s="49" t="s">
        <v>507</v>
      </c>
      <c r="I35" s="49" t="s">
        <v>508</v>
      </c>
      <c r="J35" s="48"/>
      <c r="K35" s="48" t="s">
        <v>147</v>
      </c>
      <c r="L35" s="48" t="s">
        <v>662</v>
      </c>
      <c r="M35" s="146">
        <v>81.72727272727272</v>
      </c>
      <c r="N35" s="146">
        <v>31.536363636363632</v>
      </c>
      <c r="O35" s="48" t="s">
        <v>648</v>
      </c>
      <c r="P35" s="50">
        <v>1000</v>
      </c>
      <c r="Q35" s="146">
        <v>33.86363636363636</v>
      </c>
      <c r="R35" s="50"/>
      <c r="S35" s="146"/>
      <c r="T35" s="50"/>
      <c r="U35" s="146"/>
      <c r="V35" s="146"/>
      <c r="W35" s="146"/>
      <c r="X35" s="48"/>
      <c r="Y35" s="146"/>
      <c r="Z35" s="146"/>
      <c r="AA35" s="146"/>
      <c r="AB35" s="146"/>
      <c r="AC35" s="146"/>
      <c r="AD35" s="146"/>
      <c r="AE35" s="146">
        <v>14.472727272727271</v>
      </c>
      <c r="AF35" s="50"/>
      <c r="AG35" s="48"/>
      <c r="AH35" s="146"/>
      <c r="AI35" s="48"/>
      <c r="AJ35" s="48"/>
      <c r="AK35" s="146"/>
      <c r="AL35" s="48"/>
      <c r="AM35" s="146"/>
      <c r="AN35" s="146"/>
      <c r="AO35" s="48" t="s">
        <v>697</v>
      </c>
      <c r="AP35" s="49" t="s">
        <v>547</v>
      </c>
      <c r="AQ35" s="48"/>
      <c r="AR35" s="48"/>
      <c r="AS35" s="49">
        <v>10</v>
      </c>
      <c r="AT35" s="49">
        <v>13</v>
      </c>
      <c r="AU35" s="49"/>
      <c r="AV35" s="49">
        <v>12</v>
      </c>
      <c r="AW35" s="49">
        <v>6</v>
      </c>
      <c r="AX35" s="49" t="s">
        <v>495</v>
      </c>
      <c r="AY35" s="49"/>
      <c r="AZ35" s="49">
        <v>0</v>
      </c>
      <c r="BA35" s="49">
        <v>0</v>
      </c>
      <c r="BB35" s="49">
        <v>0</v>
      </c>
      <c r="BC35" s="49">
        <v>0</v>
      </c>
      <c r="BD35" s="49">
        <v>0</v>
      </c>
      <c r="BE35" s="49">
        <v>0</v>
      </c>
      <c r="BF35" s="49">
        <v>0</v>
      </c>
      <c r="BG35" s="49">
        <v>0</v>
      </c>
      <c r="BH35" s="49">
        <v>0</v>
      </c>
      <c r="BI35" s="49">
        <v>0</v>
      </c>
      <c r="BJ35" s="49">
        <v>0</v>
      </c>
      <c r="BK35" s="49">
        <v>0</v>
      </c>
      <c r="BL35" s="49"/>
      <c r="BM35" s="49" t="s">
        <v>547</v>
      </c>
      <c r="BN35" s="49">
        <v>12</v>
      </c>
      <c r="BO35" s="49" t="s">
        <v>547</v>
      </c>
      <c r="BP35" s="250"/>
      <c r="BQ35" s="49"/>
      <c r="BR35" s="49"/>
      <c r="BS35" s="49"/>
      <c r="BT35" s="49"/>
      <c r="BU35" s="49"/>
      <c r="BV35" s="49"/>
      <c r="BW35" s="49" t="s">
        <v>646</v>
      </c>
      <c r="BX35" s="49"/>
      <c r="BY35" s="48"/>
      <c r="BZ35" s="48" t="s">
        <v>845</v>
      </c>
      <c r="CA35" s="48" t="s">
        <v>90</v>
      </c>
    </row>
    <row r="36" spans="1:79" ht="13" customHeight="1" x14ac:dyDescent="0.2">
      <c r="A36" s="306">
        <v>13106</v>
      </c>
      <c r="B36" s="256">
        <v>42926</v>
      </c>
      <c r="C36" s="313" t="s">
        <v>641</v>
      </c>
      <c r="D36" s="314" t="s">
        <v>534</v>
      </c>
      <c r="E36" s="314"/>
      <c r="F36" s="314" t="s">
        <v>696</v>
      </c>
      <c r="G36" s="307">
        <v>42922</v>
      </c>
      <c r="H36" s="315" t="s">
        <v>507</v>
      </c>
      <c r="I36" s="315" t="s">
        <v>547</v>
      </c>
      <c r="J36" s="315"/>
      <c r="K36" s="314" t="s">
        <v>148</v>
      </c>
      <c r="L36" s="255" t="s">
        <v>665</v>
      </c>
      <c r="M36" s="316">
        <v>66.48181818181817</v>
      </c>
      <c r="N36" s="316">
        <v>29.563636363636363</v>
      </c>
      <c r="O36" s="314"/>
      <c r="P36" s="317"/>
      <c r="Q36" s="314"/>
      <c r="R36" s="317"/>
      <c r="S36" s="316"/>
      <c r="T36" s="317"/>
      <c r="U36" s="316"/>
      <c r="V36" s="316"/>
      <c r="W36" s="316"/>
      <c r="X36" s="314"/>
      <c r="Y36" s="316"/>
      <c r="Z36" s="316"/>
      <c r="AA36" s="316"/>
      <c r="AB36" s="316"/>
      <c r="AC36" s="316"/>
      <c r="AD36" s="316"/>
      <c r="AE36" s="316">
        <v>14.209090909090909</v>
      </c>
      <c r="AF36" s="317"/>
      <c r="AG36" s="314"/>
      <c r="AH36" s="316"/>
      <c r="AI36" s="314"/>
      <c r="AJ36" s="314"/>
      <c r="AK36" s="316"/>
      <c r="AL36" s="314"/>
      <c r="AM36" s="316"/>
      <c r="AN36" s="316"/>
      <c r="AO36" s="314" t="s">
        <v>697</v>
      </c>
      <c r="AP36" s="315" t="s">
        <v>547</v>
      </c>
      <c r="AQ36" s="315"/>
      <c r="AR36" s="315"/>
      <c r="AS36" s="318"/>
      <c r="AT36" s="315">
        <v>8</v>
      </c>
      <c r="AU36" s="315"/>
      <c r="AV36" s="315"/>
      <c r="AW36" s="315"/>
      <c r="AX36" s="315" t="s">
        <v>495</v>
      </c>
      <c r="AY36" s="314"/>
      <c r="AZ36" s="315">
        <v>0</v>
      </c>
      <c r="BA36" s="315">
        <v>0</v>
      </c>
      <c r="BB36" s="315">
        <v>0</v>
      </c>
      <c r="BC36" s="315">
        <v>0</v>
      </c>
      <c r="BD36" s="315">
        <v>0</v>
      </c>
      <c r="BE36" s="315">
        <v>0</v>
      </c>
      <c r="BF36" s="315">
        <v>0</v>
      </c>
      <c r="BG36" s="315">
        <v>0</v>
      </c>
      <c r="BH36" s="315">
        <v>0</v>
      </c>
      <c r="BI36" s="315">
        <v>0</v>
      </c>
      <c r="BJ36" s="315">
        <v>0</v>
      </c>
      <c r="BK36" s="315">
        <v>0</v>
      </c>
      <c r="BL36" s="315"/>
      <c r="BM36" s="315" t="s">
        <v>547</v>
      </c>
      <c r="BN36" s="258">
        <v>12</v>
      </c>
      <c r="BO36" s="315" t="s">
        <v>547</v>
      </c>
      <c r="BP36" s="319"/>
      <c r="BQ36" s="315"/>
      <c r="BR36" s="258">
        <v>12</v>
      </c>
      <c r="BS36" s="315"/>
      <c r="BT36" s="314"/>
      <c r="BU36" s="314"/>
      <c r="BV36" s="315"/>
      <c r="BW36" s="315" t="s">
        <v>646</v>
      </c>
      <c r="BX36" s="315"/>
      <c r="BY36" s="314"/>
      <c r="BZ36" s="308" t="s">
        <v>708</v>
      </c>
      <c r="CA36" s="264" t="s">
        <v>90</v>
      </c>
    </row>
    <row r="37" spans="1:79" ht="13" customHeight="1" x14ac:dyDescent="0.15">
      <c r="A37" s="306">
        <v>11319</v>
      </c>
      <c r="B37" s="256">
        <v>42928</v>
      </c>
      <c r="C37" s="257" t="s">
        <v>641</v>
      </c>
      <c r="D37" s="255" t="s">
        <v>534</v>
      </c>
      <c r="E37" s="255"/>
      <c r="F37" s="255" t="s">
        <v>696</v>
      </c>
      <c r="G37" s="256">
        <v>42916</v>
      </c>
      <c r="H37" s="258" t="s">
        <v>507</v>
      </c>
      <c r="I37" s="258" t="s">
        <v>547</v>
      </c>
      <c r="J37" s="258"/>
      <c r="K37" s="255" t="s">
        <v>448</v>
      </c>
      <c r="L37" s="255" t="s">
        <v>667</v>
      </c>
      <c r="M37" s="259">
        <v>82</v>
      </c>
      <c r="N37" s="259">
        <v>31.099999999999998</v>
      </c>
      <c r="O37" s="255"/>
      <c r="P37" s="260"/>
      <c r="Q37" s="255"/>
      <c r="R37" s="260"/>
      <c r="S37" s="259"/>
      <c r="T37" s="255"/>
      <c r="U37" s="259"/>
      <c r="V37" s="259"/>
      <c r="W37" s="259"/>
      <c r="X37" s="260"/>
      <c r="Y37" s="259"/>
      <c r="Z37" s="259"/>
      <c r="AA37" s="259"/>
      <c r="AB37" s="259"/>
      <c r="AC37" s="259"/>
      <c r="AD37" s="259"/>
      <c r="AE37" s="259">
        <v>15.518181818181818</v>
      </c>
      <c r="AF37" s="260"/>
      <c r="AG37" s="255"/>
      <c r="AH37" s="259"/>
      <c r="AI37" s="255"/>
      <c r="AJ37" s="255"/>
      <c r="AK37" s="259"/>
      <c r="AL37" s="255"/>
      <c r="AM37" s="259"/>
      <c r="AN37" s="259"/>
      <c r="AO37" s="255" t="s">
        <v>697</v>
      </c>
      <c r="AP37" s="258" t="s">
        <v>547</v>
      </c>
      <c r="AQ37" s="258"/>
      <c r="AR37" s="258"/>
      <c r="AS37" s="262"/>
      <c r="AT37" s="258">
        <v>3</v>
      </c>
      <c r="AU37" s="258"/>
      <c r="AV37" s="258"/>
      <c r="AW37" s="258"/>
      <c r="AX37" s="258" t="s">
        <v>495</v>
      </c>
      <c r="AY37" s="255"/>
      <c r="AZ37" s="258">
        <v>0</v>
      </c>
      <c r="BA37" s="258">
        <v>0</v>
      </c>
      <c r="BB37" s="258">
        <v>0</v>
      </c>
      <c r="BC37" s="258">
        <v>0</v>
      </c>
      <c r="BD37" s="258">
        <v>0</v>
      </c>
      <c r="BE37" s="258">
        <v>0</v>
      </c>
      <c r="BF37" s="258">
        <v>0</v>
      </c>
      <c r="BG37" s="258">
        <v>0</v>
      </c>
      <c r="BH37" s="258">
        <v>0</v>
      </c>
      <c r="BI37" s="258">
        <v>0</v>
      </c>
      <c r="BJ37" s="258">
        <v>0</v>
      </c>
      <c r="BK37" s="258">
        <v>0</v>
      </c>
      <c r="BL37" s="258"/>
      <c r="BM37" s="258" t="s">
        <v>547</v>
      </c>
      <c r="BN37" s="258"/>
      <c r="BO37" s="258" t="s">
        <v>547</v>
      </c>
      <c r="BP37" s="263"/>
      <c r="BQ37" s="258"/>
      <c r="BR37" s="258"/>
      <c r="BS37" s="258"/>
      <c r="BT37" s="264"/>
      <c r="BU37" s="264"/>
      <c r="BV37" s="258"/>
      <c r="BW37" s="258" t="s">
        <v>646</v>
      </c>
      <c r="BX37" s="258"/>
      <c r="BY37" s="264"/>
      <c r="BZ37" s="322" t="s">
        <v>79</v>
      </c>
      <c r="CA37" s="255" t="s">
        <v>90</v>
      </c>
    </row>
    <row r="38" spans="1:79" ht="13" customHeight="1" x14ac:dyDescent="0.2">
      <c r="A38" s="306">
        <v>13689</v>
      </c>
      <c r="B38" s="256">
        <v>42929</v>
      </c>
      <c r="C38" s="257" t="s">
        <v>641</v>
      </c>
      <c r="D38" s="255" t="s">
        <v>534</v>
      </c>
      <c r="E38" s="255"/>
      <c r="F38" s="255" t="s">
        <v>696</v>
      </c>
      <c r="G38" s="256">
        <v>42658</v>
      </c>
      <c r="H38" s="258" t="s">
        <v>507</v>
      </c>
      <c r="I38" s="258" t="s">
        <v>547</v>
      </c>
      <c r="J38" s="258"/>
      <c r="K38" s="255" t="s">
        <v>594</v>
      </c>
      <c r="L38" s="255" t="s">
        <v>810</v>
      </c>
      <c r="M38" s="259">
        <v>56.36363636363636</v>
      </c>
      <c r="N38" s="259">
        <v>24.554545454545455</v>
      </c>
      <c r="O38" s="255"/>
      <c r="P38" s="260"/>
      <c r="Q38" s="255"/>
      <c r="R38" s="260"/>
      <c r="S38" s="259"/>
      <c r="T38" s="255"/>
      <c r="U38" s="259"/>
      <c r="V38" s="259"/>
      <c r="W38" s="259"/>
      <c r="X38" s="255"/>
      <c r="Y38" s="259"/>
      <c r="Z38" s="259"/>
      <c r="AA38" s="259"/>
      <c r="AB38" s="259"/>
      <c r="AC38" s="259"/>
      <c r="AD38" s="259"/>
      <c r="AE38" s="259">
        <v>15.454545454545453</v>
      </c>
      <c r="AF38" s="260"/>
      <c r="AG38" s="255"/>
      <c r="AH38" s="259"/>
      <c r="AI38" s="255"/>
      <c r="AJ38" s="255"/>
      <c r="AK38" s="259"/>
      <c r="AL38" s="255"/>
      <c r="AM38" s="259"/>
      <c r="AN38" s="259"/>
      <c r="AO38" s="255" t="s">
        <v>697</v>
      </c>
      <c r="AP38" s="258" t="s">
        <v>547</v>
      </c>
      <c r="AQ38" s="258"/>
      <c r="AR38" s="258"/>
      <c r="AS38" s="262"/>
      <c r="AT38" s="258">
        <v>8.5</v>
      </c>
      <c r="AU38" s="258"/>
      <c r="AV38" s="258"/>
      <c r="AW38" s="258"/>
      <c r="AX38" s="258" t="s">
        <v>495</v>
      </c>
      <c r="AY38" s="255"/>
      <c r="AZ38" s="258">
        <v>0</v>
      </c>
      <c r="BA38" s="258">
        <v>0</v>
      </c>
      <c r="BB38" s="258">
        <v>0</v>
      </c>
      <c r="BC38" s="258">
        <v>0</v>
      </c>
      <c r="BD38" s="258">
        <v>0</v>
      </c>
      <c r="BE38" s="258">
        <v>0</v>
      </c>
      <c r="BF38" s="258">
        <v>0</v>
      </c>
      <c r="BG38" s="258">
        <v>0</v>
      </c>
      <c r="BH38" s="258">
        <v>0</v>
      </c>
      <c r="BI38" s="258">
        <v>0</v>
      </c>
      <c r="BJ38" s="258">
        <v>0</v>
      </c>
      <c r="BK38" s="258">
        <v>0</v>
      </c>
      <c r="BL38" s="258"/>
      <c r="BM38" s="258" t="s">
        <v>547</v>
      </c>
      <c r="BN38" s="258"/>
      <c r="BO38" s="258" t="s">
        <v>547</v>
      </c>
      <c r="BP38" s="263">
        <v>130.83636363636361</v>
      </c>
      <c r="BQ38" s="258"/>
      <c r="BR38" s="258"/>
      <c r="BS38" s="320">
        <v>42915</v>
      </c>
      <c r="BT38" s="255"/>
      <c r="BU38" s="264"/>
      <c r="BV38" s="258"/>
      <c r="BW38" s="258" t="s">
        <v>646</v>
      </c>
      <c r="BX38" s="258"/>
      <c r="BY38" s="264"/>
      <c r="BZ38" s="309" t="s">
        <v>846</v>
      </c>
      <c r="CA38" s="264" t="s">
        <v>56</v>
      </c>
    </row>
    <row r="39" spans="1:79" ht="13" customHeight="1" x14ac:dyDescent="0.15">
      <c r="A39" s="306">
        <v>13691</v>
      </c>
      <c r="B39" s="256">
        <v>42930</v>
      </c>
      <c r="C39" s="257" t="s">
        <v>641</v>
      </c>
      <c r="D39" s="255" t="s">
        <v>534</v>
      </c>
      <c r="E39" s="255"/>
      <c r="F39" s="255" t="s">
        <v>696</v>
      </c>
      <c r="G39" s="256">
        <v>42916</v>
      </c>
      <c r="H39" s="258" t="s">
        <v>507</v>
      </c>
      <c r="I39" s="258" t="s">
        <v>547</v>
      </c>
      <c r="J39" s="258"/>
      <c r="K39" s="255" t="s">
        <v>125</v>
      </c>
      <c r="L39" s="255" t="s">
        <v>812</v>
      </c>
      <c r="M39" s="259">
        <v>97</v>
      </c>
      <c r="N39" s="259">
        <v>30.136363636363633</v>
      </c>
      <c r="O39" s="255" t="s">
        <v>648</v>
      </c>
      <c r="P39" s="260">
        <v>1000</v>
      </c>
      <c r="Q39" s="259">
        <v>33.136363636363633</v>
      </c>
      <c r="R39" s="260"/>
      <c r="S39" s="259"/>
      <c r="T39" s="260"/>
      <c r="U39" s="259"/>
      <c r="V39" s="259"/>
      <c r="W39" s="259"/>
      <c r="X39" s="255"/>
      <c r="Y39" s="259"/>
      <c r="Z39" s="259"/>
      <c r="AA39" s="259"/>
      <c r="AB39" s="259"/>
      <c r="AC39" s="259"/>
      <c r="AD39" s="259"/>
      <c r="AE39" s="259">
        <v>14.59090909090909</v>
      </c>
      <c r="AF39" s="260"/>
      <c r="AG39" s="255"/>
      <c r="AH39" s="259"/>
      <c r="AI39" s="255"/>
      <c r="AJ39" s="255"/>
      <c r="AK39" s="259"/>
      <c r="AL39" s="255"/>
      <c r="AM39" s="259"/>
      <c r="AN39" s="259"/>
      <c r="AO39" s="255" t="s">
        <v>697</v>
      </c>
      <c r="AP39" s="258" t="s">
        <v>547</v>
      </c>
      <c r="AQ39" s="258"/>
      <c r="AR39" s="258"/>
      <c r="AS39" s="262"/>
      <c r="AT39" s="258">
        <v>4.5</v>
      </c>
      <c r="AU39" s="258"/>
      <c r="AV39" s="258"/>
      <c r="AW39" s="258"/>
      <c r="AX39" s="258" t="s">
        <v>547</v>
      </c>
      <c r="AY39" s="255"/>
      <c r="AZ39" s="258">
        <v>10</v>
      </c>
      <c r="BA39" s="258">
        <v>0</v>
      </c>
      <c r="BB39" s="258">
        <v>0</v>
      </c>
      <c r="BC39" s="258">
        <v>0</v>
      </c>
      <c r="BD39" s="258">
        <v>0</v>
      </c>
      <c r="BE39" s="258">
        <v>0</v>
      </c>
      <c r="BF39" s="258">
        <v>0</v>
      </c>
      <c r="BG39" s="258">
        <v>0</v>
      </c>
      <c r="BH39" s="258">
        <v>0</v>
      </c>
      <c r="BI39" s="258">
        <v>0</v>
      </c>
      <c r="BJ39" s="258">
        <v>0</v>
      </c>
      <c r="BK39" s="258">
        <v>0</v>
      </c>
      <c r="BL39" s="258"/>
      <c r="BM39" s="258" t="s">
        <v>547</v>
      </c>
      <c r="BN39" s="258"/>
      <c r="BO39" s="258" t="s">
        <v>547</v>
      </c>
      <c r="BP39" s="263"/>
      <c r="BQ39" s="258"/>
      <c r="BR39" s="258"/>
      <c r="BS39" s="258"/>
      <c r="BT39" s="255"/>
      <c r="BU39" s="255"/>
      <c r="BV39" s="258"/>
      <c r="BW39" s="258" t="s">
        <v>646</v>
      </c>
      <c r="BX39" s="258"/>
      <c r="BY39" s="255"/>
      <c r="BZ39" s="323" t="s">
        <v>847</v>
      </c>
      <c r="CA39" s="255" t="s">
        <v>90</v>
      </c>
    </row>
    <row r="40" spans="1:79" ht="13" customHeight="1" x14ac:dyDescent="0.15">
      <c r="A40" s="306">
        <v>15305</v>
      </c>
      <c r="B40" s="256">
        <v>42926</v>
      </c>
      <c r="C40" s="257" t="s">
        <v>641</v>
      </c>
      <c r="D40" s="255" t="s">
        <v>534</v>
      </c>
      <c r="E40" s="255"/>
      <c r="F40" s="255" t="s">
        <v>696</v>
      </c>
      <c r="G40" s="256">
        <v>42900</v>
      </c>
      <c r="H40" s="258" t="s">
        <v>507</v>
      </c>
      <c r="I40" s="258" t="s">
        <v>547</v>
      </c>
      <c r="J40" s="258"/>
      <c r="K40" s="255" t="s">
        <v>600</v>
      </c>
      <c r="L40" s="255" t="s">
        <v>814</v>
      </c>
      <c r="M40" s="259">
        <v>94.999999999999986</v>
      </c>
      <c r="N40" s="259">
        <v>24.499999999999996</v>
      </c>
      <c r="O40" s="255"/>
      <c r="P40" s="260"/>
      <c r="Q40" s="255"/>
      <c r="R40" s="260"/>
      <c r="S40" s="259"/>
      <c r="T40" s="260"/>
      <c r="U40" s="259"/>
      <c r="V40" s="259"/>
      <c r="W40" s="259"/>
      <c r="X40" s="255"/>
      <c r="Y40" s="259"/>
      <c r="Z40" s="259"/>
      <c r="AA40" s="259"/>
      <c r="AB40" s="259"/>
      <c r="AC40" s="259"/>
      <c r="AD40" s="259"/>
      <c r="AE40" s="259">
        <v>15.5</v>
      </c>
      <c r="AF40" s="260"/>
      <c r="AG40" s="255"/>
      <c r="AH40" s="259"/>
      <c r="AI40" s="255"/>
      <c r="AJ40" s="255"/>
      <c r="AK40" s="259"/>
      <c r="AL40" s="255"/>
      <c r="AM40" s="259"/>
      <c r="AN40" s="259"/>
      <c r="AO40" s="312" t="s">
        <v>697</v>
      </c>
      <c r="AP40" s="258" t="s">
        <v>547</v>
      </c>
      <c r="AQ40" s="258"/>
      <c r="AR40" s="258"/>
      <c r="AS40" s="262"/>
      <c r="AT40" s="258">
        <v>3</v>
      </c>
      <c r="AU40" s="258"/>
      <c r="AV40" s="258"/>
      <c r="AW40" s="258"/>
      <c r="AX40" s="258" t="s">
        <v>495</v>
      </c>
      <c r="AY40" s="255"/>
      <c r="AZ40" s="258">
        <v>0</v>
      </c>
      <c r="BA40" s="258">
        <v>0</v>
      </c>
      <c r="BB40" s="258">
        <v>0</v>
      </c>
      <c r="BC40" s="258">
        <v>0</v>
      </c>
      <c r="BD40" s="258">
        <v>0</v>
      </c>
      <c r="BE40" s="258">
        <v>0</v>
      </c>
      <c r="BF40" s="258">
        <v>0</v>
      </c>
      <c r="BG40" s="258">
        <v>0</v>
      </c>
      <c r="BH40" s="258">
        <v>0</v>
      </c>
      <c r="BI40" s="258">
        <v>0</v>
      </c>
      <c r="BJ40" s="258">
        <v>0</v>
      </c>
      <c r="BK40" s="258">
        <v>0</v>
      </c>
      <c r="BL40" s="258"/>
      <c r="BM40" s="258" t="s">
        <v>547</v>
      </c>
      <c r="BN40" s="258"/>
      <c r="BO40" s="258" t="s">
        <v>547</v>
      </c>
      <c r="BP40" s="263"/>
      <c r="BQ40" s="258"/>
      <c r="BR40" s="258"/>
      <c r="BS40" s="258"/>
      <c r="BT40" s="264"/>
      <c r="BU40" s="264"/>
      <c r="BV40" s="258"/>
      <c r="BW40" s="258" t="s">
        <v>646</v>
      </c>
      <c r="BX40" s="258">
        <v>1</v>
      </c>
      <c r="BY40" s="255"/>
      <c r="BZ40" s="255" t="s">
        <v>815</v>
      </c>
      <c r="CA40" s="264" t="s">
        <v>527</v>
      </c>
    </row>
    <row r="41" spans="1:79" ht="13" customHeight="1" x14ac:dyDescent="0.15">
      <c r="A41" s="306">
        <v>13298</v>
      </c>
      <c r="B41" s="123">
        <v>42934</v>
      </c>
      <c r="C41" s="47" t="s">
        <v>641</v>
      </c>
      <c r="D41" s="144" t="s">
        <v>534</v>
      </c>
      <c r="E41" s="48"/>
      <c r="F41" s="48" t="s">
        <v>696</v>
      </c>
      <c r="G41" s="307">
        <v>42918</v>
      </c>
      <c r="H41" s="49" t="s">
        <v>547</v>
      </c>
      <c r="I41" s="49" t="s">
        <v>817</v>
      </c>
      <c r="J41" s="49"/>
      <c r="K41" s="144" t="s">
        <v>608</v>
      </c>
      <c r="L41" s="48" t="s">
        <v>818</v>
      </c>
      <c r="M41" s="146">
        <v>91.590909090909079</v>
      </c>
      <c r="N41" s="146">
        <v>26.554545454545455</v>
      </c>
      <c r="O41" s="48"/>
      <c r="P41" s="50"/>
      <c r="Q41" s="146" t="s">
        <v>644</v>
      </c>
      <c r="R41" s="50"/>
      <c r="S41" s="146"/>
      <c r="T41" s="50"/>
      <c r="U41" s="146"/>
      <c r="V41" s="48"/>
      <c r="W41" s="48"/>
      <c r="X41" s="50"/>
      <c r="Y41" s="48"/>
      <c r="Z41" s="50"/>
      <c r="AA41" s="48"/>
      <c r="AB41" s="50"/>
      <c r="AC41" s="48"/>
      <c r="AD41" s="48"/>
      <c r="AE41" s="146">
        <v>15.28181818181818</v>
      </c>
      <c r="AF41" s="146" t="s">
        <v>644</v>
      </c>
      <c r="AG41" s="146" t="s">
        <v>644</v>
      </c>
      <c r="AH41" s="48" t="s">
        <v>644</v>
      </c>
      <c r="AI41" s="48" t="s">
        <v>644</v>
      </c>
      <c r="AJ41" s="48" t="s">
        <v>644</v>
      </c>
      <c r="AK41" s="48" t="s">
        <v>644</v>
      </c>
      <c r="AL41" s="48" t="s">
        <v>644</v>
      </c>
      <c r="AM41" s="48" t="s">
        <v>644</v>
      </c>
      <c r="AN41" s="48" t="s">
        <v>644</v>
      </c>
      <c r="AO41" s="48" t="s">
        <v>697</v>
      </c>
      <c r="AP41" s="49" t="s">
        <v>547</v>
      </c>
      <c r="AQ41" s="49"/>
      <c r="AR41" s="49"/>
      <c r="AS41" s="51"/>
      <c r="AT41" s="49">
        <v>8</v>
      </c>
      <c r="AU41" s="49"/>
      <c r="AV41" s="49"/>
      <c r="AW41" s="49"/>
      <c r="AX41" s="49" t="s">
        <v>495</v>
      </c>
      <c r="AY41" s="48"/>
      <c r="AZ41" s="49">
        <v>0</v>
      </c>
      <c r="BA41" s="49">
        <v>0</v>
      </c>
      <c r="BB41" s="49">
        <v>0</v>
      </c>
      <c r="BC41" s="49">
        <v>0</v>
      </c>
      <c r="BD41" s="49">
        <v>0</v>
      </c>
      <c r="BE41" s="49">
        <v>0</v>
      </c>
      <c r="BF41" s="49">
        <v>0</v>
      </c>
      <c r="BG41" s="49">
        <v>0</v>
      </c>
      <c r="BH41" s="49">
        <v>0</v>
      </c>
      <c r="BI41" s="49">
        <v>0</v>
      </c>
      <c r="BJ41" s="49">
        <v>0</v>
      </c>
      <c r="BK41" s="49">
        <v>0</v>
      </c>
      <c r="BL41" s="49"/>
      <c r="BM41" s="49" t="s">
        <v>547</v>
      </c>
      <c r="BN41" s="49"/>
      <c r="BO41" s="49" t="s">
        <v>547</v>
      </c>
      <c r="BP41" s="250">
        <v>163.63</v>
      </c>
      <c r="BQ41" s="49"/>
      <c r="BR41" s="49"/>
      <c r="BS41" s="49"/>
      <c r="BT41" s="52"/>
      <c r="BU41" s="52"/>
      <c r="BV41" s="49"/>
      <c r="BW41" s="49" t="s">
        <v>646</v>
      </c>
      <c r="BX41" s="49">
        <v>1</v>
      </c>
      <c r="BY41" s="144" t="s">
        <v>819</v>
      </c>
      <c r="BZ41" s="324" t="s">
        <v>848</v>
      </c>
      <c r="CA41" s="264" t="s">
        <v>90</v>
      </c>
    </row>
    <row r="42" spans="1:79" ht="13" customHeight="1" x14ac:dyDescent="0.15">
      <c r="A42" s="306">
        <v>771</v>
      </c>
      <c r="B42" s="46">
        <v>42929</v>
      </c>
      <c r="C42" s="46" t="s">
        <v>641</v>
      </c>
      <c r="D42" s="48" t="s">
        <v>534</v>
      </c>
      <c r="E42" s="48"/>
      <c r="F42" s="48" t="s">
        <v>696</v>
      </c>
      <c r="G42" s="46">
        <v>42916</v>
      </c>
      <c r="H42" s="49" t="s">
        <v>507</v>
      </c>
      <c r="I42" s="49" t="s">
        <v>508</v>
      </c>
      <c r="J42" s="48"/>
      <c r="K42" s="48" t="s">
        <v>682</v>
      </c>
      <c r="L42" s="48" t="s">
        <v>821</v>
      </c>
      <c r="M42" s="146">
        <v>61.809090909090898</v>
      </c>
      <c r="N42" s="146">
        <v>31.054545454545448</v>
      </c>
      <c r="O42" s="48"/>
      <c r="P42" s="50"/>
      <c r="Q42" s="146"/>
      <c r="R42" s="50"/>
      <c r="S42" s="146"/>
      <c r="T42" s="50"/>
      <c r="U42" s="146"/>
      <c r="V42" s="146"/>
      <c r="W42" s="146"/>
      <c r="X42" s="48"/>
      <c r="Y42" s="146"/>
      <c r="Z42" s="146"/>
      <c r="AA42" s="146"/>
      <c r="AB42" s="146"/>
      <c r="AC42" s="146"/>
      <c r="AD42" s="146"/>
      <c r="AE42" s="146">
        <v>16</v>
      </c>
      <c r="AF42" s="50"/>
      <c r="AG42" s="48"/>
      <c r="AH42" s="146"/>
      <c r="AI42" s="48"/>
      <c r="AJ42" s="48"/>
      <c r="AK42" s="146"/>
      <c r="AL42" s="48"/>
      <c r="AM42" s="146"/>
      <c r="AN42" s="146"/>
      <c r="AO42" s="48" t="s">
        <v>697</v>
      </c>
      <c r="AP42" s="49" t="s">
        <v>547</v>
      </c>
      <c r="AQ42" s="48"/>
      <c r="AR42" s="48"/>
      <c r="AS42" s="49"/>
      <c r="AT42" s="49">
        <v>16</v>
      </c>
      <c r="AU42" s="49">
        <v>300</v>
      </c>
      <c r="AV42" s="49"/>
      <c r="AW42" s="49">
        <v>10</v>
      </c>
      <c r="AX42" s="49" t="s">
        <v>495</v>
      </c>
      <c r="AY42" s="49"/>
      <c r="AZ42" s="49">
        <v>0</v>
      </c>
      <c r="BA42" s="49">
        <v>24</v>
      </c>
      <c r="BB42" s="49">
        <v>0</v>
      </c>
      <c r="BC42" s="49">
        <v>0</v>
      </c>
      <c r="BD42" s="49">
        <v>0</v>
      </c>
      <c r="BE42" s="49">
        <v>0</v>
      </c>
      <c r="BF42" s="49">
        <v>0</v>
      </c>
      <c r="BG42" s="49">
        <v>0</v>
      </c>
      <c r="BH42" s="49">
        <v>0</v>
      </c>
      <c r="BI42" s="49">
        <v>0</v>
      </c>
      <c r="BJ42" s="49">
        <v>0</v>
      </c>
      <c r="BK42" s="49">
        <v>0</v>
      </c>
      <c r="BL42" s="49"/>
      <c r="BM42" s="49" t="s">
        <v>547</v>
      </c>
      <c r="BN42" s="49"/>
      <c r="BO42" s="49" t="s">
        <v>547</v>
      </c>
      <c r="BP42" s="250"/>
      <c r="BQ42" s="49"/>
      <c r="BR42" s="49"/>
      <c r="BS42" s="49"/>
      <c r="BT42" s="49"/>
      <c r="BU42" s="49"/>
      <c r="BV42" s="49"/>
      <c r="BW42" s="49" t="s">
        <v>646</v>
      </c>
      <c r="BX42" s="49"/>
      <c r="BY42" s="48" t="s">
        <v>822</v>
      </c>
      <c r="BZ42" s="48" t="s">
        <v>79</v>
      </c>
      <c r="CA42" s="48" t="s">
        <v>90</v>
      </c>
    </row>
    <row r="43" spans="1:79" ht="13" customHeight="1" x14ac:dyDescent="0.2">
      <c r="A43" s="306">
        <v>12042</v>
      </c>
      <c r="B43" s="256">
        <v>42929</v>
      </c>
      <c r="C43" s="257" t="s">
        <v>641</v>
      </c>
      <c r="D43" s="255" t="s">
        <v>534</v>
      </c>
      <c r="E43" s="255"/>
      <c r="F43" s="255" t="s">
        <v>696</v>
      </c>
      <c r="G43" s="256">
        <v>42587</v>
      </c>
      <c r="H43" s="258" t="s">
        <v>507</v>
      </c>
      <c r="I43" s="258" t="s">
        <v>547</v>
      </c>
      <c r="J43" s="258"/>
      <c r="K43" s="255" t="s">
        <v>685</v>
      </c>
      <c r="L43" s="255" t="s">
        <v>686</v>
      </c>
      <c r="M43" s="259">
        <v>85.799999999999983</v>
      </c>
      <c r="N43" s="259">
        <v>28.25454545454545</v>
      </c>
      <c r="O43" s="255"/>
      <c r="P43" s="255"/>
      <c r="Q43" s="255"/>
      <c r="R43" s="260"/>
      <c r="S43" s="259"/>
      <c r="T43" s="255"/>
      <c r="U43" s="259"/>
      <c r="V43" s="259"/>
      <c r="W43" s="259"/>
      <c r="X43" s="260"/>
      <c r="Y43" s="259"/>
      <c r="Z43" s="259"/>
      <c r="AA43" s="259"/>
      <c r="AB43" s="259"/>
      <c r="AC43" s="259"/>
      <c r="AD43" s="259"/>
      <c r="AE43" s="259">
        <v>15.618181818181817</v>
      </c>
      <c r="AF43" s="260"/>
      <c r="AG43" s="255"/>
      <c r="AH43" s="259"/>
      <c r="AI43" s="255"/>
      <c r="AJ43" s="255"/>
      <c r="AK43" s="259"/>
      <c r="AL43" s="255"/>
      <c r="AM43" s="259"/>
      <c r="AN43" s="259"/>
      <c r="AO43" s="312" t="s">
        <v>697</v>
      </c>
      <c r="AP43" s="258" t="s">
        <v>547</v>
      </c>
      <c r="AQ43" s="258"/>
      <c r="AR43" s="258"/>
      <c r="AS43" s="262"/>
      <c r="AT43" s="258">
        <v>4</v>
      </c>
      <c r="AU43" s="258"/>
      <c r="AV43" s="258"/>
      <c r="AW43" s="258"/>
      <c r="AX43" s="258" t="s">
        <v>547</v>
      </c>
      <c r="AY43" s="255"/>
      <c r="AZ43" s="258">
        <v>0</v>
      </c>
      <c r="BA43" s="258">
        <v>0</v>
      </c>
      <c r="BB43" s="258">
        <v>0</v>
      </c>
      <c r="BC43" s="258">
        <v>0</v>
      </c>
      <c r="BD43" s="258">
        <v>0</v>
      </c>
      <c r="BE43" s="258">
        <v>0</v>
      </c>
      <c r="BF43" s="258">
        <v>0</v>
      </c>
      <c r="BG43" s="258">
        <v>0</v>
      </c>
      <c r="BH43" s="258">
        <v>0</v>
      </c>
      <c r="BI43" s="258">
        <v>0</v>
      </c>
      <c r="BJ43" s="258">
        <v>0</v>
      </c>
      <c r="BK43" s="258">
        <v>0</v>
      </c>
      <c r="BL43" s="258"/>
      <c r="BM43" s="258" t="s">
        <v>547</v>
      </c>
      <c r="BN43" s="258">
        <v>12</v>
      </c>
      <c r="BO43" s="258" t="s">
        <v>547</v>
      </c>
      <c r="BP43" s="263"/>
      <c r="BQ43" s="258"/>
      <c r="BR43" s="258"/>
      <c r="BS43" s="258"/>
      <c r="BT43" s="255"/>
      <c r="BU43" s="264"/>
      <c r="BV43" s="258"/>
      <c r="BW43" s="258" t="s">
        <v>646</v>
      </c>
      <c r="BX43" s="258">
        <v>1</v>
      </c>
      <c r="BY43" s="264"/>
      <c r="BZ43" s="325" t="s">
        <v>794</v>
      </c>
      <c r="CA43" s="255" t="s">
        <v>56</v>
      </c>
    </row>
    <row r="44" spans="1:79" ht="13" customHeight="1" x14ac:dyDescent="0.15">
      <c r="A44" s="306">
        <v>15335</v>
      </c>
      <c r="B44" s="256">
        <v>42929</v>
      </c>
      <c r="C44" s="257" t="s">
        <v>641</v>
      </c>
      <c r="D44" s="255" t="s">
        <v>534</v>
      </c>
      <c r="E44" s="255"/>
      <c r="F44" s="255" t="s">
        <v>696</v>
      </c>
      <c r="G44" s="256">
        <v>42916</v>
      </c>
      <c r="H44" s="258" t="s">
        <v>507</v>
      </c>
      <c r="I44" s="258" t="s">
        <v>547</v>
      </c>
      <c r="J44" s="258"/>
      <c r="K44" s="255" t="s">
        <v>801</v>
      </c>
      <c r="L44" s="255" t="s">
        <v>824</v>
      </c>
      <c r="M44" s="259">
        <v>109</v>
      </c>
      <c r="N44" s="259">
        <v>28.999999999999996</v>
      </c>
      <c r="O44" s="255"/>
      <c r="P44" s="260"/>
      <c r="Q44" s="255"/>
      <c r="R44" s="260"/>
      <c r="S44" s="259"/>
      <c r="T44" s="255"/>
      <c r="U44" s="259"/>
      <c r="V44" s="259"/>
      <c r="W44" s="259"/>
      <c r="X44" s="260"/>
      <c r="Y44" s="259"/>
      <c r="Z44" s="259"/>
      <c r="AA44" s="259"/>
      <c r="AB44" s="259"/>
      <c r="AC44" s="259"/>
      <c r="AD44" s="259"/>
      <c r="AE44" s="259">
        <v>15.099999999999998</v>
      </c>
      <c r="AF44" s="260"/>
      <c r="AG44" s="255"/>
      <c r="AH44" s="259"/>
      <c r="AI44" s="255"/>
      <c r="AJ44" s="255"/>
      <c r="AK44" s="259"/>
      <c r="AL44" s="255"/>
      <c r="AM44" s="259"/>
      <c r="AN44" s="259"/>
      <c r="AO44" s="255" t="s">
        <v>697</v>
      </c>
      <c r="AP44" s="258" t="s">
        <v>547</v>
      </c>
      <c r="AQ44" s="258"/>
      <c r="AR44" s="258"/>
      <c r="AS44" s="262"/>
      <c r="AT44" s="258">
        <v>3</v>
      </c>
      <c r="AU44" s="258"/>
      <c r="AV44" s="258"/>
      <c r="AW44" s="258"/>
      <c r="AX44" s="258" t="s">
        <v>547</v>
      </c>
      <c r="AY44" s="255"/>
      <c r="AZ44" s="258">
        <v>0</v>
      </c>
      <c r="BA44" s="258">
        <v>0</v>
      </c>
      <c r="BB44" s="258">
        <v>0</v>
      </c>
      <c r="BC44" s="258">
        <v>0</v>
      </c>
      <c r="BD44" s="258">
        <v>0</v>
      </c>
      <c r="BE44" s="258">
        <v>0</v>
      </c>
      <c r="BF44" s="258">
        <v>0</v>
      </c>
      <c r="BG44" s="258">
        <v>0</v>
      </c>
      <c r="BH44" s="258">
        <v>0</v>
      </c>
      <c r="BI44" s="258">
        <v>0</v>
      </c>
      <c r="BJ44" s="258">
        <v>0</v>
      </c>
      <c r="BK44" s="258">
        <v>0</v>
      </c>
      <c r="BL44" s="258"/>
      <c r="BM44" s="258" t="s">
        <v>547</v>
      </c>
      <c r="BN44" s="258"/>
      <c r="BO44" s="258" t="s">
        <v>547</v>
      </c>
      <c r="BP44" s="263"/>
      <c r="BQ44" s="258"/>
      <c r="BR44" s="258"/>
      <c r="BS44" s="258"/>
      <c r="BT44" s="255" t="s">
        <v>825</v>
      </c>
      <c r="BU44" s="264" t="s">
        <v>826</v>
      </c>
      <c r="BV44" s="258">
        <v>50</v>
      </c>
      <c r="BW44" s="258" t="s">
        <v>646</v>
      </c>
      <c r="BX44" s="258"/>
      <c r="BY44" s="264"/>
      <c r="BZ44" s="322" t="s">
        <v>849</v>
      </c>
      <c r="CA44" s="255" t="s">
        <v>527</v>
      </c>
    </row>
    <row r="45" spans="1:79" ht="13" customHeight="1" x14ac:dyDescent="0.2">
      <c r="A45" s="306">
        <v>11187</v>
      </c>
      <c r="B45" s="256">
        <v>42926</v>
      </c>
      <c r="C45" s="257" t="s">
        <v>641</v>
      </c>
      <c r="D45" s="255" t="s">
        <v>534</v>
      </c>
      <c r="E45" s="255"/>
      <c r="F45" s="255" t="s">
        <v>696</v>
      </c>
      <c r="G45" s="256">
        <v>42900</v>
      </c>
      <c r="H45" s="258" t="s">
        <v>507</v>
      </c>
      <c r="I45" s="258" t="s">
        <v>547</v>
      </c>
      <c r="J45" s="258"/>
      <c r="K45" s="255" t="s">
        <v>688</v>
      </c>
      <c r="L45" s="255" t="s">
        <v>609</v>
      </c>
      <c r="M45" s="259">
        <v>106.33636363636363</v>
      </c>
      <c r="N45" s="259">
        <v>22.836363636363636</v>
      </c>
      <c r="O45" s="255"/>
      <c r="P45" s="260"/>
      <c r="Q45" s="255"/>
      <c r="R45" s="260"/>
      <c r="S45" s="259"/>
      <c r="T45" s="260"/>
      <c r="U45" s="259"/>
      <c r="V45" s="259"/>
      <c r="W45" s="259"/>
      <c r="X45" s="255"/>
      <c r="Y45" s="259"/>
      <c r="Z45" s="259"/>
      <c r="AA45" s="259"/>
      <c r="AB45" s="259"/>
      <c r="AC45" s="259"/>
      <c r="AD45" s="259"/>
      <c r="AE45" s="259">
        <v>16.127272727272725</v>
      </c>
      <c r="AF45" s="260"/>
      <c r="AG45" s="255"/>
      <c r="AH45" s="259"/>
      <c r="AI45" s="255"/>
      <c r="AJ45" s="255"/>
      <c r="AK45" s="259"/>
      <c r="AL45" s="255"/>
      <c r="AM45" s="259"/>
      <c r="AN45" s="259"/>
      <c r="AO45" s="255" t="s">
        <v>697</v>
      </c>
      <c r="AP45" s="258" t="s">
        <v>547</v>
      </c>
      <c r="AQ45" s="258"/>
      <c r="AR45" s="258"/>
      <c r="AS45" s="262"/>
      <c r="AT45" s="258">
        <v>2.06</v>
      </c>
      <c r="AU45" s="258"/>
      <c r="AV45" s="258"/>
      <c r="AW45" s="258"/>
      <c r="AX45" s="258" t="s">
        <v>547</v>
      </c>
      <c r="AY45" s="255"/>
      <c r="AZ45" s="258">
        <v>0</v>
      </c>
      <c r="BA45" s="258">
        <v>0</v>
      </c>
      <c r="BB45" s="258">
        <v>0</v>
      </c>
      <c r="BC45" s="258">
        <v>0</v>
      </c>
      <c r="BD45" s="258">
        <v>0</v>
      </c>
      <c r="BE45" s="258">
        <v>0</v>
      </c>
      <c r="BF45" s="258">
        <v>0</v>
      </c>
      <c r="BG45" s="258">
        <v>0</v>
      </c>
      <c r="BH45" s="258">
        <v>0</v>
      </c>
      <c r="BI45" s="258">
        <v>0</v>
      </c>
      <c r="BJ45" s="258">
        <v>0</v>
      </c>
      <c r="BK45" s="258">
        <v>0</v>
      </c>
      <c r="BL45" s="258"/>
      <c r="BM45" s="258" t="s">
        <v>547</v>
      </c>
      <c r="BN45" s="258"/>
      <c r="BO45" s="258" t="s">
        <v>547</v>
      </c>
      <c r="BP45" s="263"/>
      <c r="BQ45" s="258"/>
      <c r="BR45" s="258"/>
      <c r="BS45" s="258"/>
      <c r="BT45" s="264"/>
      <c r="BU45" s="264"/>
      <c r="BV45" s="258"/>
      <c r="BW45" s="258" t="s">
        <v>646</v>
      </c>
      <c r="BX45" s="258">
        <v>1</v>
      </c>
      <c r="BY45" s="255"/>
      <c r="BZ45" s="308" t="s">
        <v>828</v>
      </c>
      <c r="CA45" s="264" t="s">
        <v>90</v>
      </c>
    </row>
    <row r="46" spans="1:79" ht="13" customHeight="1" x14ac:dyDescent="0.15">
      <c r="A46" s="306">
        <v>12713</v>
      </c>
      <c r="B46" s="256">
        <v>42926</v>
      </c>
      <c r="C46" s="257" t="s">
        <v>641</v>
      </c>
      <c r="D46" s="255" t="s">
        <v>534</v>
      </c>
      <c r="E46" s="255"/>
      <c r="F46" s="255" t="s">
        <v>696</v>
      </c>
      <c r="G46" s="307">
        <v>42916</v>
      </c>
      <c r="H46" s="258" t="s">
        <v>507</v>
      </c>
      <c r="I46" s="258" t="s">
        <v>547</v>
      </c>
      <c r="J46" s="258"/>
      <c r="K46" s="255" t="s">
        <v>690</v>
      </c>
      <c r="L46" s="255" t="s">
        <v>691</v>
      </c>
      <c r="M46" s="259">
        <v>77</v>
      </c>
      <c r="N46" s="259">
        <v>24.999999999999996</v>
      </c>
      <c r="O46" s="255"/>
      <c r="P46" s="255"/>
      <c r="Q46" s="255"/>
      <c r="R46" s="260"/>
      <c r="S46" s="259"/>
      <c r="T46" s="255"/>
      <c r="U46" s="259"/>
      <c r="V46" s="259"/>
      <c r="W46" s="259"/>
      <c r="X46" s="255"/>
      <c r="Y46" s="259"/>
      <c r="Z46" s="259"/>
      <c r="AA46" s="259"/>
      <c r="AB46" s="259"/>
      <c r="AC46" s="259"/>
      <c r="AD46" s="259"/>
      <c r="AE46" s="259">
        <v>17.639999999999997</v>
      </c>
      <c r="AF46" s="255"/>
      <c r="AG46" s="255"/>
      <c r="AH46" s="259"/>
      <c r="AI46" s="255"/>
      <c r="AJ46" s="255"/>
      <c r="AK46" s="259"/>
      <c r="AL46" s="255"/>
      <c r="AM46" s="259"/>
      <c r="AN46" s="259"/>
      <c r="AO46" s="255" t="s">
        <v>697</v>
      </c>
      <c r="AP46" s="258" t="s">
        <v>547</v>
      </c>
      <c r="AQ46" s="258"/>
      <c r="AR46" s="258"/>
      <c r="AS46" s="262"/>
      <c r="AT46" s="258">
        <v>8</v>
      </c>
      <c r="AU46" s="258"/>
      <c r="AV46" s="258"/>
      <c r="AW46" s="258"/>
      <c r="AX46" s="258" t="s">
        <v>507</v>
      </c>
      <c r="AY46" s="255" t="s">
        <v>692</v>
      </c>
      <c r="AZ46" s="258">
        <v>0</v>
      </c>
      <c r="BA46" s="258">
        <v>0</v>
      </c>
      <c r="BB46" s="258">
        <v>0</v>
      </c>
      <c r="BC46" s="258">
        <v>0</v>
      </c>
      <c r="BD46" s="258">
        <v>0</v>
      </c>
      <c r="BE46" s="258">
        <v>0</v>
      </c>
      <c r="BF46" s="258">
        <v>0</v>
      </c>
      <c r="BG46" s="258">
        <v>0</v>
      </c>
      <c r="BH46" s="258">
        <v>0</v>
      </c>
      <c r="BI46" s="258">
        <v>0</v>
      </c>
      <c r="BJ46" s="258">
        <v>0</v>
      </c>
      <c r="BK46" s="258">
        <v>0</v>
      </c>
      <c r="BL46" s="258"/>
      <c r="BM46" s="258" t="s">
        <v>547</v>
      </c>
      <c r="BN46" s="258"/>
      <c r="BO46" s="258" t="s">
        <v>547</v>
      </c>
      <c r="BP46" s="263"/>
      <c r="BQ46" s="258"/>
      <c r="BR46" s="258"/>
      <c r="BS46" s="258"/>
      <c r="BT46" s="255"/>
      <c r="BU46" s="264"/>
      <c r="BV46" s="258"/>
      <c r="BW46" s="258" t="s">
        <v>646</v>
      </c>
      <c r="BX46" s="258">
        <v>1</v>
      </c>
      <c r="BY46" s="264" t="s">
        <v>693</v>
      </c>
      <c r="BZ46" s="312" t="s">
        <v>850</v>
      </c>
      <c r="CA46" s="255" t="s">
        <v>90</v>
      </c>
    </row>
    <row r="47" spans="1:79" customFormat="1" x14ac:dyDescent="0.15">
      <c r="A47" s="306">
        <v>13809</v>
      </c>
      <c r="B47" s="46">
        <v>42928</v>
      </c>
      <c r="C47" s="46" t="s">
        <v>641</v>
      </c>
      <c r="D47" s="48" t="s">
        <v>534</v>
      </c>
      <c r="E47" s="48"/>
      <c r="F47" s="48" t="s">
        <v>696</v>
      </c>
      <c r="G47" s="46">
        <v>42642</v>
      </c>
      <c r="H47" s="49" t="s">
        <v>507</v>
      </c>
      <c r="I47" s="49" t="s">
        <v>508</v>
      </c>
      <c r="J47" s="48"/>
      <c r="K47" s="48" t="s">
        <v>695</v>
      </c>
      <c r="L47" s="48" t="s">
        <v>830</v>
      </c>
      <c r="M47" s="146">
        <v>65.454545454545453</v>
      </c>
      <c r="N47" s="146">
        <v>29.436363636363637</v>
      </c>
      <c r="O47" s="48"/>
      <c r="P47" s="50"/>
      <c r="Q47" s="146"/>
      <c r="R47" s="50"/>
      <c r="S47" s="146"/>
      <c r="T47" s="50"/>
      <c r="U47" s="146"/>
      <c r="V47" s="146"/>
      <c r="W47" s="146"/>
      <c r="X47" s="48"/>
      <c r="Y47" s="146"/>
      <c r="Z47" s="146"/>
      <c r="AA47" s="146"/>
      <c r="AB47" s="146"/>
      <c r="AC47" s="146"/>
      <c r="AD47" s="146"/>
      <c r="AE47" s="146">
        <v>15.036363636363633</v>
      </c>
      <c r="AF47" s="50"/>
      <c r="AG47" s="48"/>
      <c r="AH47" s="146"/>
      <c r="AI47" s="48"/>
      <c r="AJ47" s="48"/>
      <c r="AK47" s="146"/>
      <c r="AL47" s="48"/>
      <c r="AM47" s="146"/>
      <c r="AN47" s="146"/>
      <c r="AO47" s="48" t="s">
        <v>697</v>
      </c>
      <c r="AP47" s="49" t="s">
        <v>547</v>
      </c>
      <c r="AQ47" s="48"/>
      <c r="AR47" s="48"/>
      <c r="AS47" s="49"/>
      <c r="AT47" s="49">
        <v>19</v>
      </c>
      <c r="AU47" s="49">
        <v>455</v>
      </c>
      <c r="AV47" s="49"/>
      <c r="AW47" s="49">
        <v>5</v>
      </c>
      <c r="AX47" s="49" t="s">
        <v>495</v>
      </c>
      <c r="AY47" s="49"/>
      <c r="AZ47" s="49">
        <v>0</v>
      </c>
      <c r="BA47" s="49">
        <v>0</v>
      </c>
      <c r="BB47" s="49">
        <v>0</v>
      </c>
      <c r="BC47" s="49">
        <v>0</v>
      </c>
      <c r="BD47" s="49">
        <v>0</v>
      </c>
      <c r="BE47" s="49">
        <v>0</v>
      </c>
      <c r="BF47" s="49">
        <v>0</v>
      </c>
      <c r="BG47" s="49">
        <v>0</v>
      </c>
      <c r="BH47" s="49">
        <v>0</v>
      </c>
      <c r="BI47" s="49">
        <v>0</v>
      </c>
      <c r="BJ47" s="49">
        <v>0</v>
      </c>
      <c r="BK47" s="49">
        <v>0</v>
      </c>
      <c r="BL47" s="49"/>
      <c r="BM47" s="49" t="s">
        <v>547</v>
      </c>
      <c r="BN47" s="49"/>
      <c r="BO47" s="49" t="s">
        <v>547</v>
      </c>
      <c r="BP47" s="250"/>
      <c r="BQ47" s="49"/>
      <c r="BR47" s="49"/>
      <c r="BS47" s="49"/>
      <c r="BT47" s="49"/>
      <c r="BU47" s="49"/>
      <c r="BV47" s="49"/>
      <c r="BW47" s="49" t="s">
        <v>646</v>
      </c>
      <c r="BX47" s="49"/>
      <c r="BY47" s="48"/>
      <c r="BZ47" s="48" t="s">
        <v>851</v>
      </c>
      <c r="CA47" s="48" t="s">
        <v>56</v>
      </c>
    </row>
    <row r="48" spans="1:79" customFormat="1" x14ac:dyDescent="0.15">
      <c r="A48" s="306">
        <v>14321</v>
      </c>
      <c r="B48" s="46">
        <v>42925</v>
      </c>
      <c r="C48" s="46" t="s">
        <v>641</v>
      </c>
      <c r="D48" s="48" t="s">
        <v>534</v>
      </c>
      <c r="E48" s="48"/>
      <c r="F48" s="48" t="s">
        <v>696</v>
      </c>
      <c r="G48" s="46">
        <v>42916</v>
      </c>
      <c r="H48" s="49" t="s">
        <v>507</v>
      </c>
      <c r="I48" s="49" t="s">
        <v>508</v>
      </c>
      <c r="J48" s="48"/>
      <c r="K48" s="48" t="s">
        <v>832</v>
      </c>
      <c r="L48" s="48" t="s">
        <v>833</v>
      </c>
      <c r="M48" s="146">
        <v>80.954545454545439</v>
      </c>
      <c r="N48" s="146">
        <v>31.481818181818181</v>
      </c>
      <c r="O48" s="48" t="s">
        <v>648</v>
      </c>
      <c r="P48" s="50">
        <v>1000</v>
      </c>
      <c r="Q48" s="146">
        <v>33.781818181818174</v>
      </c>
      <c r="R48" s="50"/>
      <c r="S48" s="146"/>
      <c r="T48" s="50"/>
      <c r="U48" s="146"/>
      <c r="V48" s="146"/>
      <c r="W48" s="146"/>
      <c r="X48" s="48"/>
      <c r="Y48" s="146"/>
      <c r="Z48" s="146"/>
      <c r="AA48" s="146"/>
      <c r="AB48" s="146"/>
      <c r="AC48" s="146"/>
      <c r="AD48" s="146"/>
      <c r="AE48" s="146">
        <v>14.481818181818181</v>
      </c>
      <c r="AF48" s="50"/>
      <c r="AG48" s="48"/>
      <c r="AH48" s="146"/>
      <c r="AI48" s="48"/>
      <c r="AJ48" s="48"/>
      <c r="AK48" s="146"/>
      <c r="AL48" s="48"/>
      <c r="AM48" s="146"/>
      <c r="AN48" s="146"/>
      <c r="AO48" s="48" t="s">
        <v>697</v>
      </c>
      <c r="AP48" s="49" t="s">
        <v>547</v>
      </c>
      <c r="AQ48" s="48"/>
      <c r="AR48" s="48"/>
      <c r="AS48" s="49"/>
      <c r="AT48" s="49">
        <v>13</v>
      </c>
      <c r="AU48" s="49"/>
      <c r="AV48" s="49"/>
      <c r="AW48" s="49"/>
      <c r="AX48" s="49" t="s">
        <v>547</v>
      </c>
      <c r="AY48" s="49"/>
      <c r="AZ48" s="49">
        <v>0</v>
      </c>
      <c r="BA48" s="49">
        <v>0</v>
      </c>
      <c r="BB48" s="49">
        <v>0</v>
      </c>
      <c r="BC48" s="49">
        <v>0</v>
      </c>
      <c r="BD48" s="49">
        <v>0</v>
      </c>
      <c r="BE48" s="49">
        <v>0</v>
      </c>
      <c r="BF48" s="49">
        <v>0</v>
      </c>
      <c r="BG48" s="49">
        <v>0</v>
      </c>
      <c r="BH48" s="49">
        <v>0</v>
      </c>
      <c r="BI48" s="49">
        <v>0</v>
      </c>
      <c r="BJ48" s="49">
        <v>0</v>
      </c>
      <c r="BK48" s="49">
        <v>0</v>
      </c>
      <c r="BL48" s="49"/>
      <c r="BM48" s="49" t="s">
        <v>547</v>
      </c>
      <c r="BN48" s="49"/>
      <c r="BO48" s="49" t="s">
        <v>547</v>
      </c>
      <c r="BP48" s="250"/>
      <c r="BQ48" s="49"/>
      <c r="BR48" s="49"/>
      <c r="BS48" s="49"/>
      <c r="BT48" s="49"/>
      <c r="BU48" s="49"/>
      <c r="BV48" s="49"/>
      <c r="BW48" s="49" t="s">
        <v>646</v>
      </c>
      <c r="BX48" s="49">
        <v>1</v>
      </c>
      <c r="BY48" s="48"/>
      <c r="BZ48" s="48" t="s">
        <v>852</v>
      </c>
      <c r="CA48" s="48" t="s">
        <v>90</v>
      </c>
    </row>
    <row r="49" spans="1:80" ht="13" customHeight="1" x14ac:dyDescent="0.15">
      <c r="A49" s="306">
        <v>14324</v>
      </c>
      <c r="B49" s="256">
        <v>42926</v>
      </c>
      <c r="C49" s="257" t="s">
        <v>641</v>
      </c>
      <c r="D49" s="255" t="s">
        <v>534</v>
      </c>
      <c r="E49" s="255"/>
      <c r="F49" s="255" t="s">
        <v>696</v>
      </c>
      <c r="G49" s="307">
        <v>42614</v>
      </c>
      <c r="H49" s="258" t="s">
        <v>507</v>
      </c>
      <c r="I49" s="258" t="s">
        <v>547</v>
      </c>
      <c r="J49" s="258"/>
      <c r="K49" s="314" t="s">
        <v>835</v>
      </c>
      <c r="L49" s="255" t="s">
        <v>836</v>
      </c>
      <c r="M49" s="259">
        <v>99.999999999999986</v>
      </c>
      <c r="N49" s="259">
        <v>27.27272727272727</v>
      </c>
      <c r="O49" s="255"/>
      <c r="P49" s="255"/>
      <c r="Q49" s="255"/>
      <c r="R49" s="260"/>
      <c r="S49" s="259"/>
      <c r="T49" s="260"/>
      <c r="U49" s="259"/>
      <c r="V49" s="259"/>
      <c r="W49" s="259"/>
      <c r="X49" s="255"/>
      <c r="Y49" s="259"/>
      <c r="Z49" s="259"/>
      <c r="AA49" s="259"/>
      <c r="AB49" s="259"/>
      <c r="AC49" s="259"/>
      <c r="AD49" s="259"/>
      <c r="AE49" s="259">
        <v>16.363636363636363</v>
      </c>
      <c r="AF49" s="260"/>
      <c r="AG49" s="255"/>
      <c r="AH49" s="259"/>
      <c r="AI49" s="255"/>
      <c r="AJ49" s="255"/>
      <c r="AK49" s="259"/>
      <c r="AL49" s="255"/>
      <c r="AM49" s="259"/>
      <c r="AN49" s="259"/>
      <c r="AO49" s="255" t="s">
        <v>697</v>
      </c>
      <c r="AP49" s="258" t="s">
        <v>547</v>
      </c>
      <c r="AQ49" s="258"/>
      <c r="AR49" s="258"/>
      <c r="AS49" s="262"/>
      <c r="AT49" s="258">
        <v>8</v>
      </c>
      <c r="AU49" s="258"/>
      <c r="AV49" s="258"/>
      <c r="AW49" s="258"/>
      <c r="AX49" s="258" t="s">
        <v>547</v>
      </c>
      <c r="AY49" s="255"/>
      <c r="AZ49" s="258">
        <v>0</v>
      </c>
      <c r="BA49" s="258">
        <v>0</v>
      </c>
      <c r="BB49" s="258">
        <v>0</v>
      </c>
      <c r="BC49" s="258">
        <v>0</v>
      </c>
      <c r="BD49" s="258">
        <v>0</v>
      </c>
      <c r="BE49" s="258">
        <v>0</v>
      </c>
      <c r="BF49" s="258">
        <v>0</v>
      </c>
      <c r="BG49" s="258">
        <v>0</v>
      </c>
      <c r="BH49" s="258">
        <v>0</v>
      </c>
      <c r="BI49" s="258">
        <v>0</v>
      </c>
      <c r="BJ49" s="258">
        <v>0</v>
      </c>
      <c r="BK49" s="258">
        <v>0</v>
      </c>
      <c r="BL49" s="258"/>
      <c r="BM49" s="258" t="s">
        <v>547</v>
      </c>
      <c r="BN49" s="258"/>
      <c r="BO49" s="258" t="s">
        <v>547</v>
      </c>
      <c r="BP49" s="263"/>
      <c r="BQ49" s="258"/>
      <c r="BR49" s="258"/>
      <c r="BS49" s="320">
        <v>42973</v>
      </c>
      <c r="BT49" s="255"/>
      <c r="BU49" s="255"/>
      <c r="BV49" s="258"/>
      <c r="BW49" s="258" t="s">
        <v>646</v>
      </c>
      <c r="BX49" s="258"/>
      <c r="BY49" s="255"/>
      <c r="BZ49" s="312" t="s">
        <v>853</v>
      </c>
      <c r="CA49" s="255" t="s">
        <v>56</v>
      </c>
    </row>
    <row r="50" spans="1:80" ht="13" customHeight="1" x14ac:dyDescent="0.15">
      <c r="A50" s="306">
        <v>15321</v>
      </c>
      <c r="B50" s="256">
        <v>42926</v>
      </c>
      <c r="C50" s="257" t="s">
        <v>641</v>
      </c>
      <c r="D50" s="255" t="s">
        <v>534</v>
      </c>
      <c r="E50" s="255"/>
      <c r="F50" s="255" t="s">
        <v>696</v>
      </c>
      <c r="G50" s="256">
        <v>42916</v>
      </c>
      <c r="H50" s="258" t="s">
        <v>507</v>
      </c>
      <c r="I50" s="258" t="s">
        <v>547</v>
      </c>
      <c r="J50" s="258"/>
      <c r="K50" s="255" t="s">
        <v>838</v>
      </c>
      <c r="L50" s="255" t="s">
        <v>839</v>
      </c>
      <c r="M50" s="259">
        <v>102.49999999999999</v>
      </c>
      <c r="N50" s="259">
        <v>25.799999999999997</v>
      </c>
      <c r="O50" s="255"/>
      <c r="P50" s="255"/>
      <c r="Q50" s="255"/>
      <c r="R50" s="260"/>
      <c r="S50" s="259"/>
      <c r="T50" s="255"/>
      <c r="U50" s="259"/>
      <c r="V50" s="259"/>
      <c r="W50" s="259"/>
      <c r="X50" s="255"/>
      <c r="Y50" s="259"/>
      <c r="Z50" s="259"/>
      <c r="AA50" s="259"/>
      <c r="AB50" s="259"/>
      <c r="AC50" s="259"/>
      <c r="AD50" s="259"/>
      <c r="AE50" s="259">
        <v>17.254545454545454</v>
      </c>
      <c r="AF50" s="255"/>
      <c r="AG50" s="255"/>
      <c r="AH50" s="259"/>
      <c r="AI50" s="255"/>
      <c r="AJ50" s="255"/>
      <c r="AK50" s="259"/>
      <c r="AL50" s="255"/>
      <c r="AM50" s="259"/>
      <c r="AN50" s="259"/>
      <c r="AO50" s="255" t="s">
        <v>697</v>
      </c>
      <c r="AP50" s="258" t="s">
        <v>547</v>
      </c>
      <c r="AQ50" s="258"/>
      <c r="AR50" s="258"/>
      <c r="AS50" s="262"/>
      <c r="AT50" s="258">
        <v>2</v>
      </c>
      <c r="AU50" s="258"/>
      <c r="AV50" s="258"/>
      <c r="AW50" s="258"/>
      <c r="AX50" s="258" t="s">
        <v>547</v>
      </c>
      <c r="AY50" s="255"/>
      <c r="AZ50" s="258">
        <v>0</v>
      </c>
      <c r="BA50" s="258">
        <v>0</v>
      </c>
      <c r="BB50" s="258">
        <v>0</v>
      </c>
      <c r="BC50" s="258">
        <v>0</v>
      </c>
      <c r="BD50" s="258">
        <v>0</v>
      </c>
      <c r="BE50" s="258">
        <v>0</v>
      </c>
      <c r="BF50" s="258">
        <v>0</v>
      </c>
      <c r="BG50" s="258">
        <v>0</v>
      </c>
      <c r="BH50" s="258">
        <v>0</v>
      </c>
      <c r="BI50" s="258">
        <v>0</v>
      </c>
      <c r="BJ50" s="258">
        <v>0</v>
      </c>
      <c r="BK50" s="258">
        <v>0</v>
      </c>
      <c r="BL50" s="258"/>
      <c r="BM50" s="258" t="s">
        <v>547</v>
      </c>
      <c r="BN50" s="258">
        <v>12</v>
      </c>
      <c r="BO50" s="258" t="s">
        <v>547</v>
      </c>
      <c r="BP50" s="263"/>
      <c r="BQ50" s="258"/>
      <c r="BR50" s="258">
        <v>12</v>
      </c>
      <c r="BS50" s="258"/>
      <c r="BT50" s="264"/>
      <c r="BU50" s="264"/>
      <c r="BV50" s="258"/>
      <c r="BW50" s="258" t="s">
        <v>646</v>
      </c>
      <c r="BX50" s="258">
        <v>1</v>
      </c>
      <c r="BY50" s="264" t="s">
        <v>840</v>
      </c>
      <c r="BZ50" s="255" t="s">
        <v>854</v>
      </c>
      <c r="CA50" s="264" t="s">
        <v>527</v>
      </c>
    </row>
    <row r="51" spans="1:80" customFormat="1" ht="14" customHeight="1" x14ac:dyDescent="0.15">
      <c r="A51" s="306"/>
      <c r="B51" s="256">
        <v>42944</v>
      </c>
      <c r="C51" s="257" t="s">
        <v>641</v>
      </c>
      <c r="D51" s="255" t="s">
        <v>534</v>
      </c>
      <c r="E51" s="255"/>
      <c r="F51" s="255" t="s">
        <v>696</v>
      </c>
      <c r="G51" s="256">
        <v>42857</v>
      </c>
      <c r="H51" s="258" t="s">
        <v>507</v>
      </c>
      <c r="I51" s="258" t="s">
        <v>508</v>
      </c>
      <c r="J51" s="258"/>
      <c r="K51" s="255" t="s">
        <v>857</v>
      </c>
      <c r="L51" s="255" t="s">
        <v>858</v>
      </c>
      <c r="M51" s="259">
        <v>102.99999999999999</v>
      </c>
      <c r="N51" s="259">
        <v>34.4</v>
      </c>
      <c r="O51" s="255"/>
      <c r="P51" s="260"/>
      <c r="Q51" s="255"/>
      <c r="R51" s="260"/>
      <c r="S51" s="259"/>
      <c r="T51" s="260"/>
      <c r="U51" s="259"/>
      <c r="V51" s="259"/>
      <c r="W51" s="259"/>
      <c r="X51" s="255"/>
      <c r="Y51" s="259"/>
      <c r="Z51" s="259"/>
      <c r="AA51" s="259"/>
      <c r="AB51" s="259"/>
      <c r="AC51" s="259"/>
      <c r="AD51" s="259"/>
      <c r="AE51" s="259">
        <v>13.636363636363633</v>
      </c>
      <c r="AF51" s="260"/>
      <c r="AG51" s="255"/>
      <c r="AH51" s="259"/>
      <c r="AI51" s="255"/>
      <c r="AJ51" s="255"/>
      <c r="AK51" s="259"/>
      <c r="AL51" s="255"/>
      <c r="AM51" s="259"/>
      <c r="AN51" s="259"/>
      <c r="AO51" s="255" t="s">
        <v>697</v>
      </c>
      <c r="AP51" s="258" t="s">
        <v>547</v>
      </c>
      <c r="AQ51" s="258"/>
      <c r="AR51" s="258"/>
      <c r="AS51" s="262"/>
      <c r="AT51" s="258">
        <v>20</v>
      </c>
      <c r="AU51" s="258">
        <v>318</v>
      </c>
      <c r="AV51" s="258"/>
      <c r="AW51" s="258">
        <v>7.5</v>
      </c>
      <c r="AX51" s="258" t="s">
        <v>495</v>
      </c>
      <c r="AY51" s="255"/>
      <c r="AZ51" s="258">
        <v>0</v>
      </c>
      <c r="BA51" s="258">
        <v>0</v>
      </c>
      <c r="BB51" s="258">
        <v>0</v>
      </c>
      <c r="BC51" s="258">
        <v>0</v>
      </c>
      <c r="BD51" s="258">
        <v>0</v>
      </c>
      <c r="BE51" s="258">
        <v>0</v>
      </c>
      <c r="BF51" s="258">
        <v>0</v>
      </c>
      <c r="BG51" s="258">
        <v>0</v>
      </c>
      <c r="BH51" s="258">
        <v>0</v>
      </c>
      <c r="BI51" s="258">
        <v>0</v>
      </c>
      <c r="BJ51" s="258">
        <v>0</v>
      </c>
      <c r="BK51" s="258">
        <v>0</v>
      </c>
      <c r="BL51" s="258"/>
      <c r="BM51" s="258" t="s">
        <v>547</v>
      </c>
      <c r="BN51" s="258"/>
      <c r="BO51" s="258" t="s">
        <v>547</v>
      </c>
      <c r="BP51" s="263"/>
      <c r="BQ51" s="258"/>
      <c r="BR51" s="258">
        <v>12</v>
      </c>
      <c r="BS51" s="258"/>
      <c r="BT51" s="264"/>
      <c r="BU51" s="264"/>
      <c r="BV51" s="258"/>
      <c r="BW51" s="258" t="s">
        <v>646</v>
      </c>
      <c r="BX51" s="258"/>
      <c r="BY51" s="264" t="s">
        <v>859</v>
      </c>
      <c r="BZ51" s="342" t="s">
        <v>864</v>
      </c>
      <c r="CA51" s="264" t="s">
        <v>527</v>
      </c>
      <c r="CB51" s="118"/>
    </row>
    <row r="52" spans="1:80" customFormat="1" ht="14" customHeight="1" x14ac:dyDescent="0.2">
      <c r="A52" s="306"/>
      <c r="B52" s="256">
        <v>42944</v>
      </c>
      <c r="C52" s="257" t="s">
        <v>641</v>
      </c>
      <c r="D52" s="255" t="s">
        <v>534</v>
      </c>
      <c r="E52" s="255"/>
      <c r="F52" s="255" t="s">
        <v>696</v>
      </c>
      <c r="G52" s="256">
        <v>42941</v>
      </c>
      <c r="H52" s="258" t="s">
        <v>507</v>
      </c>
      <c r="I52" s="258" t="s">
        <v>508</v>
      </c>
      <c r="J52" s="258"/>
      <c r="K52" s="255" t="s">
        <v>861</v>
      </c>
      <c r="L52" s="255" t="s">
        <v>862</v>
      </c>
      <c r="M52" s="259">
        <v>66.5</v>
      </c>
      <c r="N52" s="259">
        <v>28.563636363636363</v>
      </c>
      <c r="O52" s="255"/>
      <c r="P52" s="260"/>
      <c r="Q52" s="255"/>
      <c r="R52" s="260"/>
      <c r="S52" s="259"/>
      <c r="T52" s="260"/>
      <c r="U52" s="259"/>
      <c r="V52" s="259"/>
      <c r="W52" s="259"/>
      <c r="X52" s="255"/>
      <c r="Y52" s="259"/>
      <c r="Z52" s="259"/>
      <c r="AA52" s="259"/>
      <c r="AB52" s="259"/>
      <c r="AC52" s="259"/>
      <c r="AD52" s="259"/>
      <c r="AE52" s="259">
        <v>14.14876033057851</v>
      </c>
      <c r="AF52" s="260"/>
      <c r="AG52" s="255"/>
      <c r="AH52" s="259"/>
      <c r="AI52" s="255"/>
      <c r="AJ52" s="255"/>
      <c r="AK52" s="259"/>
      <c r="AL52" s="255"/>
      <c r="AM52" s="259"/>
      <c r="AN52" s="259"/>
      <c r="AO52" s="255" t="s">
        <v>697</v>
      </c>
      <c r="AP52" s="258" t="s">
        <v>547</v>
      </c>
      <c r="AQ52" s="258"/>
      <c r="AR52" s="258"/>
      <c r="AS52" s="262"/>
      <c r="AT52" s="258">
        <v>5.5</v>
      </c>
      <c r="AU52" s="258"/>
      <c r="AV52" s="258"/>
      <c r="AW52" s="258"/>
      <c r="AX52" s="258" t="s">
        <v>495</v>
      </c>
      <c r="AY52" s="255"/>
      <c r="AZ52" s="258">
        <v>0</v>
      </c>
      <c r="BA52" s="258">
        <v>5</v>
      </c>
      <c r="BB52" s="258">
        <v>0</v>
      </c>
      <c r="BC52" s="258">
        <v>0</v>
      </c>
      <c r="BD52" s="258">
        <v>0</v>
      </c>
      <c r="BE52" s="258">
        <v>0</v>
      </c>
      <c r="BF52" s="258">
        <v>0</v>
      </c>
      <c r="BG52" s="258">
        <v>0</v>
      </c>
      <c r="BH52" s="258">
        <v>0</v>
      </c>
      <c r="BI52" s="258">
        <v>0</v>
      </c>
      <c r="BJ52" s="258">
        <v>0</v>
      </c>
      <c r="BK52" s="258">
        <v>0</v>
      </c>
      <c r="BL52" s="258"/>
      <c r="BM52" s="258" t="s">
        <v>547</v>
      </c>
      <c r="BN52" s="258"/>
      <c r="BO52" s="258" t="s">
        <v>547</v>
      </c>
      <c r="BP52" s="263"/>
      <c r="BQ52" s="258"/>
      <c r="BR52" s="258"/>
      <c r="BS52" s="258"/>
      <c r="BT52" s="264"/>
      <c r="BU52" s="264"/>
      <c r="BV52" s="258"/>
      <c r="BW52" s="258" t="s">
        <v>646</v>
      </c>
      <c r="BX52" s="258"/>
      <c r="BY52" s="264"/>
      <c r="BZ52" s="308" t="s">
        <v>865</v>
      </c>
      <c r="CA52" s="264" t="s">
        <v>527</v>
      </c>
      <c r="CB52" s="118"/>
    </row>
  </sheetData>
  <sheetProtection algorithmName="SHA-512" hashValue="LCc074PfPu9tEKEe4muYoeEurdPPv/WqRl1wguXKkAw6XkoOzevAx1WmQCDXPF/9QQy3w91BC50R9Q+M1eQOXw==" saltValue="xVCJyS8/Mit8PIXwx3S03g==" spinCount="100000" sheet="1" objects="1" scenarios="1"/>
  <hyperlinks>
    <hyperlink ref="BZ18" r:id="rId1" xr:uid="{6E92CD03-6C63-6547-994B-5B1937137A8F}"/>
    <hyperlink ref="BZ16" r:id="rId2" display="https://uploads-ssl.webflow.com/5be398fec98f64eddec9df1c/5be398fec98f64c42cc9df5f_LCL711480MR_CZae.pdf" xr:uid="{38BBAA11-CBFC-8249-9A5A-73A8B46B626F}"/>
    <hyperlink ref="BZ43" r:id="rId3" xr:uid="{82558C7B-963F-C842-BD29-2D4B7F8935ED}"/>
    <hyperlink ref="BZ2" r:id="rId4" xr:uid="{A9B02D9E-1C03-8445-8437-F16CDDEC9068}"/>
    <hyperlink ref="BZ10" r:id="rId5" xr:uid="{927AC514-EC54-4A4E-8451-0B9B1AF5A31C}"/>
    <hyperlink ref="BZ51" r:id="rId6" xr:uid="{92B9E491-7B7A-1544-8AA3-D8CBDE1C4131}"/>
    <hyperlink ref="BZ20" r:id="rId7" xr:uid="{6C0BBA18-4B98-5C41-8585-F9DC862DE924}"/>
    <hyperlink ref="BZ9" r:id="rId8" xr:uid="{1FFCD234-A32D-7241-9D0F-B4A2102700ED}"/>
    <hyperlink ref="BZ17" r:id="rId9" xr:uid="{8DE46EA4-6B41-D74F-A0AB-C69F2602F0E9}"/>
  </hyperlinks>
  <pageMargins left="0.75" right="0.75" top="1" bottom="1" header="0.5" footer="0.5"/>
  <pageSetup paperSize="10" orientation="portrait" horizontalDpi="4294967292" verticalDpi="429496729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9E3C-1624-4C49-B9CF-DBF8AC46C65A}">
  <sheetPr codeName="Sheet12"/>
  <dimension ref="A1:CD50"/>
  <sheetViews>
    <sheetView topLeftCell="AB1" zoomScale="110" zoomScaleNormal="110" workbookViewId="0">
      <selection activeCell="AT2" sqref="AT2:AT26"/>
    </sheetView>
  </sheetViews>
  <sheetFormatPr baseColWidth="10" defaultRowHeight="13" customHeight="1" x14ac:dyDescent="0.15"/>
  <cols>
    <col min="1" max="10" width="10.83203125" style="156"/>
    <col min="11" max="11" width="17" style="156" bestFit="1" customWidth="1"/>
    <col min="12" max="12" width="19" style="156" bestFit="1" customWidth="1"/>
    <col min="13" max="40" width="10.83203125" style="156"/>
    <col min="41" max="41" width="13" style="156" bestFit="1" customWidth="1"/>
    <col min="42" max="67" width="10.83203125" style="156"/>
    <col min="68" max="68" width="11.6640625" style="156" customWidth="1"/>
    <col min="69" max="76" width="10.83203125" style="156"/>
    <col min="77" max="77" width="21.6640625" style="156" customWidth="1"/>
    <col min="78" max="16384" width="10.83203125" style="156"/>
  </cols>
  <sheetData>
    <row r="1" spans="1:82" s="249" customFormat="1" ht="13" customHeight="1" x14ac:dyDescent="0.15">
      <c r="A1" s="215" t="s">
        <v>343</v>
      </c>
      <c r="B1" s="216" t="s">
        <v>718</v>
      </c>
      <c r="C1" s="217" t="s">
        <v>719</v>
      </c>
      <c r="D1" s="218" t="s">
        <v>720</v>
      </c>
      <c r="E1" s="218" t="s">
        <v>721</v>
      </c>
      <c r="F1" s="218" t="s">
        <v>722</v>
      </c>
      <c r="G1" s="216" t="s">
        <v>723</v>
      </c>
      <c r="H1" s="219" t="s">
        <v>724</v>
      </c>
      <c r="I1" s="219" t="s">
        <v>725</v>
      </c>
      <c r="J1" s="219" t="s">
        <v>726</v>
      </c>
      <c r="K1" s="218" t="s">
        <v>231</v>
      </c>
      <c r="L1" s="220" t="s">
        <v>727</v>
      </c>
      <c r="M1" s="221" t="s">
        <v>233</v>
      </c>
      <c r="N1" s="222" t="s">
        <v>728</v>
      </c>
      <c r="O1" s="223" t="s">
        <v>235</v>
      </c>
      <c r="P1" s="223" t="s">
        <v>729</v>
      </c>
      <c r="Q1" s="222" t="s">
        <v>730</v>
      </c>
      <c r="R1" s="223" t="s">
        <v>731</v>
      </c>
      <c r="S1" s="222" t="s">
        <v>732</v>
      </c>
      <c r="T1" s="223" t="s">
        <v>733</v>
      </c>
      <c r="U1" s="222" t="s">
        <v>734</v>
      </c>
      <c r="V1" s="224" t="s">
        <v>735</v>
      </c>
      <c r="W1" s="225" t="s">
        <v>736</v>
      </c>
      <c r="X1" s="226" t="s">
        <v>737</v>
      </c>
      <c r="Y1" s="225" t="s">
        <v>738</v>
      </c>
      <c r="Z1" s="227" t="s">
        <v>739</v>
      </c>
      <c r="AA1" s="225" t="s">
        <v>740</v>
      </c>
      <c r="AB1" s="227" t="s">
        <v>741</v>
      </c>
      <c r="AC1" s="225" t="s">
        <v>742</v>
      </c>
      <c r="AD1" s="225" t="s">
        <v>743</v>
      </c>
      <c r="AE1" s="228" t="s">
        <v>744</v>
      </c>
      <c r="AF1" s="229" t="s">
        <v>745</v>
      </c>
      <c r="AG1" s="230" t="s">
        <v>746</v>
      </c>
      <c r="AH1" s="231" t="s">
        <v>747</v>
      </c>
      <c r="AI1" s="232" t="s">
        <v>748</v>
      </c>
      <c r="AJ1" s="232" t="s">
        <v>749</v>
      </c>
      <c r="AK1" s="231" t="s">
        <v>750</v>
      </c>
      <c r="AL1" s="233" t="s">
        <v>751</v>
      </c>
      <c r="AM1" s="234" t="s">
        <v>752</v>
      </c>
      <c r="AN1" s="234" t="s">
        <v>753</v>
      </c>
      <c r="AO1" s="235" t="s">
        <v>754</v>
      </c>
      <c r="AP1" s="236" t="s">
        <v>755</v>
      </c>
      <c r="AQ1" s="236" t="s">
        <v>756</v>
      </c>
      <c r="AR1" s="237" t="s">
        <v>757</v>
      </c>
      <c r="AS1" s="238" t="s">
        <v>758</v>
      </c>
      <c r="AT1" s="239" t="s">
        <v>759</v>
      </c>
      <c r="AU1" s="240" t="s">
        <v>760</v>
      </c>
      <c r="AV1" s="240" t="s">
        <v>761</v>
      </c>
      <c r="AW1" s="240" t="s">
        <v>762</v>
      </c>
      <c r="AX1" s="241" t="s">
        <v>763</v>
      </c>
      <c r="AY1" s="242" t="s">
        <v>764</v>
      </c>
      <c r="AZ1" s="243" t="s">
        <v>765</v>
      </c>
      <c r="BA1" s="244" t="s">
        <v>766</v>
      </c>
      <c r="BB1" s="243" t="s">
        <v>767</v>
      </c>
      <c r="BC1" s="244" t="s">
        <v>768</v>
      </c>
      <c r="BD1" s="243" t="s">
        <v>769</v>
      </c>
      <c r="BE1" s="244" t="s">
        <v>770</v>
      </c>
      <c r="BF1" s="245" t="s">
        <v>771</v>
      </c>
      <c r="BG1" s="246" t="s">
        <v>772</v>
      </c>
      <c r="BH1" s="245" t="s">
        <v>453</v>
      </c>
      <c r="BI1" s="246" t="s">
        <v>454</v>
      </c>
      <c r="BJ1" s="243" t="s">
        <v>773</v>
      </c>
      <c r="BK1" s="247" t="s">
        <v>774</v>
      </c>
      <c r="BL1" s="219" t="s">
        <v>775</v>
      </c>
      <c r="BM1" s="219" t="s">
        <v>776</v>
      </c>
      <c r="BN1" s="219" t="s">
        <v>777</v>
      </c>
      <c r="BO1" s="219" t="s">
        <v>778</v>
      </c>
      <c r="BP1" s="248" t="s">
        <v>779</v>
      </c>
      <c r="BQ1" s="219" t="s">
        <v>456</v>
      </c>
      <c r="BR1" s="219" t="s">
        <v>457</v>
      </c>
      <c r="BS1" s="219" t="s">
        <v>458</v>
      </c>
      <c r="BT1" s="217" t="s">
        <v>780</v>
      </c>
      <c r="BU1" s="217" t="s">
        <v>781</v>
      </c>
      <c r="BV1" s="219" t="s">
        <v>782</v>
      </c>
      <c r="BW1" s="219" t="s">
        <v>783</v>
      </c>
      <c r="BX1" s="219" t="s">
        <v>784</v>
      </c>
      <c r="BY1" s="217" t="s">
        <v>785</v>
      </c>
      <c r="BZ1" s="219" t="s">
        <v>786</v>
      </c>
      <c r="CA1" s="216" t="s">
        <v>787</v>
      </c>
    </row>
    <row r="2" spans="1:82" ht="13" customHeight="1" x14ac:dyDescent="0.15">
      <c r="A2" s="157">
        <v>10816</v>
      </c>
      <c r="B2" s="253">
        <v>42566</v>
      </c>
      <c r="C2" s="158" t="s">
        <v>641</v>
      </c>
      <c r="D2" s="159" t="s">
        <v>534</v>
      </c>
      <c r="E2" s="160"/>
      <c r="F2" s="159" t="s">
        <v>642</v>
      </c>
      <c r="G2" s="253">
        <v>42551</v>
      </c>
      <c r="H2" s="161" t="s">
        <v>507</v>
      </c>
      <c r="I2" s="161" t="s">
        <v>508</v>
      </c>
      <c r="J2" s="161"/>
      <c r="K2" s="159" t="s">
        <v>138</v>
      </c>
      <c r="L2" s="159" t="s">
        <v>643</v>
      </c>
      <c r="M2" s="162">
        <v>80.999999999999986</v>
      </c>
      <c r="N2" s="162">
        <v>36.709090909090911</v>
      </c>
      <c r="O2" s="159"/>
      <c r="P2" s="163"/>
      <c r="Q2" s="162" t="s">
        <v>644</v>
      </c>
      <c r="R2" s="163"/>
      <c r="S2" s="162"/>
      <c r="T2" s="163"/>
      <c r="U2" s="162"/>
      <c r="V2" s="159"/>
      <c r="W2" s="159"/>
      <c r="X2" s="159"/>
      <c r="Y2" s="159"/>
      <c r="Z2" s="163"/>
      <c r="AA2" s="159"/>
      <c r="AB2" s="163"/>
      <c r="AC2" s="159"/>
      <c r="AD2" s="159"/>
      <c r="AE2" s="159" t="s">
        <v>644</v>
      </c>
      <c r="AF2" s="163" t="s">
        <v>644</v>
      </c>
      <c r="AG2" s="159" t="s">
        <v>644</v>
      </c>
      <c r="AH2" s="159" t="s">
        <v>644</v>
      </c>
      <c r="AI2" s="159" t="s">
        <v>644</v>
      </c>
      <c r="AJ2" s="159" t="s">
        <v>644</v>
      </c>
      <c r="AK2" s="159" t="s">
        <v>644</v>
      </c>
      <c r="AL2" s="159" t="s">
        <v>644</v>
      </c>
      <c r="AM2" s="159" t="s">
        <v>644</v>
      </c>
      <c r="AN2" s="159" t="s">
        <v>644</v>
      </c>
      <c r="AO2" s="159" t="s">
        <v>645</v>
      </c>
      <c r="AP2" s="161" t="s">
        <v>547</v>
      </c>
      <c r="AQ2" s="161"/>
      <c r="AR2" s="161"/>
      <c r="AS2" s="164"/>
      <c r="AT2" s="161">
        <v>18</v>
      </c>
      <c r="AU2" s="161"/>
      <c r="AV2" s="161"/>
      <c r="AW2" s="161"/>
      <c r="AX2" s="161" t="s">
        <v>495</v>
      </c>
      <c r="AY2" s="159"/>
      <c r="AZ2" s="161">
        <v>0</v>
      </c>
      <c r="BA2" s="161">
        <v>0</v>
      </c>
      <c r="BB2" s="161">
        <v>0</v>
      </c>
      <c r="BC2" s="161">
        <v>0</v>
      </c>
      <c r="BD2" s="161">
        <v>0</v>
      </c>
      <c r="BE2" s="161">
        <v>0</v>
      </c>
      <c r="BF2" s="161">
        <v>0</v>
      </c>
      <c r="BG2" s="161">
        <v>0</v>
      </c>
      <c r="BH2" s="161">
        <v>0</v>
      </c>
      <c r="BI2" s="161">
        <v>0</v>
      </c>
      <c r="BJ2" s="161">
        <v>0</v>
      </c>
      <c r="BK2" s="161">
        <v>0</v>
      </c>
      <c r="BL2" s="161"/>
      <c r="BM2" s="161" t="s">
        <v>547</v>
      </c>
      <c r="BN2" s="161">
        <v>12</v>
      </c>
      <c r="BO2" s="161" t="s">
        <v>547</v>
      </c>
      <c r="BP2" s="161"/>
      <c r="BQ2" s="161"/>
      <c r="BR2" s="161"/>
      <c r="BS2" s="161"/>
      <c r="BT2" s="159"/>
      <c r="BU2" s="165"/>
      <c r="BV2" s="161"/>
      <c r="BW2" s="161" t="s">
        <v>646</v>
      </c>
      <c r="BX2" s="165"/>
      <c r="BZ2" s="166" t="s">
        <v>647</v>
      </c>
      <c r="CA2" s="156" t="s">
        <v>56</v>
      </c>
    </row>
    <row r="3" spans="1:82" ht="13" customHeight="1" x14ac:dyDescent="0.15">
      <c r="A3" s="157">
        <v>10486</v>
      </c>
      <c r="B3" s="253">
        <v>42567</v>
      </c>
      <c r="C3" s="158" t="s">
        <v>641</v>
      </c>
      <c r="D3" s="159" t="s">
        <v>534</v>
      </c>
      <c r="E3" s="160"/>
      <c r="F3" s="159" t="s">
        <v>642</v>
      </c>
      <c r="G3" s="254">
        <v>42567</v>
      </c>
      <c r="H3" s="161" t="s">
        <v>507</v>
      </c>
      <c r="I3" s="161" t="s">
        <v>547</v>
      </c>
      <c r="J3" s="161"/>
      <c r="K3" s="159" t="s">
        <v>139</v>
      </c>
      <c r="L3" s="159" t="s">
        <v>545</v>
      </c>
      <c r="M3" s="162">
        <v>83</v>
      </c>
      <c r="N3" s="162">
        <v>30.154545454545453</v>
      </c>
      <c r="O3" s="159" t="s">
        <v>648</v>
      </c>
      <c r="P3" s="163">
        <v>300</v>
      </c>
      <c r="Q3" s="162">
        <v>33.590909090909093</v>
      </c>
      <c r="R3" s="163"/>
      <c r="S3" s="162"/>
      <c r="T3" s="163"/>
      <c r="U3" s="162"/>
      <c r="V3" s="159"/>
      <c r="W3" s="159"/>
      <c r="X3" s="159"/>
      <c r="Y3" s="159"/>
      <c r="Z3" s="159"/>
      <c r="AA3" s="159"/>
      <c r="AB3" s="159"/>
      <c r="AC3" s="159"/>
      <c r="AD3" s="159"/>
      <c r="AE3" s="159" t="s">
        <v>644</v>
      </c>
      <c r="AF3" s="163" t="s">
        <v>644</v>
      </c>
      <c r="AG3" s="159" t="s">
        <v>644</v>
      </c>
      <c r="AH3" s="159" t="s">
        <v>644</v>
      </c>
      <c r="AI3" s="159" t="s">
        <v>644</v>
      </c>
      <c r="AJ3" s="159" t="s">
        <v>644</v>
      </c>
      <c r="AK3" s="159" t="s">
        <v>644</v>
      </c>
      <c r="AL3" s="159" t="s">
        <v>644</v>
      </c>
      <c r="AM3" s="159" t="s">
        <v>644</v>
      </c>
      <c r="AN3" s="159" t="s">
        <v>644</v>
      </c>
      <c r="AO3" s="159" t="s">
        <v>645</v>
      </c>
      <c r="AP3" s="161" t="s">
        <v>547</v>
      </c>
      <c r="AQ3" s="161"/>
      <c r="AR3" s="161"/>
      <c r="AS3" s="164"/>
      <c r="AT3" s="161">
        <v>9.5</v>
      </c>
      <c r="AU3" s="161"/>
      <c r="AV3" s="161"/>
      <c r="AW3" s="161"/>
      <c r="AX3" s="161" t="s">
        <v>547</v>
      </c>
      <c r="AY3" s="159"/>
      <c r="AZ3" s="161">
        <v>0</v>
      </c>
      <c r="BA3" s="161">
        <v>0</v>
      </c>
      <c r="BB3" s="161">
        <v>0</v>
      </c>
      <c r="BC3" s="161">
        <v>0</v>
      </c>
      <c r="BD3" s="161">
        <v>0</v>
      </c>
      <c r="BE3" s="161">
        <v>0</v>
      </c>
      <c r="BF3" s="161">
        <v>0</v>
      </c>
      <c r="BG3" s="161">
        <v>0</v>
      </c>
      <c r="BH3" s="161">
        <v>0</v>
      </c>
      <c r="BI3" s="161">
        <v>0</v>
      </c>
      <c r="BJ3" s="161">
        <v>0</v>
      </c>
      <c r="BK3" s="161">
        <v>0</v>
      </c>
      <c r="BL3" s="161"/>
      <c r="BM3" s="161" t="s">
        <v>547</v>
      </c>
      <c r="BN3" s="161"/>
      <c r="BO3" s="161" t="s">
        <v>547</v>
      </c>
      <c r="BP3" s="161"/>
      <c r="BQ3" s="161"/>
      <c r="BR3" s="161"/>
      <c r="BS3" s="161"/>
      <c r="BT3" s="159"/>
      <c r="BU3" s="159"/>
      <c r="BV3" s="161"/>
      <c r="BW3" s="161" t="s">
        <v>646</v>
      </c>
      <c r="BX3" s="159">
        <v>1</v>
      </c>
      <c r="BZ3" s="156" t="s">
        <v>649</v>
      </c>
      <c r="CA3" s="156" t="s">
        <v>90</v>
      </c>
    </row>
    <row r="4" spans="1:82" ht="13" customHeight="1" x14ac:dyDescent="0.2">
      <c r="A4" s="157">
        <v>13046</v>
      </c>
      <c r="B4" s="253">
        <v>42566</v>
      </c>
      <c r="C4" s="158" t="s">
        <v>641</v>
      </c>
      <c r="D4" s="159" t="s">
        <v>534</v>
      </c>
      <c r="E4" s="160"/>
      <c r="F4" s="159" t="s">
        <v>642</v>
      </c>
      <c r="G4" s="253">
        <v>42551</v>
      </c>
      <c r="H4" s="161" t="s">
        <v>507</v>
      </c>
      <c r="I4" s="161" t="s">
        <v>547</v>
      </c>
      <c r="J4" s="161"/>
      <c r="K4" s="159" t="s">
        <v>140</v>
      </c>
      <c r="L4" s="159" t="s">
        <v>650</v>
      </c>
      <c r="M4" s="162">
        <v>92.399999999999991</v>
      </c>
      <c r="N4" s="162">
        <v>33.200000000000003</v>
      </c>
      <c r="O4" s="159"/>
      <c r="P4" s="163"/>
      <c r="Q4" s="162" t="s">
        <v>644</v>
      </c>
      <c r="R4" s="163"/>
      <c r="S4" s="162"/>
      <c r="T4" s="163"/>
      <c r="U4" s="162"/>
      <c r="V4" s="162"/>
      <c r="W4" s="162"/>
      <c r="X4" s="162"/>
      <c r="Y4" s="162"/>
      <c r="Z4" s="162"/>
      <c r="AA4" s="162"/>
      <c r="AB4" s="162"/>
      <c r="AC4" s="162"/>
      <c r="AD4" s="162"/>
      <c r="AE4" s="162" t="s">
        <v>644</v>
      </c>
      <c r="AF4" s="162" t="s">
        <v>644</v>
      </c>
      <c r="AG4" s="162" t="s">
        <v>644</v>
      </c>
      <c r="AH4" s="162" t="s">
        <v>644</v>
      </c>
      <c r="AI4" s="162" t="s">
        <v>644</v>
      </c>
      <c r="AJ4" s="162" t="s">
        <v>644</v>
      </c>
      <c r="AK4" s="162" t="s">
        <v>644</v>
      </c>
      <c r="AL4" s="159" t="s">
        <v>644</v>
      </c>
      <c r="AM4" s="162" t="s">
        <v>644</v>
      </c>
      <c r="AN4" s="162" t="s">
        <v>644</v>
      </c>
      <c r="AO4" s="159" t="s">
        <v>645</v>
      </c>
      <c r="AP4" s="161" t="s">
        <v>547</v>
      </c>
      <c r="AQ4" s="161"/>
      <c r="AR4" s="161"/>
      <c r="AS4" s="164"/>
      <c r="AT4" s="161">
        <v>17</v>
      </c>
      <c r="AU4" s="161"/>
      <c r="AV4" s="161"/>
      <c r="AW4" s="161"/>
      <c r="AX4" s="161" t="s">
        <v>547</v>
      </c>
      <c r="AY4" s="159"/>
      <c r="AZ4" s="161">
        <v>0</v>
      </c>
      <c r="BA4" s="161">
        <v>0</v>
      </c>
      <c r="BB4" s="161">
        <v>0</v>
      </c>
      <c r="BC4" s="161">
        <v>0</v>
      </c>
      <c r="BD4" s="161">
        <v>0</v>
      </c>
      <c r="BE4" s="161">
        <v>0</v>
      </c>
      <c r="BF4" s="161">
        <v>0</v>
      </c>
      <c r="BG4" s="161">
        <v>0</v>
      </c>
      <c r="BH4" s="161">
        <v>0</v>
      </c>
      <c r="BI4" s="161">
        <v>0</v>
      </c>
      <c r="BJ4" s="161">
        <v>0</v>
      </c>
      <c r="BK4" s="161">
        <v>0</v>
      </c>
      <c r="BL4" s="161"/>
      <c r="BM4" s="161" t="s">
        <v>547</v>
      </c>
      <c r="BN4" s="161"/>
      <c r="BO4" s="161" t="s">
        <v>547</v>
      </c>
      <c r="BP4" s="161"/>
      <c r="BQ4" s="161"/>
      <c r="BR4" s="161"/>
      <c r="BS4" s="161"/>
      <c r="BT4" s="167"/>
      <c r="BU4" s="167"/>
      <c r="BV4" s="161"/>
      <c r="BW4" s="161" t="s">
        <v>646</v>
      </c>
      <c r="BX4" s="159">
        <v>1</v>
      </c>
      <c r="BY4" s="149" t="s">
        <v>651</v>
      </c>
      <c r="BZ4" s="156" t="s">
        <v>652</v>
      </c>
      <c r="CA4" s="156" t="s">
        <v>56</v>
      </c>
    </row>
    <row r="5" spans="1:82" ht="13" customHeight="1" x14ac:dyDescent="0.15">
      <c r="A5" s="157">
        <v>958</v>
      </c>
      <c r="B5" s="253">
        <v>42567</v>
      </c>
      <c r="C5" s="158" t="s">
        <v>641</v>
      </c>
      <c r="D5" s="159" t="s">
        <v>534</v>
      </c>
      <c r="E5" s="160"/>
      <c r="F5" s="159" t="s">
        <v>642</v>
      </c>
      <c r="G5" s="253">
        <v>42551</v>
      </c>
      <c r="H5" s="161" t="s">
        <v>507</v>
      </c>
      <c r="I5" s="161" t="s">
        <v>547</v>
      </c>
      <c r="J5" s="161"/>
      <c r="K5" s="159" t="s">
        <v>141</v>
      </c>
      <c r="L5" s="159" t="s">
        <v>609</v>
      </c>
      <c r="M5" s="162">
        <v>88.8</v>
      </c>
      <c r="N5" s="162">
        <v>32.409090909090907</v>
      </c>
      <c r="O5" s="159" t="s">
        <v>648</v>
      </c>
      <c r="P5" s="163">
        <v>1000</v>
      </c>
      <c r="Q5" s="162">
        <v>33.25454545454545</v>
      </c>
      <c r="R5" s="168"/>
      <c r="S5" s="169"/>
      <c r="T5" s="168"/>
      <c r="U5" s="162"/>
      <c r="V5" s="159"/>
      <c r="W5" s="159"/>
      <c r="X5" s="159"/>
      <c r="Y5" s="159"/>
      <c r="Z5" s="159"/>
      <c r="AA5" s="159"/>
      <c r="AB5" s="159"/>
      <c r="AC5" s="159"/>
      <c r="AD5" s="159"/>
      <c r="AE5" s="159" t="s">
        <v>644</v>
      </c>
      <c r="AF5" s="163" t="s">
        <v>644</v>
      </c>
      <c r="AG5" s="159" t="s">
        <v>644</v>
      </c>
      <c r="AH5" s="159" t="s">
        <v>644</v>
      </c>
      <c r="AI5" s="159" t="s">
        <v>644</v>
      </c>
      <c r="AJ5" s="159" t="s">
        <v>644</v>
      </c>
      <c r="AK5" s="159" t="s">
        <v>644</v>
      </c>
      <c r="AL5" s="159" t="s">
        <v>644</v>
      </c>
      <c r="AM5" s="159" t="s">
        <v>644</v>
      </c>
      <c r="AN5" s="159" t="s">
        <v>644</v>
      </c>
      <c r="AO5" s="159" t="s">
        <v>645</v>
      </c>
      <c r="AP5" s="161" t="s">
        <v>547</v>
      </c>
      <c r="AQ5" s="161"/>
      <c r="AR5" s="161"/>
      <c r="AS5" s="164"/>
      <c r="AT5" s="161">
        <v>11.6</v>
      </c>
      <c r="AU5" s="161"/>
      <c r="AV5" s="161"/>
      <c r="AW5" s="161"/>
      <c r="AX5" s="161" t="s">
        <v>547</v>
      </c>
      <c r="AY5" s="159"/>
      <c r="AZ5" s="161">
        <v>0</v>
      </c>
      <c r="BA5" s="161">
        <v>0</v>
      </c>
      <c r="BB5" s="161">
        <v>0</v>
      </c>
      <c r="BC5" s="161">
        <v>0</v>
      </c>
      <c r="BD5" s="161">
        <v>0</v>
      </c>
      <c r="BE5" s="161">
        <v>0</v>
      </c>
      <c r="BF5" s="161">
        <v>0</v>
      </c>
      <c r="BG5" s="161">
        <v>0</v>
      </c>
      <c r="BH5" s="161">
        <v>0</v>
      </c>
      <c r="BI5" s="161">
        <v>0</v>
      </c>
      <c r="BJ5" s="161">
        <v>0</v>
      </c>
      <c r="BK5" s="161">
        <v>0</v>
      </c>
      <c r="BL5" s="161"/>
      <c r="BM5" s="161" t="s">
        <v>547</v>
      </c>
      <c r="BN5" s="161"/>
      <c r="BO5" s="161" t="s">
        <v>547</v>
      </c>
      <c r="BP5" s="161"/>
      <c r="BQ5" s="161"/>
      <c r="BR5" s="161"/>
      <c r="BS5" s="161"/>
      <c r="BT5" s="165"/>
      <c r="BU5" s="159"/>
      <c r="BV5" s="161"/>
      <c r="BW5" s="161" t="s">
        <v>646</v>
      </c>
      <c r="BX5" s="159"/>
      <c r="BY5" s="149"/>
      <c r="BZ5" s="166" t="s">
        <v>653</v>
      </c>
      <c r="CA5" s="156" t="s">
        <v>90</v>
      </c>
    </row>
    <row r="6" spans="1:82" ht="13" customHeight="1" x14ac:dyDescent="0.15">
      <c r="A6" s="157">
        <v>11088</v>
      </c>
      <c r="B6" s="253">
        <v>42567</v>
      </c>
      <c r="C6" s="158" t="s">
        <v>641</v>
      </c>
      <c r="D6" s="159" t="s">
        <v>534</v>
      </c>
      <c r="E6" s="160"/>
      <c r="F6" s="159" t="s">
        <v>642</v>
      </c>
      <c r="G6" s="254">
        <v>42494</v>
      </c>
      <c r="H6" s="161" t="s">
        <v>507</v>
      </c>
      <c r="I6" s="161" t="s">
        <v>547</v>
      </c>
      <c r="J6" s="161"/>
      <c r="K6" s="159" t="s">
        <v>142</v>
      </c>
      <c r="L6" s="159" t="s">
        <v>788</v>
      </c>
      <c r="M6" s="162">
        <v>86.95</v>
      </c>
      <c r="N6" s="162">
        <v>33.26</v>
      </c>
      <c r="O6" s="159" t="s">
        <v>648</v>
      </c>
      <c r="P6" s="163">
        <v>300</v>
      </c>
      <c r="Q6" s="162">
        <v>35.89</v>
      </c>
      <c r="R6" s="163">
        <v>700</v>
      </c>
      <c r="S6" s="162">
        <v>38.950000000000003</v>
      </c>
      <c r="T6" s="163">
        <v>1500</v>
      </c>
      <c r="U6" s="159">
        <v>39.869999999999997</v>
      </c>
      <c r="V6" s="159"/>
      <c r="W6" s="159"/>
      <c r="X6" s="159"/>
      <c r="Y6" s="159"/>
      <c r="Z6" s="159"/>
      <c r="AA6" s="159"/>
      <c r="AB6" s="159"/>
      <c r="AC6" s="159"/>
      <c r="AD6" s="159"/>
      <c r="AE6" s="159" t="s">
        <v>644</v>
      </c>
      <c r="AF6" s="163" t="s">
        <v>644</v>
      </c>
      <c r="AG6" s="159" t="s">
        <v>644</v>
      </c>
      <c r="AH6" s="159" t="s">
        <v>644</v>
      </c>
      <c r="AI6" s="159" t="s">
        <v>644</v>
      </c>
      <c r="AJ6" s="159" t="s">
        <v>644</v>
      </c>
      <c r="AK6" s="159" t="s">
        <v>644</v>
      </c>
      <c r="AL6" s="159" t="s">
        <v>644</v>
      </c>
      <c r="AM6" s="159" t="s">
        <v>644</v>
      </c>
      <c r="AN6" s="159" t="s">
        <v>644</v>
      </c>
      <c r="AO6" s="159" t="s">
        <v>645</v>
      </c>
      <c r="AP6" s="161" t="s">
        <v>547</v>
      </c>
      <c r="AQ6" s="161"/>
      <c r="AR6" s="161"/>
      <c r="AS6" s="164">
        <v>10</v>
      </c>
      <c r="AT6" s="161">
        <v>12</v>
      </c>
      <c r="AU6" s="161"/>
      <c r="AV6" s="161"/>
      <c r="AW6" s="161"/>
      <c r="AX6" s="161" t="s">
        <v>547</v>
      </c>
      <c r="AY6" s="159"/>
      <c r="AZ6" s="161">
        <v>0</v>
      </c>
      <c r="BA6" s="161">
        <v>0</v>
      </c>
      <c r="BB6" s="161">
        <v>7</v>
      </c>
      <c r="BC6" s="161">
        <v>0</v>
      </c>
      <c r="BD6" s="161">
        <v>0</v>
      </c>
      <c r="BE6" s="161">
        <v>0</v>
      </c>
      <c r="BF6" s="161">
        <v>0</v>
      </c>
      <c r="BG6" s="161">
        <v>0</v>
      </c>
      <c r="BH6" s="161">
        <v>0</v>
      </c>
      <c r="BI6" s="161">
        <v>0</v>
      </c>
      <c r="BJ6" s="161">
        <v>0</v>
      </c>
      <c r="BK6" s="161">
        <v>0</v>
      </c>
      <c r="BL6" s="161"/>
      <c r="BM6" s="161" t="s">
        <v>547</v>
      </c>
      <c r="BN6" s="161"/>
      <c r="BO6" s="161" t="s">
        <v>547</v>
      </c>
      <c r="BP6" s="161"/>
      <c r="BQ6" s="161"/>
      <c r="BR6" s="161"/>
      <c r="BS6" s="161"/>
      <c r="BT6" s="159"/>
      <c r="BU6" s="159"/>
      <c r="BV6" s="161"/>
      <c r="BW6" s="161" t="s">
        <v>646</v>
      </c>
      <c r="BX6" s="159"/>
      <c r="BZ6" s="166" t="s">
        <v>654</v>
      </c>
      <c r="CA6" s="156" t="s">
        <v>90</v>
      </c>
      <c r="CD6" s="162"/>
    </row>
    <row r="7" spans="1:82" ht="13" customHeight="1" x14ac:dyDescent="0.15">
      <c r="A7" s="157">
        <v>962</v>
      </c>
      <c r="B7" s="253">
        <v>42566</v>
      </c>
      <c r="C7" s="158" t="s">
        <v>641</v>
      </c>
      <c r="D7" s="159" t="s">
        <v>534</v>
      </c>
      <c r="E7" s="160"/>
      <c r="F7" s="159" t="s">
        <v>642</v>
      </c>
      <c r="G7" s="253">
        <v>42551</v>
      </c>
      <c r="H7" s="161" t="s">
        <v>507</v>
      </c>
      <c r="I7" s="161" t="s">
        <v>547</v>
      </c>
      <c r="J7" s="161"/>
      <c r="K7" s="159" t="s">
        <v>143</v>
      </c>
      <c r="L7" s="159" t="s">
        <v>609</v>
      </c>
      <c r="M7" s="162">
        <v>88.8</v>
      </c>
      <c r="N7" s="162">
        <v>32.409090909090907</v>
      </c>
      <c r="O7" s="159" t="s">
        <v>648</v>
      </c>
      <c r="P7" s="163">
        <v>1000</v>
      </c>
      <c r="Q7" s="162">
        <v>33.25454545454545</v>
      </c>
      <c r="R7" s="168"/>
      <c r="S7" s="169"/>
      <c r="T7" s="168"/>
      <c r="U7" s="162"/>
      <c r="V7" s="159"/>
      <c r="W7" s="159"/>
      <c r="X7" s="159"/>
      <c r="Y7" s="159"/>
      <c r="Z7" s="159"/>
      <c r="AA7" s="159"/>
      <c r="AB7" s="159"/>
      <c r="AC7" s="159"/>
      <c r="AD7" s="159"/>
      <c r="AE7" s="159" t="s">
        <v>644</v>
      </c>
      <c r="AF7" s="163" t="s">
        <v>644</v>
      </c>
      <c r="AG7" s="159" t="s">
        <v>644</v>
      </c>
      <c r="AH7" s="159" t="s">
        <v>644</v>
      </c>
      <c r="AI7" s="159" t="s">
        <v>644</v>
      </c>
      <c r="AJ7" s="159" t="s">
        <v>644</v>
      </c>
      <c r="AK7" s="159" t="s">
        <v>644</v>
      </c>
      <c r="AL7" s="159" t="s">
        <v>644</v>
      </c>
      <c r="AM7" s="159" t="s">
        <v>644</v>
      </c>
      <c r="AN7" s="159" t="s">
        <v>644</v>
      </c>
      <c r="AO7" s="159" t="s">
        <v>645</v>
      </c>
      <c r="AP7" s="161" t="s">
        <v>547</v>
      </c>
      <c r="AQ7" s="161"/>
      <c r="AR7" s="161"/>
      <c r="AS7" s="164"/>
      <c r="AT7" s="161">
        <v>11.6</v>
      </c>
      <c r="AU7" s="161"/>
      <c r="AV7" s="161"/>
      <c r="AW7" s="161"/>
      <c r="AX7" s="161" t="s">
        <v>495</v>
      </c>
      <c r="AY7" s="159"/>
      <c r="AZ7" s="161">
        <v>0</v>
      </c>
      <c r="BA7" s="161">
        <v>0</v>
      </c>
      <c r="BB7" s="161">
        <v>0</v>
      </c>
      <c r="BC7" s="161">
        <v>0</v>
      </c>
      <c r="BD7" s="161">
        <v>0</v>
      </c>
      <c r="BE7" s="161">
        <v>0</v>
      </c>
      <c r="BF7" s="161">
        <v>0</v>
      </c>
      <c r="BG7" s="161">
        <v>0</v>
      </c>
      <c r="BH7" s="161">
        <v>0</v>
      </c>
      <c r="BI7" s="161">
        <v>0</v>
      </c>
      <c r="BJ7" s="161">
        <v>0</v>
      </c>
      <c r="BK7" s="161">
        <v>0</v>
      </c>
      <c r="BL7" s="161"/>
      <c r="BM7" s="161" t="s">
        <v>547</v>
      </c>
      <c r="BN7" s="161"/>
      <c r="BO7" s="161" t="s">
        <v>547</v>
      </c>
      <c r="BP7" s="161"/>
      <c r="BQ7" s="161"/>
      <c r="BR7" s="161"/>
      <c r="BS7" s="161"/>
      <c r="BT7" s="159"/>
      <c r="BU7" s="159"/>
      <c r="BV7" s="161"/>
      <c r="BW7" s="161" t="s">
        <v>646</v>
      </c>
      <c r="BX7" s="159"/>
      <c r="BZ7" s="166" t="s">
        <v>655</v>
      </c>
      <c r="CA7" s="156" t="s">
        <v>56</v>
      </c>
    </row>
    <row r="8" spans="1:82" ht="13" customHeight="1" x14ac:dyDescent="0.15">
      <c r="A8" s="157">
        <v>10289</v>
      </c>
      <c r="B8" s="253">
        <v>42566</v>
      </c>
      <c r="C8" s="158" t="s">
        <v>641</v>
      </c>
      <c r="D8" s="159" t="s">
        <v>534</v>
      </c>
      <c r="E8" s="160"/>
      <c r="F8" s="159" t="s">
        <v>642</v>
      </c>
      <c r="G8" s="253">
        <v>42551</v>
      </c>
      <c r="H8" s="161" t="s">
        <v>507</v>
      </c>
      <c r="I8" s="161" t="s">
        <v>547</v>
      </c>
      <c r="J8" s="161"/>
      <c r="K8" s="159" t="s">
        <v>144</v>
      </c>
      <c r="L8" s="159" t="s">
        <v>618</v>
      </c>
      <c r="M8" s="162">
        <v>77.999999999999986</v>
      </c>
      <c r="N8" s="162">
        <v>34.518181818181816</v>
      </c>
      <c r="O8" s="159"/>
      <c r="P8" s="163"/>
      <c r="Q8" s="162" t="s">
        <v>644</v>
      </c>
      <c r="R8" s="169"/>
      <c r="S8" s="169"/>
      <c r="T8" s="169"/>
      <c r="U8" s="162"/>
      <c r="V8" s="159"/>
      <c r="W8" s="159"/>
      <c r="X8" s="163"/>
      <c r="Y8" s="159"/>
      <c r="Z8" s="163"/>
      <c r="AA8" s="159"/>
      <c r="AB8" s="163"/>
      <c r="AC8" s="159"/>
      <c r="AD8" s="159"/>
      <c r="AE8" s="159" t="s">
        <v>644</v>
      </c>
      <c r="AF8" s="163" t="s">
        <v>644</v>
      </c>
      <c r="AG8" s="159" t="s">
        <v>644</v>
      </c>
      <c r="AH8" s="159" t="s">
        <v>644</v>
      </c>
      <c r="AI8" s="159" t="s">
        <v>644</v>
      </c>
      <c r="AJ8" s="159" t="s">
        <v>644</v>
      </c>
      <c r="AK8" s="159" t="s">
        <v>644</v>
      </c>
      <c r="AL8" s="159" t="s">
        <v>644</v>
      </c>
      <c r="AM8" s="159" t="s">
        <v>644</v>
      </c>
      <c r="AN8" s="159" t="s">
        <v>644</v>
      </c>
      <c r="AO8" s="159" t="s">
        <v>645</v>
      </c>
      <c r="AP8" s="161" t="s">
        <v>547</v>
      </c>
      <c r="AQ8" s="161"/>
      <c r="AR8" s="161"/>
      <c r="AS8" s="164"/>
      <c r="AT8" s="161">
        <v>11.5</v>
      </c>
      <c r="AU8" s="161"/>
      <c r="AV8" s="161"/>
      <c r="AW8" s="161"/>
      <c r="AX8" s="161" t="s">
        <v>495</v>
      </c>
      <c r="AY8" s="159"/>
      <c r="AZ8" s="161">
        <v>6</v>
      </c>
      <c r="BA8" s="161">
        <v>0</v>
      </c>
      <c r="BB8" s="161">
        <v>0</v>
      </c>
      <c r="BC8" s="161">
        <v>0</v>
      </c>
      <c r="BD8" s="161">
        <v>0</v>
      </c>
      <c r="BE8" s="161">
        <v>0</v>
      </c>
      <c r="BF8" s="161">
        <v>0</v>
      </c>
      <c r="BG8" s="161">
        <v>0</v>
      </c>
      <c r="BH8" s="161">
        <v>0</v>
      </c>
      <c r="BI8" s="161">
        <v>0</v>
      </c>
      <c r="BJ8" s="161">
        <v>0</v>
      </c>
      <c r="BK8" s="161">
        <v>0</v>
      </c>
      <c r="BL8" s="161"/>
      <c r="BM8" s="161" t="s">
        <v>547</v>
      </c>
      <c r="BN8" s="161">
        <v>12</v>
      </c>
      <c r="BO8" s="161" t="s">
        <v>547</v>
      </c>
      <c r="BP8" s="161"/>
      <c r="BQ8" s="161"/>
      <c r="BR8" s="161">
        <v>12</v>
      </c>
      <c r="BS8" s="161"/>
      <c r="BT8" s="159"/>
      <c r="BU8" s="159"/>
      <c r="BV8" s="161"/>
      <c r="BW8" s="161" t="s">
        <v>646</v>
      </c>
      <c r="BX8" s="159"/>
      <c r="BZ8" s="166" t="s">
        <v>656</v>
      </c>
      <c r="CA8" s="156" t="s">
        <v>56</v>
      </c>
    </row>
    <row r="9" spans="1:82" ht="13" customHeight="1" x14ac:dyDescent="0.15">
      <c r="A9" s="157">
        <v>11895</v>
      </c>
      <c r="B9" s="253">
        <v>42566</v>
      </c>
      <c r="C9" s="158" t="s">
        <v>641</v>
      </c>
      <c r="D9" s="159" t="s">
        <v>534</v>
      </c>
      <c r="E9" s="160"/>
      <c r="F9" s="159" t="s">
        <v>642</v>
      </c>
      <c r="G9" s="254">
        <v>42551</v>
      </c>
      <c r="H9" s="161" t="s">
        <v>507</v>
      </c>
      <c r="I9" s="161" t="s">
        <v>547</v>
      </c>
      <c r="J9" s="161"/>
      <c r="K9" s="159" t="s">
        <v>145</v>
      </c>
      <c r="L9" s="159" t="s">
        <v>657</v>
      </c>
      <c r="M9" s="162">
        <v>82.554545454545448</v>
      </c>
      <c r="N9" s="162">
        <v>30.95454545454545</v>
      </c>
      <c r="O9" s="159" t="s">
        <v>648</v>
      </c>
      <c r="P9" s="163">
        <v>1000</v>
      </c>
      <c r="Q9" s="162">
        <v>31.609090909090909</v>
      </c>
      <c r="R9" s="169"/>
      <c r="S9" s="169"/>
      <c r="T9" s="169"/>
      <c r="U9" s="162"/>
      <c r="V9" s="159"/>
      <c r="W9" s="159"/>
      <c r="X9" s="159"/>
      <c r="Y9" s="159"/>
      <c r="Z9" s="159"/>
      <c r="AA9" s="159"/>
      <c r="AB9" s="159"/>
      <c r="AC9" s="159"/>
      <c r="AD9" s="159"/>
      <c r="AE9" s="159" t="s">
        <v>644</v>
      </c>
      <c r="AF9" s="163" t="s">
        <v>644</v>
      </c>
      <c r="AG9" s="159" t="s">
        <v>644</v>
      </c>
      <c r="AH9" s="159" t="s">
        <v>644</v>
      </c>
      <c r="AI9" s="159" t="s">
        <v>644</v>
      </c>
      <c r="AJ9" s="159" t="s">
        <v>644</v>
      </c>
      <c r="AK9" s="159" t="s">
        <v>644</v>
      </c>
      <c r="AL9" s="159" t="s">
        <v>644</v>
      </c>
      <c r="AM9" s="159" t="s">
        <v>644</v>
      </c>
      <c r="AN9" s="159" t="s">
        <v>644</v>
      </c>
      <c r="AO9" s="159" t="s">
        <v>645</v>
      </c>
      <c r="AP9" s="161" t="s">
        <v>547</v>
      </c>
      <c r="AQ9" s="161"/>
      <c r="AR9" s="161"/>
      <c r="AS9" s="164"/>
      <c r="AT9" s="161">
        <v>15</v>
      </c>
      <c r="AU9" s="161"/>
      <c r="AV9" s="161"/>
      <c r="AW9" s="161"/>
      <c r="AX9" s="161" t="s">
        <v>495</v>
      </c>
      <c r="AY9" s="159"/>
      <c r="AZ9" s="161">
        <v>0</v>
      </c>
      <c r="BA9" s="161">
        <v>0</v>
      </c>
      <c r="BB9" s="161">
        <v>0</v>
      </c>
      <c r="BC9" s="161">
        <v>0</v>
      </c>
      <c r="BD9" s="161">
        <v>0</v>
      </c>
      <c r="BE9" s="161">
        <v>0</v>
      </c>
      <c r="BF9" s="161">
        <v>0</v>
      </c>
      <c r="BG9" s="161">
        <v>0</v>
      </c>
      <c r="BH9" s="161">
        <v>0</v>
      </c>
      <c r="BI9" s="161">
        <v>0</v>
      </c>
      <c r="BJ9" s="161">
        <v>0</v>
      </c>
      <c r="BK9" s="161">
        <v>0</v>
      </c>
      <c r="BL9" s="161"/>
      <c r="BM9" s="161" t="s">
        <v>547</v>
      </c>
      <c r="BN9" s="161"/>
      <c r="BO9" s="161" t="s">
        <v>547</v>
      </c>
      <c r="BP9" s="161"/>
      <c r="BQ9" s="161"/>
      <c r="BR9" s="161"/>
      <c r="BS9" s="161"/>
      <c r="BT9" s="159" t="s">
        <v>658</v>
      </c>
      <c r="BU9" s="159"/>
      <c r="BV9" s="161"/>
      <c r="BW9" s="161" t="s">
        <v>646</v>
      </c>
      <c r="BX9" s="165"/>
      <c r="BY9" s="149"/>
      <c r="BZ9" s="166" t="s">
        <v>659</v>
      </c>
      <c r="CA9" s="156" t="s">
        <v>56</v>
      </c>
    </row>
    <row r="10" spans="1:82" ht="13" customHeight="1" x14ac:dyDescent="0.15">
      <c r="A10" s="157">
        <v>990</v>
      </c>
      <c r="B10" s="253">
        <v>42566</v>
      </c>
      <c r="C10" s="158" t="s">
        <v>641</v>
      </c>
      <c r="D10" s="159" t="s">
        <v>534</v>
      </c>
      <c r="E10" s="160"/>
      <c r="F10" s="159" t="s">
        <v>642</v>
      </c>
      <c r="G10" s="253">
        <v>42551</v>
      </c>
      <c r="H10" s="161" t="s">
        <v>507</v>
      </c>
      <c r="I10" s="161" t="s">
        <v>547</v>
      </c>
      <c r="J10" s="161"/>
      <c r="K10" s="159" t="s">
        <v>146</v>
      </c>
      <c r="L10" s="159" t="s">
        <v>660</v>
      </c>
      <c r="M10" s="162">
        <v>91.527272727272731</v>
      </c>
      <c r="N10" s="162">
        <v>32.454545454545453</v>
      </c>
      <c r="O10" s="159"/>
      <c r="P10" s="163"/>
      <c r="Q10" s="162" t="s">
        <v>644</v>
      </c>
      <c r="R10" s="169"/>
      <c r="S10" s="169"/>
      <c r="T10" s="169"/>
      <c r="U10" s="162"/>
      <c r="V10" s="159"/>
      <c r="W10" s="159"/>
      <c r="X10" s="159"/>
      <c r="Y10" s="159"/>
      <c r="Z10" s="159"/>
      <c r="AA10" s="159"/>
      <c r="AB10" s="159"/>
      <c r="AC10" s="159"/>
      <c r="AD10" s="159"/>
      <c r="AE10" s="159" t="s">
        <v>644</v>
      </c>
      <c r="AF10" s="163" t="s">
        <v>644</v>
      </c>
      <c r="AG10" s="159" t="s">
        <v>644</v>
      </c>
      <c r="AH10" s="159" t="s">
        <v>644</v>
      </c>
      <c r="AI10" s="159" t="s">
        <v>644</v>
      </c>
      <c r="AJ10" s="159" t="s">
        <v>644</v>
      </c>
      <c r="AK10" s="159" t="s">
        <v>644</v>
      </c>
      <c r="AL10" s="159" t="s">
        <v>644</v>
      </c>
      <c r="AM10" s="159" t="s">
        <v>644</v>
      </c>
      <c r="AN10" s="159" t="s">
        <v>644</v>
      </c>
      <c r="AO10" s="159" t="s">
        <v>645</v>
      </c>
      <c r="AP10" s="161" t="s">
        <v>547</v>
      </c>
      <c r="AQ10" s="161"/>
      <c r="AR10" s="161"/>
      <c r="AS10" s="164"/>
      <c r="AT10" s="161">
        <v>6.8</v>
      </c>
      <c r="AU10" s="161"/>
      <c r="AV10" s="161"/>
      <c r="AW10" s="161"/>
      <c r="AX10" s="161" t="s">
        <v>547</v>
      </c>
      <c r="AY10" s="159"/>
      <c r="AZ10" s="161">
        <v>0</v>
      </c>
      <c r="BA10" s="161">
        <v>0</v>
      </c>
      <c r="BB10" s="161">
        <v>0</v>
      </c>
      <c r="BC10" s="161">
        <v>0</v>
      </c>
      <c r="BD10" s="161">
        <v>0</v>
      </c>
      <c r="BE10" s="161">
        <v>0</v>
      </c>
      <c r="BF10" s="161">
        <v>0</v>
      </c>
      <c r="BG10" s="161">
        <v>0</v>
      </c>
      <c r="BH10" s="161">
        <v>0</v>
      </c>
      <c r="BI10" s="161">
        <v>0</v>
      </c>
      <c r="BJ10" s="161">
        <v>0</v>
      </c>
      <c r="BK10" s="161">
        <v>0</v>
      </c>
      <c r="BL10" s="161"/>
      <c r="BM10" s="161" t="s">
        <v>547</v>
      </c>
      <c r="BN10" s="161"/>
      <c r="BO10" s="161" t="s">
        <v>547</v>
      </c>
      <c r="BP10" s="161"/>
      <c r="BQ10" s="161"/>
      <c r="BR10" s="161"/>
      <c r="BS10" s="161"/>
      <c r="BT10" s="159"/>
      <c r="BU10" s="159"/>
      <c r="BV10" s="161"/>
      <c r="BW10" s="161" t="s">
        <v>646</v>
      </c>
      <c r="BX10" s="159"/>
      <c r="BZ10" s="166" t="s">
        <v>661</v>
      </c>
      <c r="CA10" s="156" t="s">
        <v>56</v>
      </c>
    </row>
    <row r="11" spans="1:82" ht="13" customHeight="1" x14ac:dyDescent="0.15">
      <c r="A11" s="157">
        <v>12326</v>
      </c>
      <c r="B11" s="253">
        <v>42566</v>
      </c>
      <c r="C11" s="158" t="s">
        <v>641</v>
      </c>
      <c r="D11" s="159" t="s">
        <v>534</v>
      </c>
      <c r="E11" s="160"/>
      <c r="F11" s="159" t="s">
        <v>642</v>
      </c>
      <c r="G11" s="254">
        <v>42551</v>
      </c>
      <c r="H11" s="161" t="s">
        <v>507</v>
      </c>
      <c r="I11" s="161" t="s">
        <v>508</v>
      </c>
      <c r="J11" s="161"/>
      <c r="K11" s="159" t="s">
        <v>147</v>
      </c>
      <c r="L11" s="159" t="s">
        <v>662</v>
      </c>
      <c r="M11" s="162">
        <v>77.918181818181807</v>
      </c>
      <c r="N11" s="162">
        <v>34.527272727272724</v>
      </c>
      <c r="O11" s="159" t="s">
        <v>648</v>
      </c>
      <c r="P11" s="163">
        <v>1000</v>
      </c>
      <c r="Q11" s="162">
        <v>36.845454545454544</v>
      </c>
      <c r="R11" s="168"/>
      <c r="S11" s="169"/>
      <c r="T11" s="168"/>
      <c r="U11" s="162"/>
      <c r="V11" s="159"/>
      <c r="W11" s="159"/>
      <c r="X11" s="159"/>
      <c r="Y11" s="159"/>
      <c r="Z11" s="163"/>
      <c r="AA11" s="159"/>
      <c r="AB11" s="163"/>
      <c r="AC11" s="159"/>
      <c r="AD11" s="159"/>
      <c r="AE11" s="159" t="s">
        <v>644</v>
      </c>
      <c r="AF11" s="163" t="s">
        <v>644</v>
      </c>
      <c r="AG11" s="159" t="s">
        <v>644</v>
      </c>
      <c r="AH11" s="159" t="s">
        <v>644</v>
      </c>
      <c r="AI11" s="159" t="s">
        <v>644</v>
      </c>
      <c r="AJ11" s="159" t="s">
        <v>644</v>
      </c>
      <c r="AK11" s="159" t="s">
        <v>644</v>
      </c>
      <c r="AL11" s="159" t="s">
        <v>644</v>
      </c>
      <c r="AM11" s="159" t="s">
        <v>644</v>
      </c>
      <c r="AN11" s="159" t="s">
        <v>644</v>
      </c>
      <c r="AO11" s="159" t="s">
        <v>645</v>
      </c>
      <c r="AP11" s="161" t="s">
        <v>547</v>
      </c>
      <c r="AQ11" s="161"/>
      <c r="AR11" s="161"/>
      <c r="AS11" s="164"/>
      <c r="AT11" s="161">
        <v>13</v>
      </c>
      <c r="AU11" s="161"/>
      <c r="AV11" s="161"/>
      <c r="AW11" s="161"/>
      <c r="AX11" s="161" t="s">
        <v>495</v>
      </c>
      <c r="AY11" s="159"/>
      <c r="AZ11" s="161">
        <v>0</v>
      </c>
      <c r="BA11" s="161">
        <v>0</v>
      </c>
      <c r="BB11" s="161">
        <v>0</v>
      </c>
      <c r="BC11" s="161">
        <v>0</v>
      </c>
      <c r="BD11" s="161">
        <v>0</v>
      </c>
      <c r="BE11" s="161">
        <v>0</v>
      </c>
      <c r="BF11" s="161">
        <v>0</v>
      </c>
      <c r="BG11" s="161">
        <v>0</v>
      </c>
      <c r="BH11" s="161">
        <v>0</v>
      </c>
      <c r="BI11" s="161">
        <v>0</v>
      </c>
      <c r="BJ11" s="161">
        <v>0</v>
      </c>
      <c r="BK11" s="161">
        <v>0</v>
      </c>
      <c r="BL11" s="161"/>
      <c r="BM11" s="161" t="s">
        <v>547</v>
      </c>
      <c r="BN11" s="161">
        <v>12</v>
      </c>
      <c r="BO11" s="161" t="s">
        <v>547</v>
      </c>
      <c r="BP11" s="161"/>
      <c r="BQ11" s="161"/>
      <c r="BR11" s="161"/>
      <c r="BS11" s="161"/>
      <c r="BT11" s="165"/>
      <c r="BU11" s="165"/>
      <c r="BV11" s="161"/>
      <c r="BW11" s="161" t="s">
        <v>646</v>
      </c>
      <c r="BX11" s="170"/>
      <c r="BY11" s="156" t="s">
        <v>663</v>
      </c>
      <c r="BZ11" s="156" t="s">
        <v>664</v>
      </c>
      <c r="CA11" s="156" t="s">
        <v>56</v>
      </c>
    </row>
    <row r="12" spans="1:82" ht="13" customHeight="1" x14ac:dyDescent="0.15">
      <c r="A12" s="157">
        <v>13107</v>
      </c>
      <c r="B12" s="253">
        <v>42566</v>
      </c>
      <c r="C12" s="158" t="s">
        <v>641</v>
      </c>
      <c r="D12" s="159" t="s">
        <v>534</v>
      </c>
      <c r="E12" s="160"/>
      <c r="F12" s="159" t="s">
        <v>642</v>
      </c>
      <c r="G12" s="253">
        <v>42551</v>
      </c>
      <c r="H12" s="161" t="s">
        <v>507</v>
      </c>
      <c r="I12" s="161" t="s">
        <v>547</v>
      </c>
      <c r="J12" s="161"/>
      <c r="K12" s="159" t="s">
        <v>148</v>
      </c>
      <c r="L12" s="159" t="s">
        <v>665</v>
      </c>
      <c r="M12" s="162">
        <v>71.536363636363632</v>
      </c>
      <c r="N12" s="162">
        <v>30.518181818181816</v>
      </c>
      <c r="O12" s="159"/>
      <c r="P12" s="163"/>
      <c r="Q12" s="162" t="s">
        <v>644</v>
      </c>
      <c r="R12" s="171"/>
      <c r="S12" s="169"/>
      <c r="T12" s="171"/>
      <c r="U12" s="162"/>
      <c r="V12" s="159"/>
      <c r="W12" s="159"/>
      <c r="X12" s="159"/>
      <c r="Y12" s="159"/>
      <c r="Z12" s="163"/>
      <c r="AA12" s="159"/>
      <c r="AB12" s="163"/>
      <c r="AC12" s="159"/>
      <c r="AD12" s="159"/>
      <c r="AE12" s="159" t="s">
        <v>644</v>
      </c>
      <c r="AF12" s="163" t="s">
        <v>644</v>
      </c>
      <c r="AG12" s="159" t="s">
        <v>644</v>
      </c>
      <c r="AH12" s="159" t="s">
        <v>644</v>
      </c>
      <c r="AI12" s="159" t="s">
        <v>644</v>
      </c>
      <c r="AJ12" s="159" t="s">
        <v>644</v>
      </c>
      <c r="AK12" s="159" t="s">
        <v>644</v>
      </c>
      <c r="AL12" s="159" t="s">
        <v>644</v>
      </c>
      <c r="AM12" s="159" t="s">
        <v>644</v>
      </c>
      <c r="AN12" s="159" t="s">
        <v>644</v>
      </c>
      <c r="AO12" s="159" t="s">
        <v>645</v>
      </c>
      <c r="AP12" s="161" t="s">
        <v>547</v>
      </c>
      <c r="AQ12" s="161"/>
      <c r="AR12" s="161"/>
      <c r="AS12" s="164"/>
      <c r="AT12" s="161">
        <v>12.4</v>
      </c>
      <c r="AU12" s="161"/>
      <c r="AV12" s="161"/>
      <c r="AW12" s="161"/>
      <c r="AX12" s="161" t="s">
        <v>495</v>
      </c>
      <c r="AY12" s="159"/>
      <c r="AZ12" s="161">
        <v>0</v>
      </c>
      <c r="BA12" s="161">
        <v>0</v>
      </c>
      <c r="BB12" s="161">
        <v>0</v>
      </c>
      <c r="BC12" s="161">
        <v>0</v>
      </c>
      <c r="BD12" s="161">
        <v>0</v>
      </c>
      <c r="BE12" s="161">
        <v>0</v>
      </c>
      <c r="BF12" s="161">
        <v>0</v>
      </c>
      <c r="BG12" s="161">
        <v>0</v>
      </c>
      <c r="BH12" s="161">
        <v>0</v>
      </c>
      <c r="BI12" s="161">
        <v>0</v>
      </c>
      <c r="BJ12" s="161">
        <v>0</v>
      </c>
      <c r="BK12" s="161">
        <v>0</v>
      </c>
      <c r="BL12" s="161"/>
      <c r="BM12" s="161" t="s">
        <v>547</v>
      </c>
      <c r="BN12" s="161">
        <v>12</v>
      </c>
      <c r="BO12" s="161" t="s">
        <v>547</v>
      </c>
      <c r="BP12" s="161"/>
      <c r="BQ12" s="161"/>
      <c r="BR12" s="161"/>
      <c r="BS12" s="161"/>
      <c r="BT12" s="159"/>
      <c r="BU12" s="159"/>
      <c r="BV12" s="161"/>
      <c r="BW12" s="161" t="s">
        <v>646</v>
      </c>
      <c r="BX12" s="159"/>
      <c r="BY12" s="149"/>
      <c r="BZ12" s="156" t="s">
        <v>666</v>
      </c>
      <c r="CA12" s="156" t="s">
        <v>56</v>
      </c>
    </row>
    <row r="13" spans="1:82" ht="13" customHeight="1" x14ac:dyDescent="0.15">
      <c r="A13" s="157">
        <v>11320</v>
      </c>
      <c r="B13" s="253">
        <v>42566</v>
      </c>
      <c r="C13" s="158" t="s">
        <v>641</v>
      </c>
      <c r="D13" s="159" t="s">
        <v>534</v>
      </c>
      <c r="E13" s="160"/>
      <c r="F13" s="159" t="s">
        <v>642</v>
      </c>
      <c r="G13" s="254">
        <v>42551</v>
      </c>
      <c r="H13" s="161" t="s">
        <v>507</v>
      </c>
      <c r="I13" s="161" t="s">
        <v>547</v>
      </c>
      <c r="J13" s="161"/>
      <c r="K13" s="159" t="s">
        <v>448</v>
      </c>
      <c r="L13" s="159" t="s">
        <v>667</v>
      </c>
      <c r="M13" s="162">
        <v>107</v>
      </c>
      <c r="N13" s="162">
        <v>31.781818181818181</v>
      </c>
      <c r="O13" s="159"/>
      <c r="P13" s="163"/>
      <c r="Q13" s="162" t="s">
        <v>644</v>
      </c>
      <c r="R13" s="169"/>
      <c r="S13" s="169"/>
      <c r="T13" s="169"/>
      <c r="U13" s="162"/>
      <c r="V13" s="159"/>
      <c r="W13" s="159"/>
      <c r="X13" s="163"/>
      <c r="Y13" s="159"/>
      <c r="Z13" s="163"/>
      <c r="AA13" s="159"/>
      <c r="AB13" s="163"/>
      <c r="AC13" s="159"/>
      <c r="AD13" s="159"/>
      <c r="AE13" s="159" t="s">
        <v>644</v>
      </c>
      <c r="AF13" s="163" t="s">
        <v>644</v>
      </c>
      <c r="AG13" s="159" t="s">
        <v>644</v>
      </c>
      <c r="AH13" s="159" t="s">
        <v>644</v>
      </c>
      <c r="AI13" s="159" t="s">
        <v>644</v>
      </c>
      <c r="AJ13" s="159" t="s">
        <v>644</v>
      </c>
      <c r="AK13" s="159" t="s">
        <v>644</v>
      </c>
      <c r="AL13" s="159" t="s">
        <v>644</v>
      </c>
      <c r="AM13" s="159" t="s">
        <v>644</v>
      </c>
      <c r="AN13" s="159" t="s">
        <v>644</v>
      </c>
      <c r="AO13" s="159" t="s">
        <v>645</v>
      </c>
      <c r="AP13" s="161" t="s">
        <v>547</v>
      </c>
      <c r="AQ13" s="161"/>
      <c r="AR13" s="161"/>
      <c r="AS13" s="164"/>
      <c r="AT13" s="161">
        <v>14.2</v>
      </c>
      <c r="AU13" s="161"/>
      <c r="AV13" s="161"/>
      <c r="AW13" s="161"/>
      <c r="AX13" s="161" t="s">
        <v>495</v>
      </c>
      <c r="AY13" s="159"/>
      <c r="AZ13" s="161">
        <v>0</v>
      </c>
      <c r="BA13" s="161">
        <v>0</v>
      </c>
      <c r="BB13" s="161">
        <v>0</v>
      </c>
      <c r="BC13" s="161">
        <v>0</v>
      </c>
      <c r="BD13" s="161">
        <v>0</v>
      </c>
      <c r="BE13" s="161">
        <v>0</v>
      </c>
      <c r="BF13" s="161">
        <v>0</v>
      </c>
      <c r="BG13" s="161">
        <v>0</v>
      </c>
      <c r="BH13" s="161">
        <v>0</v>
      </c>
      <c r="BI13" s="161">
        <v>0</v>
      </c>
      <c r="BJ13" s="161">
        <v>0</v>
      </c>
      <c r="BK13" s="161">
        <v>0</v>
      </c>
      <c r="BL13" s="161"/>
      <c r="BM13" s="161" t="s">
        <v>547</v>
      </c>
      <c r="BN13" s="161"/>
      <c r="BO13" s="161" t="s">
        <v>547</v>
      </c>
      <c r="BP13" s="161"/>
      <c r="BQ13" s="161"/>
      <c r="BR13" s="161"/>
      <c r="BS13" s="161"/>
      <c r="BT13" s="159"/>
      <c r="BU13" s="159"/>
      <c r="BV13" s="161"/>
      <c r="BW13" s="161" t="s">
        <v>646</v>
      </c>
      <c r="BX13" s="159"/>
      <c r="BY13" s="149"/>
      <c r="BZ13" s="156" t="s">
        <v>668</v>
      </c>
      <c r="CA13" s="156" t="s">
        <v>56</v>
      </c>
    </row>
    <row r="14" spans="1:82" ht="13" customHeight="1" x14ac:dyDescent="0.15">
      <c r="A14" s="45">
        <v>10995</v>
      </c>
      <c r="B14" s="123">
        <v>42605</v>
      </c>
      <c r="C14" s="143" t="s">
        <v>641</v>
      </c>
      <c r="D14" s="144" t="s">
        <v>534</v>
      </c>
      <c r="E14" s="145"/>
      <c r="F14" s="48" t="s">
        <v>642</v>
      </c>
      <c r="G14" s="46">
        <v>42593</v>
      </c>
      <c r="H14" s="49" t="s">
        <v>507</v>
      </c>
      <c r="I14" s="49" t="s">
        <v>547</v>
      </c>
      <c r="J14" s="49"/>
      <c r="K14" s="48" t="s">
        <v>594</v>
      </c>
      <c r="L14" s="48" t="s">
        <v>669</v>
      </c>
      <c r="M14" s="146">
        <v>70</v>
      </c>
      <c r="N14" s="146">
        <v>27.27</v>
      </c>
      <c r="O14" s="48"/>
      <c r="P14" s="50"/>
      <c r="Q14" s="146"/>
      <c r="R14" s="48"/>
      <c r="S14" s="48"/>
      <c r="T14" s="48"/>
      <c r="U14" s="48"/>
      <c r="V14" s="48"/>
      <c r="W14" s="48"/>
      <c r="X14" s="48"/>
      <c r="Y14" s="48"/>
      <c r="Z14" s="48"/>
      <c r="AA14" s="48"/>
      <c r="AB14" s="48"/>
      <c r="AC14" s="48"/>
      <c r="AD14" s="48"/>
      <c r="AE14" s="48" t="s">
        <v>644</v>
      </c>
      <c r="AF14" s="50" t="s">
        <v>644</v>
      </c>
      <c r="AG14" s="48" t="s">
        <v>644</v>
      </c>
      <c r="AH14" s="48" t="s">
        <v>644</v>
      </c>
      <c r="AI14" s="48" t="s">
        <v>644</v>
      </c>
      <c r="AJ14" s="48" t="s">
        <v>644</v>
      </c>
      <c r="AK14" s="48" t="s">
        <v>644</v>
      </c>
      <c r="AL14" s="48" t="s">
        <v>644</v>
      </c>
      <c r="AM14" s="48" t="s">
        <v>644</v>
      </c>
      <c r="AN14" s="48" t="s">
        <v>644</v>
      </c>
      <c r="AO14" s="48" t="s">
        <v>645</v>
      </c>
      <c r="AP14" s="49" t="s">
        <v>547</v>
      </c>
      <c r="AQ14" s="49"/>
      <c r="AR14" s="49"/>
      <c r="AS14" s="51"/>
      <c r="AT14" s="49">
        <v>9.8800000000000008</v>
      </c>
      <c r="AU14" s="49"/>
      <c r="AV14" s="49"/>
      <c r="AW14" s="49"/>
      <c r="AX14" s="49" t="s">
        <v>495</v>
      </c>
      <c r="AY14" s="48"/>
      <c r="AZ14" s="49">
        <v>0</v>
      </c>
      <c r="BA14" s="49">
        <v>0</v>
      </c>
      <c r="BB14" s="49">
        <v>0</v>
      </c>
      <c r="BC14" s="49">
        <v>0</v>
      </c>
      <c r="BD14" s="49">
        <v>0</v>
      </c>
      <c r="BE14" s="49">
        <v>0</v>
      </c>
      <c r="BF14" s="49">
        <v>0</v>
      </c>
      <c r="BG14" s="49">
        <v>0</v>
      </c>
      <c r="BH14" s="49">
        <v>0</v>
      </c>
      <c r="BI14" s="49">
        <v>0</v>
      </c>
      <c r="BJ14" s="49">
        <v>0</v>
      </c>
      <c r="BK14" s="49">
        <v>0</v>
      </c>
      <c r="BL14" s="49"/>
      <c r="BM14" s="49" t="s">
        <v>547</v>
      </c>
      <c r="BN14" s="49"/>
      <c r="BO14" s="49" t="s">
        <v>547</v>
      </c>
      <c r="BP14" s="250">
        <v>185.35</v>
      </c>
      <c r="BQ14" s="49"/>
      <c r="BR14" s="49"/>
      <c r="BS14" s="251">
        <v>42916</v>
      </c>
      <c r="BT14" s="48"/>
      <c r="BU14" s="48"/>
      <c r="BV14" s="49"/>
      <c r="BW14" s="49" t="s">
        <v>646</v>
      </c>
      <c r="BX14" s="49"/>
      <c r="BY14" s="144" t="s">
        <v>789</v>
      </c>
      <c r="BZ14" s="149" t="s">
        <v>790</v>
      </c>
      <c r="CA14" s="124" t="s">
        <v>90</v>
      </c>
    </row>
    <row r="15" spans="1:82" ht="13" customHeight="1" x14ac:dyDescent="0.15">
      <c r="A15" s="157">
        <v>13156</v>
      </c>
      <c r="B15" s="253">
        <v>42566</v>
      </c>
      <c r="C15" s="158" t="s">
        <v>641</v>
      </c>
      <c r="D15" s="159" t="s">
        <v>534</v>
      </c>
      <c r="E15" s="160"/>
      <c r="F15" s="159" t="s">
        <v>642</v>
      </c>
      <c r="G15" s="253">
        <v>42551</v>
      </c>
      <c r="H15" s="161" t="s">
        <v>507</v>
      </c>
      <c r="I15" s="161" t="s">
        <v>547</v>
      </c>
      <c r="J15" s="161"/>
      <c r="K15" s="159" t="s">
        <v>125</v>
      </c>
      <c r="L15" s="159" t="s">
        <v>670</v>
      </c>
      <c r="M15" s="162">
        <v>97</v>
      </c>
      <c r="N15" s="162">
        <v>32.781818181818181</v>
      </c>
      <c r="O15" s="159"/>
      <c r="P15" s="163"/>
      <c r="Q15" s="162" t="s">
        <v>644</v>
      </c>
      <c r="R15" s="169"/>
      <c r="S15" s="169"/>
      <c r="T15" s="169"/>
      <c r="U15" s="162"/>
      <c r="V15" s="159"/>
      <c r="W15" s="159"/>
      <c r="X15" s="159"/>
      <c r="Y15" s="159"/>
      <c r="Z15" s="159"/>
      <c r="AA15" s="159"/>
      <c r="AB15" s="159"/>
      <c r="AC15" s="159"/>
      <c r="AD15" s="159"/>
      <c r="AE15" s="159" t="s">
        <v>644</v>
      </c>
      <c r="AF15" s="159" t="s">
        <v>644</v>
      </c>
      <c r="AG15" s="159" t="s">
        <v>644</v>
      </c>
      <c r="AH15" s="159" t="s">
        <v>644</v>
      </c>
      <c r="AI15" s="159" t="s">
        <v>644</v>
      </c>
      <c r="AJ15" s="159" t="s">
        <v>644</v>
      </c>
      <c r="AK15" s="159" t="s">
        <v>644</v>
      </c>
      <c r="AL15" s="159" t="s">
        <v>644</v>
      </c>
      <c r="AM15" s="159" t="s">
        <v>644</v>
      </c>
      <c r="AN15" s="159" t="s">
        <v>644</v>
      </c>
      <c r="AO15" s="159" t="s">
        <v>645</v>
      </c>
      <c r="AP15" s="161" t="s">
        <v>547</v>
      </c>
      <c r="AQ15" s="161"/>
      <c r="AR15" s="161"/>
      <c r="AS15" s="164"/>
      <c r="AT15" s="161">
        <v>15</v>
      </c>
      <c r="AU15" s="161"/>
      <c r="AV15" s="161"/>
      <c r="AW15" s="161"/>
      <c r="AX15" s="161" t="s">
        <v>547</v>
      </c>
      <c r="AY15" s="159"/>
      <c r="AZ15" s="161">
        <v>0</v>
      </c>
      <c r="BA15" s="161">
        <v>8</v>
      </c>
      <c r="BB15" s="161">
        <v>0</v>
      </c>
      <c r="BC15" s="161">
        <v>0</v>
      </c>
      <c r="BD15" s="161">
        <v>0</v>
      </c>
      <c r="BE15" s="161">
        <v>0</v>
      </c>
      <c r="BF15" s="161">
        <v>0</v>
      </c>
      <c r="BG15" s="161">
        <v>0</v>
      </c>
      <c r="BH15" s="161">
        <v>0</v>
      </c>
      <c r="BI15" s="161">
        <v>0</v>
      </c>
      <c r="BJ15" s="161">
        <v>0</v>
      </c>
      <c r="BK15" s="161">
        <v>0</v>
      </c>
      <c r="BL15" s="161"/>
      <c r="BM15" s="161" t="s">
        <v>547</v>
      </c>
      <c r="BN15" s="161"/>
      <c r="BO15" s="161" t="s">
        <v>547</v>
      </c>
      <c r="BP15" s="161"/>
      <c r="BQ15" s="161"/>
      <c r="BR15" s="161"/>
      <c r="BS15" s="161"/>
      <c r="BT15" s="159"/>
      <c r="BU15" s="159"/>
      <c r="BV15" s="161"/>
      <c r="BW15" s="161" t="s">
        <v>646</v>
      </c>
      <c r="BX15" s="159">
        <v>1</v>
      </c>
      <c r="BZ15" s="156" t="s">
        <v>671</v>
      </c>
      <c r="CA15" s="156" t="s">
        <v>56</v>
      </c>
    </row>
    <row r="16" spans="1:82" ht="13" customHeight="1" x14ac:dyDescent="0.15">
      <c r="A16" s="157">
        <v>13004</v>
      </c>
      <c r="B16" s="253">
        <v>42566</v>
      </c>
      <c r="C16" s="158" t="s">
        <v>641</v>
      </c>
      <c r="D16" s="159" t="s">
        <v>534</v>
      </c>
      <c r="E16" s="160"/>
      <c r="F16" s="159" t="s">
        <v>642</v>
      </c>
      <c r="G16" s="253">
        <v>42551</v>
      </c>
      <c r="H16" s="161" t="s">
        <v>507</v>
      </c>
      <c r="I16" s="161" t="s">
        <v>508</v>
      </c>
      <c r="J16" s="161"/>
      <c r="K16" s="159" t="s">
        <v>452</v>
      </c>
      <c r="L16" s="159" t="s">
        <v>672</v>
      </c>
      <c r="M16" s="162">
        <v>92.399999999999991</v>
      </c>
      <c r="N16" s="162">
        <v>33.200000000000003</v>
      </c>
      <c r="O16" s="159" t="s">
        <v>648</v>
      </c>
      <c r="P16" s="163">
        <v>1000</v>
      </c>
      <c r="Q16" s="162">
        <v>33.200000000000003</v>
      </c>
      <c r="R16" s="163"/>
      <c r="S16" s="162"/>
      <c r="T16" s="163"/>
      <c r="U16" s="162"/>
      <c r="V16" s="162"/>
      <c r="W16" s="162"/>
      <c r="X16" s="162"/>
      <c r="Y16" s="162"/>
      <c r="Z16" s="162"/>
      <c r="AA16" s="162"/>
      <c r="AB16" s="162"/>
      <c r="AC16" s="162"/>
      <c r="AD16" s="162"/>
      <c r="AE16" s="162" t="s">
        <v>644</v>
      </c>
      <c r="AF16" s="162" t="s">
        <v>644</v>
      </c>
      <c r="AG16" s="162" t="s">
        <v>644</v>
      </c>
      <c r="AH16" s="162" t="s">
        <v>644</v>
      </c>
      <c r="AI16" s="162" t="s">
        <v>644</v>
      </c>
      <c r="AJ16" s="162" t="s">
        <v>644</v>
      </c>
      <c r="AK16" s="162" t="s">
        <v>644</v>
      </c>
      <c r="AL16" s="159" t="s">
        <v>644</v>
      </c>
      <c r="AM16" s="162" t="s">
        <v>644</v>
      </c>
      <c r="AN16" s="162" t="s">
        <v>644</v>
      </c>
      <c r="AO16" s="159" t="s">
        <v>645</v>
      </c>
      <c r="AP16" s="161" t="s">
        <v>547</v>
      </c>
      <c r="AQ16" s="161"/>
      <c r="AR16" s="161"/>
      <c r="AS16" s="164"/>
      <c r="AT16" s="161">
        <v>16</v>
      </c>
      <c r="AU16" s="161"/>
      <c r="AV16" s="161"/>
      <c r="AW16" s="161"/>
      <c r="AX16" s="161" t="s">
        <v>547</v>
      </c>
      <c r="AY16" s="159"/>
      <c r="AZ16" s="161">
        <v>0</v>
      </c>
      <c r="BA16" s="161">
        <v>0</v>
      </c>
      <c r="BB16" s="161">
        <v>0</v>
      </c>
      <c r="BC16" s="161">
        <v>0</v>
      </c>
      <c r="BD16" s="161">
        <v>0</v>
      </c>
      <c r="BE16" s="161">
        <v>0</v>
      </c>
      <c r="BF16" s="161">
        <v>0</v>
      </c>
      <c r="BG16" s="161">
        <v>0</v>
      </c>
      <c r="BH16" s="161">
        <v>0</v>
      </c>
      <c r="BI16" s="161">
        <v>0</v>
      </c>
      <c r="BJ16" s="161">
        <v>0</v>
      </c>
      <c r="BK16" s="161">
        <v>0</v>
      </c>
      <c r="BL16" s="161"/>
      <c r="BM16" s="161" t="s">
        <v>547</v>
      </c>
      <c r="BN16" s="161"/>
      <c r="BO16" s="161" t="s">
        <v>547</v>
      </c>
      <c r="BP16" s="161"/>
      <c r="BQ16" s="161"/>
      <c r="BR16" s="161"/>
      <c r="BS16" s="161"/>
      <c r="BT16" s="165"/>
      <c r="BU16" s="159"/>
      <c r="BV16" s="161"/>
      <c r="BW16" s="161" t="s">
        <v>646</v>
      </c>
      <c r="BX16" s="159">
        <v>1</v>
      </c>
      <c r="BY16" s="149"/>
      <c r="BZ16" s="156" t="s">
        <v>673</v>
      </c>
      <c r="CA16" s="156" t="s">
        <v>56</v>
      </c>
    </row>
    <row r="17" spans="1:79" ht="13" customHeight="1" x14ac:dyDescent="0.15">
      <c r="A17" s="157">
        <v>10701</v>
      </c>
      <c r="B17" s="253">
        <v>42566</v>
      </c>
      <c r="C17" s="158" t="s">
        <v>641</v>
      </c>
      <c r="D17" s="159" t="s">
        <v>534</v>
      </c>
      <c r="E17" s="160"/>
      <c r="F17" s="159" t="s">
        <v>642</v>
      </c>
      <c r="G17" s="253">
        <v>42551</v>
      </c>
      <c r="H17" s="161" t="s">
        <v>507</v>
      </c>
      <c r="I17" s="161" t="s">
        <v>547</v>
      </c>
      <c r="J17" s="161"/>
      <c r="K17" s="159" t="s">
        <v>600</v>
      </c>
      <c r="L17" s="159" t="s">
        <v>601</v>
      </c>
      <c r="M17" s="162">
        <v>103.62727272727271</v>
      </c>
      <c r="N17" s="162">
        <v>26.727272727272723</v>
      </c>
      <c r="O17" s="159"/>
      <c r="P17" s="163"/>
      <c r="Q17" s="162" t="s">
        <v>644</v>
      </c>
      <c r="R17" s="163"/>
      <c r="S17" s="162"/>
      <c r="T17" s="159"/>
      <c r="U17" s="162"/>
      <c r="V17" s="159"/>
      <c r="W17" s="159"/>
      <c r="X17" s="163"/>
      <c r="Y17" s="159"/>
      <c r="Z17" s="163"/>
      <c r="AA17" s="159"/>
      <c r="AB17" s="163"/>
      <c r="AC17" s="159"/>
      <c r="AD17" s="159"/>
      <c r="AE17" s="159" t="s">
        <v>644</v>
      </c>
      <c r="AF17" s="163" t="s">
        <v>644</v>
      </c>
      <c r="AG17" s="159" t="s">
        <v>644</v>
      </c>
      <c r="AH17" s="159" t="s">
        <v>644</v>
      </c>
      <c r="AI17" s="159" t="s">
        <v>644</v>
      </c>
      <c r="AJ17" s="159" t="s">
        <v>644</v>
      </c>
      <c r="AK17" s="159" t="s">
        <v>644</v>
      </c>
      <c r="AL17" s="159" t="s">
        <v>644</v>
      </c>
      <c r="AM17" s="159" t="s">
        <v>644</v>
      </c>
      <c r="AN17" s="159" t="s">
        <v>644</v>
      </c>
      <c r="AO17" s="159" t="s">
        <v>645</v>
      </c>
      <c r="AP17" s="161" t="s">
        <v>547</v>
      </c>
      <c r="AQ17" s="161"/>
      <c r="AR17" s="161"/>
      <c r="AS17" s="164"/>
      <c r="AT17" s="161">
        <v>7.5</v>
      </c>
      <c r="AU17" s="161"/>
      <c r="AV17" s="161"/>
      <c r="AW17" s="161"/>
      <c r="AX17" s="161" t="s">
        <v>495</v>
      </c>
      <c r="AY17" s="159"/>
      <c r="AZ17" s="161">
        <v>0</v>
      </c>
      <c r="BA17" s="161">
        <v>0</v>
      </c>
      <c r="BB17" s="161">
        <v>6</v>
      </c>
      <c r="BC17" s="161">
        <v>0</v>
      </c>
      <c r="BD17" s="161">
        <v>0</v>
      </c>
      <c r="BE17" s="161">
        <v>0</v>
      </c>
      <c r="BF17" s="161">
        <v>0</v>
      </c>
      <c r="BG17" s="161">
        <v>0</v>
      </c>
      <c r="BH17" s="161">
        <v>0</v>
      </c>
      <c r="BI17" s="161">
        <v>0</v>
      </c>
      <c r="BJ17" s="161">
        <v>0</v>
      </c>
      <c r="BK17" s="161">
        <v>0</v>
      </c>
      <c r="BL17" s="161"/>
      <c r="BM17" s="161" t="s">
        <v>547</v>
      </c>
      <c r="BN17" s="161"/>
      <c r="BO17" s="161" t="s">
        <v>547</v>
      </c>
      <c r="BP17" s="161"/>
      <c r="BQ17" s="161"/>
      <c r="BR17" s="161"/>
      <c r="BS17" s="161"/>
      <c r="BT17" s="165"/>
      <c r="BU17" s="165"/>
      <c r="BV17" s="161"/>
      <c r="BW17" s="161" t="s">
        <v>646</v>
      </c>
      <c r="BX17" s="159">
        <v>1</v>
      </c>
      <c r="BY17" s="149" t="s">
        <v>674</v>
      </c>
      <c r="BZ17" s="156" t="s">
        <v>675</v>
      </c>
      <c r="CA17" s="156" t="s">
        <v>56</v>
      </c>
    </row>
    <row r="18" spans="1:79" ht="13" customHeight="1" x14ac:dyDescent="0.15">
      <c r="A18" s="157">
        <v>10054</v>
      </c>
      <c r="B18" s="253">
        <v>42570</v>
      </c>
      <c r="C18" s="158" t="s">
        <v>641</v>
      </c>
      <c r="D18" s="159" t="s">
        <v>534</v>
      </c>
      <c r="E18" s="160"/>
      <c r="F18" s="159" t="s">
        <v>642</v>
      </c>
      <c r="G18" s="253">
        <v>42565</v>
      </c>
      <c r="H18" s="161" t="s">
        <v>507</v>
      </c>
      <c r="I18" s="161" t="s">
        <v>508</v>
      </c>
      <c r="J18" s="161"/>
      <c r="K18" s="159" t="s">
        <v>635</v>
      </c>
      <c r="L18" s="159" t="s">
        <v>634</v>
      </c>
      <c r="M18" s="162">
        <v>104.69090909090907</v>
      </c>
      <c r="N18" s="162">
        <v>24.045454545454543</v>
      </c>
      <c r="O18" s="159"/>
      <c r="P18" s="163"/>
      <c r="Q18" s="162" t="s">
        <v>644</v>
      </c>
      <c r="R18" s="168"/>
      <c r="S18" s="162"/>
      <c r="T18" s="168"/>
      <c r="U18" s="162"/>
      <c r="V18" s="159"/>
      <c r="W18" s="159"/>
      <c r="X18" s="163"/>
      <c r="Y18" s="159"/>
      <c r="Z18" s="163"/>
      <c r="AA18" s="159"/>
      <c r="AB18" s="163"/>
      <c r="AC18" s="159"/>
      <c r="AD18" s="159"/>
      <c r="AE18" s="159" t="s">
        <v>644</v>
      </c>
      <c r="AF18" s="163" t="s">
        <v>644</v>
      </c>
      <c r="AG18" s="159" t="s">
        <v>644</v>
      </c>
      <c r="AH18" s="159" t="s">
        <v>644</v>
      </c>
      <c r="AI18" s="159" t="s">
        <v>644</v>
      </c>
      <c r="AJ18" s="159" t="s">
        <v>644</v>
      </c>
      <c r="AK18" s="159" t="s">
        <v>644</v>
      </c>
      <c r="AL18" s="159" t="s">
        <v>644</v>
      </c>
      <c r="AM18" s="159" t="s">
        <v>644</v>
      </c>
      <c r="AN18" s="159" t="s">
        <v>644</v>
      </c>
      <c r="AO18" s="159" t="s">
        <v>645</v>
      </c>
      <c r="AP18" s="161" t="s">
        <v>547</v>
      </c>
      <c r="AQ18" s="161"/>
      <c r="AR18" s="161"/>
      <c r="AS18" s="164"/>
      <c r="AT18" s="161">
        <v>5.3</v>
      </c>
      <c r="AU18" s="161"/>
      <c r="AV18" s="161"/>
      <c r="AW18" s="161"/>
      <c r="AX18" s="161" t="s">
        <v>547</v>
      </c>
      <c r="AY18" s="159"/>
      <c r="AZ18" s="161">
        <v>0</v>
      </c>
      <c r="BA18" s="161">
        <v>0</v>
      </c>
      <c r="BB18" s="161">
        <v>0</v>
      </c>
      <c r="BC18" s="161">
        <v>0</v>
      </c>
      <c r="BD18" s="161">
        <v>0</v>
      </c>
      <c r="BE18" s="161">
        <v>0</v>
      </c>
      <c r="BF18" s="161">
        <v>0</v>
      </c>
      <c r="BG18" s="161">
        <v>0</v>
      </c>
      <c r="BH18" s="161">
        <v>0</v>
      </c>
      <c r="BI18" s="161">
        <v>0</v>
      </c>
      <c r="BJ18" s="161">
        <v>0</v>
      </c>
      <c r="BK18" s="161">
        <v>0</v>
      </c>
      <c r="BL18" s="161"/>
      <c r="BM18" s="161" t="s">
        <v>547</v>
      </c>
      <c r="BN18" s="161"/>
      <c r="BO18" s="161" t="s">
        <v>547</v>
      </c>
      <c r="BP18" s="162">
        <v>35.454545454545453</v>
      </c>
      <c r="BQ18" s="161"/>
      <c r="BR18" s="161"/>
      <c r="BS18" s="161"/>
      <c r="BT18" s="159"/>
      <c r="BU18" s="159"/>
      <c r="BV18" s="161"/>
      <c r="BW18" s="161" t="s">
        <v>646</v>
      </c>
      <c r="BX18" s="159">
        <v>1</v>
      </c>
      <c r="BY18" s="156" t="s">
        <v>676</v>
      </c>
      <c r="BZ18" s="166" t="s">
        <v>677</v>
      </c>
      <c r="CA18" s="156" t="s">
        <v>90</v>
      </c>
    </row>
    <row r="19" spans="1:79" ht="13" customHeight="1" x14ac:dyDescent="0.15">
      <c r="A19" s="157">
        <v>9342</v>
      </c>
      <c r="B19" s="253">
        <v>42568</v>
      </c>
      <c r="C19" s="158" t="s">
        <v>641</v>
      </c>
      <c r="D19" s="159" t="s">
        <v>534</v>
      </c>
      <c r="E19" s="160"/>
      <c r="F19" s="159" t="s">
        <v>642</v>
      </c>
      <c r="G19" s="253">
        <v>42476</v>
      </c>
      <c r="H19" s="161" t="s">
        <v>507</v>
      </c>
      <c r="I19" s="161" t="s">
        <v>547</v>
      </c>
      <c r="J19" s="161"/>
      <c r="K19" s="159" t="s">
        <v>608</v>
      </c>
      <c r="L19" s="159" t="s">
        <v>609</v>
      </c>
      <c r="M19" s="162">
        <v>107.76363636363637</v>
      </c>
      <c r="N19" s="162">
        <v>34.281818181818181</v>
      </c>
      <c r="O19" s="159"/>
      <c r="P19" s="163"/>
      <c r="Q19" s="162" t="s">
        <v>644</v>
      </c>
      <c r="R19" s="171"/>
      <c r="S19" s="169"/>
      <c r="T19" s="172"/>
      <c r="U19" s="162"/>
      <c r="V19" s="159"/>
      <c r="W19" s="159"/>
      <c r="X19" s="163"/>
      <c r="Y19" s="159"/>
      <c r="Z19" s="163"/>
      <c r="AA19" s="159"/>
      <c r="AB19" s="163"/>
      <c r="AC19" s="159"/>
      <c r="AD19" s="159"/>
      <c r="AE19" s="159" t="s">
        <v>644</v>
      </c>
      <c r="AF19" s="163" t="s">
        <v>644</v>
      </c>
      <c r="AG19" s="159" t="s">
        <v>644</v>
      </c>
      <c r="AH19" s="159" t="s">
        <v>644</v>
      </c>
      <c r="AI19" s="159" t="s">
        <v>644</v>
      </c>
      <c r="AJ19" s="159" t="s">
        <v>644</v>
      </c>
      <c r="AK19" s="159" t="s">
        <v>644</v>
      </c>
      <c r="AL19" s="159" t="s">
        <v>644</v>
      </c>
      <c r="AM19" s="159" t="s">
        <v>644</v>
      </c>
      <c r="AN19" s="159" t="s">
        <v>644</v>
      </c>
      <c r="AO19" s="159" t="s">
        <v>645</v>
      </c>
      <c r="AP19" s="161" t="s">
        <v>547</v>
      </c>
      <c r="AQ19" s="161"/>
      <c r="AR19" s="161"/>
      <c r="AS19" s="164"/>
      <c r="AT19" s="161">
        <v>8</v>
      </c>
      <c r="AU19" s="161"/>
      <c r="AV19" s="161"/>
      <c r="AW19" s="161"/>
      <c r="AX19" s="161" t="s">
        <v>495</v>
      </c>
      <c r="AY19" s="159"/>
      <c r="AZ19" s="161">
        <v>0</v>
      </c>
      <c r="BA19" s="161">
        <v>0</v>
      </c>
      <c r="BB19" s="161">
        <v>0</v>
      </c>
      <c r="BC19" s="161">
        <v>0</v>
      </c>
      <c r="BD19" s="161">
        <v>0</v>
      </c>
      <c r="BE19" s="161">
        <v>0</v>
      </c>
      <c r="BF19" s="161">
        <v>0</v>
      </c>
      <c r="BG19" s="161">
        <v>0</v>
      </c>
      <c r="BH19" s="161">
        <v>0</v>
      </c>
      <c r="BI19" s="161">
        <v>0</v>
      </c>
      <c r="BJ19" s="161">
        <v>0</v>
      </c>
      <c r="BK19" s="161">
        <v>0</v>
      </c>
      <c r="BL19" s="161"/>
      <c r="BM19" s="161" t="s">
        <v>547</v>
      </c>
      <c r="BN19" s="161"/>
      <c r="BO19" s="161" t="s">
        <v>547</v>
      </c>
      <c r="BP19" s="161"/>
      <c r="BQ19" s="161"/>
      <c r="BR19" s="161"/>
      <c r="BS19" s="161"/>
      <c r="BT19" s="165"/>
      <c r="BU19" s="159"/>
      <c r="BV19" s="161"/>
      <c r="BW19" s="161" t="s">
        <v>646</v>
      </c>
      <c r="BX19" s="165">
        <v>1</v>
      </c>
      <c r="BY19" s="149" t="s">
        <v>678</v>
      </c>
      <c r="BZ19" s="156" t="s">
        <v>679</v>
      </c>
      <c r="CA19" s="156" t="s">
        <v>56</v>
      </c>
    </row>
    <row r="20" spans="1:79" ht="13" customHeight="1" x14ac:dyDescent="0.15">
      <c r="A20" s="157">
        <v>57</v>
      </c>
      <c r="B20" s="253">
        <v>42566</v>
      </c>
      <c r="C20" s="158" t="s">
        <v>641</v>
      </c>
      <c r="D20" s="159" t="s">
        <v>534</v>
      </c>
      <c r="E20" s="160"/>
      <c r="F20" s="159" t="s">
        <v>642</v>
      </c>
      <c r="G20" s="253">
        <v>42413</v>
      </c>
      <c r="H20" s="161" t="s">
        <v>507</v>
      </c>
      <c r="I20" s="161" t="s">
        <v>547</v>
      </c>
      <c r="J20" s="161"/>
      <c r="K20" s="159" t="s">
        <v>680</v>
      </c>
      <c r="L20" s="159" t="s">
        <v>609</v>
      </c>
      <c r="M20" s="162">
        <v>96.518181818181816</v>
      </c>
      <c r="N20" s="162">
        <v>30.227272727272723</v>
      </c>
      <c r="O20" s="159"/>
      <c r="P20" s="163"/>
      <c r="Q20" s="162" t="s">
        <v>644</v>
      </c>
      <c r="R20" s="171"/>
      <c r="S20" s="169"/>
      <c r="T20" s="172"/>
      <c r="U20" s="162"/>
      <c r="V20" s="159"/>
      <c r="W20" s="159"/>
      <c r="X20" s="163"/>
      <c r="Y20" s="159"/>
      <c r="Z20" s="163"/>
      <c r="AA20" s="159"/>
      <c r="AB20" s="163"/>
      <c r="AC20" s="159"/>
      <c r="AD20" s="159"/>
      <c r="AE20" s="159" t="s">
        <v>644</v>
      </c>
      <c r="AF20" s="163" t="s">
        <v>644</v>
      </c>
      <c r="AG20" s="159" t="s">
        <v>644</v>
      </c>
      <c r="AH20" s="159" t="s">
        <v>644</v>
      </c>
      <c r="AI20" s="159" t="s">
        <v>644</v>
      </c>
      <c r="AJ20" s="159" t="s">
        <v>644</v>
      </c>
      <c r="AK20" s="159" t="s">
        <v>644</v>
      </c>
      <c r="AL20" s="159" t="s">
        <v>644</v>
      </c>
      <c r="AM20" s="159" t="s">
        <v>644</v>
      </c>
      <c r="AN20" s="159" t="s">
        <v>644</v>
      </c>
      <c r="AO20" s="159" t="s">
        <v>645</v>
      </c>
      <c r="AP20" s="161" t="s">
        <v>547</v>
      </c>
      <c r="AQ20" s="161"/>
      <c r="AR20" s="161"/>
      <c r="AS20" s="164"/>
      <c r="AT20" s="161">
        <v>15</v>
      </c>
      <c r="AU20" s="161"/>
      <c r="AV20" s="161"/>
      <c r="AW20" s="161"/>
      <c r="AX20" s="161" t="s">
        <v>547</v>
      </c>
      <c r="AY20" s="159"/>
      <c r="AZ20" s="161">
        <v>0</v>
      </c>
      <c r="BA20" s="161">
        <v>0</v>
      </c>
      <c r="BB20" s="161">
        <v>0</v>
      </c>
      <c r="BC20" s="161">
        <v>0</v>
      </c>
      <c r="BD20" s="161">
        <v>0</v>
      </c>
      <c r="BE20" s="161">
        <v>0</v>
      </c>
      <c r="BF20" s="161">
        <v>0</v>
      </c>
      <c r="BG20" s="161">
        <v>0</v>
      </c>
      <c r="BH20" s="161">
        <v>0</v>
      </c>
      <c r="BI20" s="161">
        <v>0</v>
      </c>
      <c r="BJ20" s="161">
        <v>0</v>
      </c>
      <c r="BK20" s="161">
        <v>0</v>
      </c>
      <c r="BL20" s="161"/>
      <c r="BM20" s="161" t="s">
        <v>547</v>
      </c>
      <c r="BN20" s="161"/>
      <c r="BO20" s="161" t="s">
        <v>547</v>
      </c>
      <c r="BP20" s="162">
        <v>119.99999999999999</v>
      </c>
      <c r="BQ20" s="161"/>
      <c r="BR20" s="161"/>
      <c r="BS20" s="161"/>
      <c r="BT20" s="165"/>
      <c r="BU20" s="159"/>
      <c r="BV20" s="161"/>
      <c r="BW20" s="161" t="s">
        <v>646</v>
      </c>
      <c r="BX20" s="165">
        <v>1</v>
      </c>
      <c r="BY20" s="149"/>
      <c r="BZ20" s="156" t="s">
        <v>681</v>
      </c>
      <c r="CA20" s="156" t="s">
        <v>56</v>
      </c>
    </row>
    <row r="21" spans="1:79" ht="13" customHeight="1" x14ac:dyDescent="0.15">
      <c r="A21" s="157">
        <v>13081</v>
      </c>
      <c r="B21" s="253">
        <v>42567</v>
      </c>
      <c r="C21" s="158" t="s">
        <v>641</v>
      </c>
      <c r="D21" s="159" t="s">
        <v>534</v>
      </c>
      <c r="E21" s="160"/>
      <c r="F21" s="159" t="s">
        <v>642</v>
      </c>
      <c r="G21" s="253">
        <v>42551</v>
      </c>
      <c r="H21" s="161" t="s">
        <v>507</v>
      </c>
      <c r="I21" s="161" t="s">
        <v>508</v>
      </c>
      <c r="J21" s="161"/>
      <c r="K21" s="159" t="s">
        <v>682</v>
      </c>
      <c r="L21" s="159" t="s">
        <v>662</v>
      </c>
      <c r="M21" s="162">
        <v>94.554545454545448</v>
      </c>
      <c r="N21" s="162">
        <v>32.999999999999993</v>
      </c>
      <c r="O21" s="159"/>
      <c r="P21" s="163"/>
      <c r="Q21" s="162" t="s">
        <v>644</v>
      </c>
      <c r="R21" s="171"/>
      <c r="S21" s="169"/>
      <c r="T21" s="172"/>
      <c r="U21" s="162"/>
      <c r="V21" s="159"/>
      <c r="W21" s="159"/>
      <c r="X21" s="163"/>
      <c r="Y21" s="159"/>
      <c r="Z21" s="163"/>
      <c r="AA21" s="159"/>
      <c r="AB21" s="163"/>
      <c r="AC21" s="159"/>
      <c r="AD21" s="159"/>
      <c r="AE21" s="159" t="s">
        <v>644</v>
      </c>
      <c r="AF21" s="163" t="s">
        <v>644</v>
      </c>
      <c r="AG21" s="159" t="s">
        <v>644</v>
      </c>
      <c r="AH21" s="159" t="s">
        <v>644</v>
      </c>
      <c r="AI21" s="159" t="s">
        <v>644</v>
      </c>
      <c r="AJ21" s="159" t="s">
        <v>644</v>
      </c>
      <c r="AK21" s="159" t="s">
        <v>644</v>
      </c>
      <c r="AL21" s="159" t="s">
        <v>644</v>
      </c>
      <c r="AM21" s="159" t="s">
        <v>644</v>
      </c>
      <c r="AN21" s="159" t="s">
        <v>644</v>
      </c>
      <c r="AO21" s="159" t="s">
        <v>645</v>
      </c>
      <c r="AP21" s="161" t="s">
        <v>547</v>
      </c>
      <c r="AQ21" s="161"/>
      <c r="AR21" s="161"/>
      <c r="AS21" s="164"/>
      <c r="AT21" s="161">
        <v>11.5</v>
      </c>
      <c r="AU21" s="161"/>
      <c r="AV21" s="161"/>
      <c r="AW21" s="161"/>
      <c r="AX21" s="161" t="s">
        <v>495</v>
      </c>
      <c r="AY21" s="159"/>
      <c r="AZ21" s="161">
        <v>0</v>
      </c>
      <c r="BA21" s="161">
        <v>0</v>
      </c>
      <c r="BB21" s="161">
        <v>0</v>
      </c>
      <c r="BC21" s="161">
        <v>0</v>
      </c>
      <c r="BD21" s="161">
        <v>3</v>
      </c>
      <c r="BE21" s="161">
        <v>0</v>
      </c>
      <c r="BF21" s="161">
        <v>0</v>
      </c>
      <c r="BG21" s="161">
        <v>0</v>
      </c>
      <c r="BH21" s="161">
        <v>0</v>
      </c>
      <c r="BI21" s="161">
        <v>0</v>
      </c>
      <c r="BJ21" s="161">
        <v>0</v>
      </c>
      <c r="BK21" s="161">
        <v>0</v>
      </c>
      <c r="BL21" s="161"/>
      <c r="BM21" s="161" t="s">
        <v>547</v>
      </c>
      <c r="BN21" s="161"/>
      <c r="BO21" s="161" t="s">
        <v>547</v>
      </c>
      <c r="BP21" s="161"/>
      <c r="BQ21" s="161"/>
      <c r="BR21" s="161"/>
      <c r="BS21" s="161"/>
      <c r="BT21" s="165"/>
      <c r="BU21" s="159"/>
      <c r="BV21" s="161"/>
      <c r="BW21" s="161" t="s">
        <v>646</v>
      </c>
      <c r="BX21" s="165"/>
      <c r="BY21" s="149" t="s">
        <v>683</v>
      </c>
      <c r="BZ21" s="156" t="s">
        <v>684</v>
      </c>
      <c r="CA21" s="156" t="s">
        <v>56</v>
      </c>
    </row>
    <row r="22" spans="1:79" customFormat="1" x14ac:dyDescent="0.15">
      <c r="A22" s="157">
        <v>12043</v>
      </c>
      <c r="B22" s="256">
        <v>42605</v>
      </c>
      <c r="C22" s="257" t="s">
        <v>533</v>
      </c>
      <c r="D22" s="255" t="s">
        <v>534</v>
      </c>
      <c r="E22" s="255"/>
      <c r="F22" s="255" t="s">
        <v>535</v>
      </c>
      <c r="G22" s="256">
        <v>42587</v>
      </c>
      <c r="H22" s="258" t="s">
        <v>536</v>
      </c>
      <c r="I22" s="258" t="s">
        <v>537</v>
      </c>
      <c r="J22" s="258"/>
      <c r="K22" s="255" t="s">
        <v>685</v>
      </c>
      <c r="L22" s="255" t="s">
        <v>686</v>
      </c>
      <c r="M22" s="259">
        <v>85.799999999999983</v>
      </c>
      <c r="N22" s="259">
        <v>28.25454545454545</v>
      </c>
      <c r="O22" s="255"/>
      <c r="P22" s="255"/>
      <c r="Q22" s="259"/>
      <c r="R22" s="260"/>
      <c r="S22" s="259"/>
      <c r="T22" s="255"/>
      <c r="U22" s="259"/>
      <c r="V22" s="261"/>
      <c r="W22" s="261"/>
      <c r="X22" s="260"/>
      <c r="Y22" s="259"/>
      <c r="Z22" s="259"/>
      <c r="AA22" s="259"/>
      <c r="AB22" s="259"/>
      <c r="AC22" s="259"/>
      <c r="AD22" s="259"/>
      <c r="AE22" s="259"/>
      <c r="AF22" s="260"/>
      <c r="AG22" s="255"/>
      <c r="AH22" s="259"/>
      <c r="AI22" s="255"/>
      <c r="AJ22" s="255"/>
      <c r="AK22" s="259"/>
      <c r="AL22" s="255"/>
      <c r="AM22" s="259"/>
      <c r="AN22" s="259"/>
      <c r="AO22" s="255" t="s">
        <v>541</v>
      </c>
      <c r="AP22" s="258" t="s">
        <v>537</v>
      </c>
      <c r="AQ22" s="258"/>
      <c r="AR22" s="258"/>
      <c r="AS22" s="262"/>
      <c r="AT22" s="258">
        <v>4</v>
      </c>
      <c r="AU22" s="258"/>
      <c r="AV22" s="258"/>
      <c r="AW22" s="258"/>
      <c r="AX22" s="258" t="s">
        <v>547</v>
      </c>
      <c r="AY22" s="255"/>
      <c r="AZ22" s="258">
        <v>0</v>
      </c>
      <c r="BA22" s="258">
        <v>0</v>
      </c>
      <c r="BB22" s="258">
        <v>0</v>
      </c>
      <c r="BC22" s="258">
        <v>0</v>
      </c>
      <c r="BD22" s="258">
        <v>0</v>
      </c>
      <c r="BE22" s="258">
        <v>0</v>
      </c>
      <c r="BF22" s="258">
        <v>0</v>
      </c>
      <c r="BG22" s="258">
        <v>0</v>
      </c>
      <c r="BH22" s="258">
        <v>0</v>
      </c>
      <c r="BI22" s="258">
        <v>0</v>
      </c>
      <c r="BJ22" s="258">
        <v>0</v>
      </c>
      <c r="BK22" s="258">
        <v>0</v>
      </c>
      <c r="BL22" s="258"/>
      <c r="BM22" s="258" t="s">
        <v>537</v>
      </c>
      <c r="BN22" s="258">
        <v>12</v>
      </c>
      <c r="BO22" s="258" t="s">
        <v>537</v>
      </c>
      <c r="BP22" s="263"/>
      <c r="BQ22" s="258"/>
      <c r="BR22" s="258"/>
      <c r="BS22" s="258"/>
      <c r="BT22" s="255"/>
      <c r="BU22" s="264"/>
      <c r="BV22" s="258"/>
      <c r="BW22" s="258" t="s">
        <v>543</v>
      </c>
      <c r="BX22" s="258">
        <v>1</v>
      </c>
      <c r="BY22" s="264"/>
      <c r="BZ22" s="149" t="s">
        <v>791</v>
      </c>
      <c r="CA22" s="255" t="s">
        <v>90</v>
      </c>
    </row>
    <row r="23" spans="1:79" customFormat="1" x14ac:dyDescent="0.15">
      <c r="A23" s="157">
        <v>6</v>
      </c>
      <c r="B23" s="256">
        <v>42605</v>
      </c>
      <c r="C23" s="257" t="s">
        <v>533</v>
      </c>
      <c r="D23" s="255" t="s">
        <v>534</v>
      </c>
      <c r="E23" s="255"/>
      <c r="F23" s="255" t="s">
        <v>535</v>
      </c>
      <c r="G23" s="256">
        <v>42571</v>
      </c>
      <c r="H23" s="258" t="s">
        <v>536</v>
      </c>
      <c r="I23" s="258" t="s">
        <v>537</v>
      </c>
      <c r="J23" s="258"/>
      <c r="K23" s="255" t="s">
        <v>792</v>
      </c>
      <c r="L23" s="255" t="s">
        <v>687</v>
      </c>
      <c r="M23" s="259">
        <v>99.999999999999986</v>
      </c>
      <c r="N23" s="259">
        <v>25.7</v>
      </c>
      <c r="O23" s="255" t="s">
        <v>648</v>
      </c>
      <c r="P23" s="255">
        <v>1000</v>
      </c>
      <c r="Q23" s="259">
        <v>33.999999999999993</v>
      </c>
      <c r="R23" s="260"/>
      <c r="S23" s="259"/>
      <c r="T23" s="255"/>
      <c r="U23" s="259"/>
      <c r="V23" s="261"/>
      <c r="W23" s="261"/>
      <c r="X23" s="260"/>
      <c r="Y23" s="259"/>
      <c r="Z23" s="259"/>
      <c r="AA23" s="259"/>
      <c r="AB23" s="259"/>
      <c r="AC23" s="259"/>
      <c r="AD23" s="259"/>
      <c r="AE23" s="259"/>
      <c r="AF23" s="260"/>
      <c r="AG23" s="255"/>
      <c r="AH23" s="259"/>
      <c r="AI23" s="255"/>
      <c r="AJ23" s="255"/>
      <c r="AK23" s="259"/>
      <c r="AL23" s="255"/>
      <c r="AM23" s="259"/>
      <c r="AN23" s="259"/>
      <c r="AO23" s="255" t="s">
        <v>541</v>
      </c>
      <c r="AP23" s="258" t="s">
        <v>537</v>
      </c>
      <c r="AQ23" s="258"/>
      <c r="AR23" s="258"/>
      <c r="AS23" s="262"/>
      <c r="AT23" s="258">
        <v>3</v>
      </c>
      <c r="AU23" s="258"/>
      <c r="AV23" s="258"/>
      <c r="AW23" s="258"/>
      <c r="AX23" s="258" t="s">
        <v>547</v>
      </c>
      <c r="AY23" s="255"/>
      <c r="AZ23" s="258">
        <v>0</v>
      </c>
      <c r="BA23" s="258">
        <v>0</v>
      </c>
      <c r="BB23" s="258">
        <v>7</v>
      </c>
      <c r="BC23" s="258">
        <v>0</v>
      </c>
      <c r="BD23" s="258">
        <v>0</v>
      </c>
      <c r="BE23" s="258">
        <v>0</v>
      </c>
      <c r="BF23" s="258">
        <v>0</v>
      </c>
      <c r="BG23" s="258">
        <v>0</v>
      </c>
      <c r="BH23" s="258">
        <v>0</v>
      </c>
      <c r="BI23" s="258">
        <v>0</v>
      </c>
      <c r="BJ23" s="258">
        <v>0</v>
      </c>
      <c r="BK23" s="258">
        <v>0</v>
      </c>
      <c r="BL23" s="258"/>
      <c r="BM23" s="258" t="s">
        <v>537</v>
      </c>
      <c r="BN23" s="258"/>
      <c r="BO23" s="258" t="s">
        <v>537</v>
      </c>
      <c r="BP23" s="263"/>
      <c r="BQ23" s="258"/>
      <c r="BR23" s="258"/>
      <c r="BS23" s="258"/>
      <c r="BT23" s="255"/>
      <c r="BU23" s="264"/>
      <c r="BV23" s="258"/>
      <c r="BW23" s="258" t="s">
        <v>543</v>
      </c>
      <c r="BX23" s="258"/>
      <c r="BY23" s="264"/>
      <c r="BZ23" s="265" t="s">
        <v>793</v>
      </c>
      <c r="CA23" s="264" t="s">
        <v>90</v>
      </c>
    </row>
    <row r="24" spans="1:79" ht="13" customHeight="1" x14ac:dyDescent="0.15">
      <c r="A24" s="157">
        <v>11186</v>
      </c>
      <c r="B24" s="253">
        <v>42566</v>
      </c>
      <c r="C24" s="158" t="s">
        <v>641</v>
      </c>
      <c r="D24" s="159" t="s">
        <v>534</v>
      </c>
      <c r="E24" s="160"/>
      <c r="F24" s="159" t="s">
        <v>642</v>
      </c>
      <c r="G24" s="253">
        <v>42551</v>
      </c>
      <c r="H24" s="161" t="s">
        <v>507</v>
      </c>
      <c r="I24" s="161" t="s">
        <v>547</v>
      </c>
      <c r="J24" s="161"/>
      <c r="K24" s="159" t="s">
        <v>688</v>
      </c>
      <c r="L24" s="159" t="s">
        <v>609</v>
      </c>
      <c r="M24" s="162">
        <v>106.52727272727273</v>
      </c>
      <c r="N24" s="162">
        <v>23.790909090909089</v>
      </c>
      <c r="O24" s="159"/>
      <c r="P24" s="163"/>
      <c r="Q24" s="162" t="s">
        <v>644</v>
      </c>
      <c r="R24" s="171"/>
      <c r="S24" s="169"/>
      <c r="T24" s="172"/>
      <c r="U24" s="162"/>
      <c r="V24" s="159"/>
      <c r="W24" s="159"/>
      <c r="X24" s="163"/>
      <c r="Y24" s="159"/>
      <c r="Z24" s="163"/>
      <c r="AA24" s="159"/>
      <c r="AB24" s="163"/>
      <c r="AC24" s="159"/>
      <c r="AD24" s="159"/>
      <c r="AE24" s="159" t="s">
        <v>644</v>
      </c>
      <c r="AF24" s="163" t="s">
        <v>644</v>
      </c>
      <c r="AG24" s="159" t="s">
        <v>644</v>
      </c>
      <c r="AH24" s="159" t="s">
        <v>644</v>
      </c>
      <c r="AI24" s="159" t="s">
        <v>644</v>
      </c>
      <c r="AJ24" s="159" t="s">
        <v>644</v>
      </c>
      <c r="AK24" s="159" t="s">
        <v>644</v>
      </c>
      <c r="AL24" s="159" t="s">
        <v>644</v>
      </c>
      <c r="AM24" s="159" t="s">
        <v>644</v>
      </c>
      <c r="AN24" s="159" t="s">
        <v>644</v>
      </c>
      <c r="AO24" s="159" t="s">
        <v>645</v>
      </c>
      <c r="AP24" s="161" t="s">
        <v>547</v>
      </c>
      <c r="AQ24" s="161"/>
      <c r="AR24" s="161"/>
      <c r="AS24" s="164"/>
      <c r="AT24" s="161">
        <v>4.1100000000000003</v>
      </c>
      <c r="AU24" s="161"/>
      <c r="AV24" s="161"/>
      <c r="AW24" s="161"/>
      <c r="AX24" s="161" t="s">
        <v>547</v>
      </c>
      <c r="AY24" s="159"/>
      <c r="AZ24" s="161">
        <v>0</v>
      </c>
      <c r="BA24" s="161">
        <v>0</v>
      </c>
      <c r="BB24" s="161">
        <v>0</v>
      </c>
      <c r="BC24" s="161">
        <v>0</v>
      </c>
      <c r="BD24" s="161">
        <v>0</v>
      </c>
      <c r="BE24" s="161">
        <v>0</v>
      </c>
      <c r="BF24" s="161">
        <v>0</v>
      </c>
      <c r="BG24" s="161">
        <v>0</v>
      </c>
      <c r="BH24" s="161">
        <v>0</v>
      </c>
      <c r="BI24" s="161">
        <v>0</v>
      </c>
      <c r="BJ24" s="161">
        <v>0</v>
      </c>
      <c r="BK24" s="161">
        <v>0</v>
      </c>
      <c r="BL24" s="161"/>
      <c r="BM24" s="161" t="s">
        <v>547</v>
      </c>
      <c r="BN24" s="161"/>
      <c r="BO24" s="161" t="s">
        <v>547</v>
      </c>
      <c r="BP24" s="161"/>
      <c r="BQ24" s="161"/>
      <c r="BR24" s="161"/>
      <c r="BS24" s="161"/>
      <c r="BT24" s="165"/>
      <c r="BU24" s="159"/>
      <c r="BV24" s="161"/>
      <c r="BW24" s="161" t="s">
        <v>646</v>
      </c>
      <c r="BX24" s="165">
        <v>1</v>
      </c>
      <c r="BY24" s="149"/>
      <c r="BZ24" s="156" t="s">
        <v>689</v>
      </c>
      <c r="CA24" s="156" t="s">
        <v>56</v>
      </c>
    </row>
    <row r="25" spans="1:79" ht="13" customHeight="1" x14ac:dyDescent="0.15">
      <c r="A25" s="157">
        <v>12712</v>
      </c>
      <c r="B25" s="253">
        <v>42566</v>
      </c>
      <c r="C25" s="158" t="s">
        <v>641</v>
      </c>
      <c r="D25" s="159" t="s">
        <v>534</v>
      </c>
      <c r="E25" s="160"/>
      <c r="F25" s="159" t="s">
        <v>642</v>
      </c>
      <c r="G25" s="253">
        <v>42551</v>
      </c>
      <c r="H25" s="161" t="s">
        <v>507</v>
      </c>
      <c r="I25" s="161" t="s">
        <v>547</v>
      </c>
      <c r="J25" s="161"/>
      <c r="K25" s="159" t="s">
        <v>690</v>
      </c>
      <c r="L25" s="159" t="s">
        <v>691</v>
      </c>
      <c r="M25" s="162">
        <v>99.999999999999986</v>
      </c>
      <c r="N25" s="162">
        <v>27.499999999999996</v>
      </c>
      <c r="O25" s="159"/>
      <c r="P25" s="163"/>
      <c r="Q25" s="162" t="s">
        <v>644</v>
      </c>
      <c r="R25" s="171"/>
      <c r="S25" s="169"/>
      <c r="T25" s="172"/>
      <c r="U25" s="162"/>
      <c r="V25" s="159"/>
      <c r="W25" s="159"/>
      <c r="X25" s="163"/>
      <c r="Y25" s="159"/>
      <c r="Z25" s="163"/>
      <c r="AA25" s="159"/>
      <c r="AB25" s="163"/>
      <c r="AC25" s="159"/>
      <c r="AD25" s="159"/>
      <c r="AE25" s="159" t="s">
        <v>644</v>
      </c>
      <c r="AF25" s="163" t="s">
        <v>644</v>
      </c>
      <c r="AG25" s="159" t="s">
        <v>644</v>
      </c>
      <c r="AH25" s="159" t="s">
        <v>644</v>
      </c>
      <c r="AI25" s="159" t="s">
        <v>644</v>
      </c>
      <c r="AJ25" s="159" t="s">
        <v>644</v>
      </c>
      <c r="AK25" s="159" t="s">
        <v>644</v>
      </c>
      <c r="AL25" s="159" t="s">
        <v>644</v>
      </c>
      <c r="AM25" s="159" t="s">
        <v>644</v>
      </c>
      <c r="AN25" s="159" t="s">
        <v>644</v>
      </c>
      <c r="AO25" s="159" t="s">
        <v>645</v>
      </c>
      <c r="AP25" s="161" t="s">
        <v>547</v>
      </c>
      <c r="AQ25" s="161"/>
      <c r="AR25" s="161"/>
      <c r="AS25" s="164"/>
      <c r="AT25" s="161">
        <v>8</v>
      </c>
      <c r="AU25" s="161"/>
      <c r="AV25" s="161"/>
      <c r="AW25" s="161"/>
      <c r="AX25" s="161" t="s">
        <v>507</v>
      </c>
      <c r="AY25" s="159" t="s">
        <v>692</v>
      </c>
      <c r="AZ25" s="161">
        <v>0</v>
      </c>
      <c r="BA25" s="161">
        <v>0</v>
      </c>
      <c r="BB25" s="161">
        <v>0</v>
      </c>
      <c r="BC25" s="161">
        <v>0</v>
      </c>
      <c r="BD25" s="161">
        <v>0</v>
      </c>
      <c r="BE25" s="161">
        <v>0</v>
      </c>
      <c r="BF25" s="161">
        <v>0</v>
      </c>
      <c r="BG25" s="161">
        <v>0</v>
      </c>
      <c r="BH25" s="161">
        <v>0</v>
      </c>
      <c r="BI25" s="161">
        <v>0</v>
      </c>
      <c r="BJ25" s="161">
        <v>0</v>
      </c>
      <c r="BK25" s="161">
        <v>0</v>
      </c>
      <c r="BL25" s="161"/>
      <c r="BM25" s="161" t="s">
        <v>547</v>
      </c>
      <c r="BN25" s="161"/>
      <c r="BO25" s="161" t="s">
        <v>547</v>
      </c>
      <c r="BP25" s="161"/>
      <c r="BQ25" s="161"/>
      <c r="BR25" s="161"/>
      <c r="BS25" s="161"/>
      <c r="BT25" s="165"/>
      <c r="BU25" s="159"/>
      <c r="BV25" s="161"/>
      <c r="BW25" s="161" t="s">
        <v>646</v>
      </c>
      <c r="BX25" s="165">
        <v>1</v>
      </c>
      <c r="BY25" s="149" t="s">
        <v>693</v>
      </c>
      <c r="BZ25" s="156" t="s">
        <v>694</v>
      </c>
      <c r="CA25" s="156" t="s">
        <v>56</v>
      </c>
    </row>
    <row r="26" spans="1:79" customFormat="1" x14ac:dyDescent="0.15">
      <c r="A26" s="45"/>
      <c r="B26" s="123">
        <v>42606</v>
      </c>
      <c r="C26" s="143" t="s">
        <v>641</v>
      </c>
      <c r="D26" s="144" t="s">
        <v>534</v>
      </c>
      <c r="E26" s="145"/>
      <c r="F26" s="48" t="s">
        <v>642</v>
      </c>
      <c r="G26" s="123">
        <v>42587</v>
      </c>
      <c r="H26" s="49" t="s">
        <v>507</v>
      </c>
      <c r="I26" s="49" t="s">
        <v>547</v>
      </c>
      <c r="J26" s="49"/>
      <c r="K26" s="48" t="s">
        <v>695</v>
      </c>
      <c r="L26" s="144" t="s">
        <v>796</v>
      </c>
      <c r="M26" s="146">
        <v>68.09</v>
      </c>
      <c r="N26" s="146">
        <v>29.44</v>
      </c>
      <c r="O26" s="48"/>
      <c r="P26" s="50"/>
      <c r="Q26" s="146" t="s">
        <v>644</v>
      </c>
      <c r="R26" s="48"/>
      <c r="S26" s="48"/>
      <c r="T26" s="48"/>
      <c r="U26" s="48"/>
      <c r="V26" s="48"/>
      <c r="W26" s="48"/>
      <c r="X26" s="50"/>
      <c r="Y26" s="48"/>
      <c r="Z26" s="50"/>
      <c r="AA26" s="48"/>
      <c r="AB26" s="50"/>
      <c r="AC26" s="48"/>
      <c r="AD26" s="48"/>
      <c r="AE26" s="48" t="s">
        <v>644</v>
      </c>
      <c r="AF26" s="50" t="s">
        <v>644</v>
      </c>
      <c r="AG26" s="48" t="s">
        <v>644</v>
      </c>
      <c r="AH26" s="48" t="s">
        <v>644</v>
      </c>
      <c r="AI26" s="48" t="s">
        <v>644</v>
      </c>
      <c r="AJ26" s="48" t="s">
        <v>644</v>
      </c>
      <c r="AK26" s="48" t="s">
        <v>644</v>
      </c>
      <c r="AL26" s="48" t="s">
        <v>644</v>
      </c>
      <c r="AM26" s="48" t="s">
        <v>644</v>
      </c>
      <c r="AN26" s="48" t="s">
        <v>644</v>
      </c>
      <c r="AO26" s="48" t="s">
        <v>645</v>
      </c>
      <c r="AP26" s="49" t="s">
        <v>547</v>
      </c>
      <c r="AQ26" s="49"/>
      <c r="AR26" s="49"/>
      <c r="AS26" s="51"/>
      <c r="AT26" s="49">
        <v>7</v>
      </c>
      <c r="AU26" s="49"/>
      <c r="AV26" s="49"/>
      <c r="AW26" s="49"/>
      <c r="AX26" s="49" t="s">
        <v>547</v>
      </c>
      <c r="AY26" s="48"/>
      <c r="AZ26" s="49">
        <v>0</v>
      </c>
      <c r="BA26" s="49">
        <v>0</v>
      </c>
      <c r="BB26" s="49">
        <v>0</v>
      </c>
      <c r="BC26" s="49">
        <v>0</v>
      </c>
      <c r="BD26" s="49">
        <v>0</v>
      </c>
      <c r="BE26" s="49">
        <v>0</v>
      </c>
      <c r="BF26" s="49">
        <v>0</v>
      </c>
      <c r="BG26" s="49">
        <v>0</v>
      </c>
      <c r="BH26" s="49">
        <v>0</v>
      </c>
      <c r="BI26" s="49">
        <v>0</v>
      </c>
      <c r="BJ26" s="49">
        <v>0</v>
      </c>
      <c r="BK26" s="49">
        <v>0</v>
      </c>
      <c r="BL26" s="49"/>
      <c r="BM26" s="49" t="s">
        <v>547</v>
      </c>
      <c r="BN26" s="49"/>
      <c r="BO26" s="49" t="s">
        <v>547</v>
      </c>
      <c r="BP26" s="250"/>
      <c r="BQ26" s="49"/>
      <c r="BR26" s="49"/>
      <c r="BS26" s="49"/>
      <c r="BT26" s="52"/>
      <c r="BU26" s="48"/>
      <c r="BV26" s="49"/>
      <c r="BW26" s="49" t="s">
        <v>646</v>
      </c>
      <c r="BX26" s="49"/>
      <c r="BY26" s="52"/>
      <c r="BZ26" s="149" t="s">
        <v>797</v>
      </c>
      <c r="CA26" s="118" t="s">
        <v>90</v>
      </c>
    </row>
    <row r="27" spans="1:79" ht="13" customHeight="1" x14ac:dyDescent="0.15">
      <c r="A27" s="157">
        <v>10815</v>
      </c>
      <c r="B27" s="253">
        <v>42566</v>
      </c>
      <c r="C27" s="158" t="s">
        <v>641</v>
      </c>
      <c r="D27" s="159" t="s">
        <v>534</v>
      </c>
      <c r="E27" s="160"/>
      <c r="F27" s="159" t="s">
        <v>696</v>
      </c>
      <c r="G27" s="253">
        <v>42551</v>
      </c>
      <c r="H27" s="161" t="s">
        <v>507</v>
      </c>
      <c r="I27" s="161" t="s">
        <v>508</v>
      </c>
      <c r="J27" s="161"/>
      <c r="K27" s="159" t="s">
        <v>138</v>
      </c>
      <c r="L27" s="159" t="s">
        <v>643</v>
      </c>
      <c r="M27" s="162">
        <v>80.999999999999986</v>
      </c>
      <c r="N27" s="162">
        <v>36.709090909090911</v>
      </c>
      <c r="O27" s="159"/>
      <c r="P27" s="163"/>
      <c r="Q27" s="162" t="s">
        <v>644</v>
      </c>
      <c r="R27" s="163"/>
      <c r="S27" s="162"/>
      <c r="T27" s="163"/>
      <c r="U27" s="162"/>
      <c r="V27" s="159"/>
      <c r="W27" s="159"/>
      <c r="X27" s="159"/>
      <c r="Y27" s="159"/>
      <c r="Z27" s="163"/>
      <c r="AA27" s="159"/>
      <c r="AB27" s="163"/>
      <c r="AC27" s="159"/>
      <c r="AD27" s="159"/>
      <c r="AE27" s="162">
        <v>20.109090909090909</v>
      </c>
      <c r="AF27" s="162" t="s">
        <v>644</v>
      </c>
      <c r="AG27" s="162" t="s">
        <v>644</v>
      </c>
      <c r="AH27" s="159" t="s">
        <v>644</v>
      </c>
      <c r="AI27" s="159" t="s">
        <v>644</v>
      </c>
      <c r="AJ27" s="159" t="s">
        <v>644</v>
      </c>
      <c r="AK27" s="159" t="s">
        <v>644</v>
      </c>
      <c r="AL27" s="159" t="s">
        <v>644</v>
      </c>
      <c r="AM27" s="159" t="s">
        <v>644</v>
      </c>
      <c r="AN27" s="159" t="s">
        <v>644</v>
      </c>
      <c r="AO27" s="159" t="s">
        <v>697</v>
      </c>
      <c r="AP27" s="161" t="s">
        <v>547</v>
      </c>
      <c r="AQ27" s="161"/>
      <c r="AR27" s="161"/>
      <c r="AS27" s="164"/>
      <c r="AT27" s="161">
        <v>18</v>
      </c>
      <c r="AU27" s="161"/>
      <c r="AV27" s="161"/>
      <c r="AW27" s="161"/>
      <c r="AX27" s="161" t="s">
        <v>495</v>
      </c>
      <c r="AY27" s="159"/>
      <c r="AZ27" s="161">
        <v>0</v>
      </c>
      <c r="BA27" s="161">
        <v>0</v>
      </c>
      <c r="BB27" s="161">
        <v>0</v>
      </c>
      <c r="BC27" s="161">
        <v>0</v>
      </c>
      <c r="BD27" s="161">
        <v>0</v>
      </c>
      <c r="BE27" s="161">
        <v>0</v>
      </c>
      <c r="BF27" s="161">
        <v>0</v>
      </c>
      <c r="BG27" s="161">
        <v>0</v>
      </c>
      <c r="BH27" s="161">
        <v>0</v>
      </c>
      <c r="BI27" s="161">
        <v>0</v>
      </c>
      <c r="BJ27" s="161">
        <v>0</v>
      </c>
      <c r="BK27" s="161">
        <v>0</v>
      </c>
      <c r="BL27" s="161"/>
      <c r="BM27" s="161" t="s">
        <v>547</v>
      </c>
      <c r="BN27" s="161">
        <v>12</v>
      </c>
      <c r="BO27" s="161" t="s">
        <v>547</v>
      </c>
      <c r="BP27" s="161"/>
      <c r="BQ27" s="161"/>
      <c r="BR27" s="161"/>
      <c r="BS27" s="161"/>
      <c r="BT27" s="159"/>
      <c r="BU27" s="165"/>
      <c r="BV27" s="161"/>
      <c r="BW27" s="161" t="s">
        <v>646</v>
      </c>
      <c r="BX27" s="165"/>
      <c r="BZ27" s="166" t="s">
        <v>698</v>
      </c>
      <c r="CA27" s="156" t="s">
        <v>56</v>
      </c>
    </row>
    <row r="28" spans="1:79" ht="13" customHeight="1" x14ac:dyDescent="0.15">
      <c r="A28" s="157">
        <v>10485</v>
      </c>
      <c r="B28" s="253">
        <v>42567</v>
      </c>
      <c r="C28" s="158" t="s">
        <v>641</v>
      </c>
      <c r="D28" s="159" t="s">
        <v>534</v>
      </c>
      <c r="E28" s="160"/>
      <c r="F28" s="159" t="s">
        <v>696</v>
      </c>
      <c r="G28" s="254">
        <v>42567</v>
      </c>
      <c r="H28" s="161" t="s">
        <v>507</v>
      </c>
      <c r="I28" s="161" t="s">
        <v>547</v>
      </c>
      <c r="J28" s="161"/>
      <c r="K28" s="159" t="s">
        <v>139</v>
      </c>
      <c r="L28" s="159" t="s">
        <v>545</v>
      </c>
      <c r="M28" s="162">
        <v>83</v>
      </c>
      <c r="N28" s="162">
        <v>30.154545454545453</v>
      </c>
      <c r="O28" s="159" t="s">
        <v>648</v>
      </c>
      <c r="P28" s="163">
        <v>300</v>
      </c>
      <c r="Q28" s="162">
        <v>33.590909090909093</v>
      </c>
      <c r="R28" s="163"/>
      <c r="S28" s="162"/>
      <c r="T28" s="163"/>
      <c r="U28" s="162"/>
      <c r="V28" s="159"/>
      <c r="W28" s="159"/>
      <c r="X28" s="159"/>
      <c r="Y28" s="159"/>
      <c r="Z28" s="159"/>
      <c r="AA28" s="159"/>
      <c r="AB28" s="159"/>
      <c r="AC28" s="159"/>
      <c r="AD28" s="159"/>
      <c r="AE28" s="162">
        <v>16.618181818181817</v>
      </c>
      <c r="AF28" s="162" t="s">
        <v>644</v>
      </c>
      <c r="AG28" s="162" t="s">
        <v>644</v>
      </c>
      <c r="AH28" s="159" t="s">
        <v>644</v>
      </c>
      <c r="AI28" s="159" t="s">
        <v>644</v>
      </c>
      <c r="AJ28" s="159" t="s">
        <v>644</v>
      </c>
      <c r="AK28" s="159" t="s">
        <v>644</v>
      </c>
      <c r="AL28" s="159" t="s">
        <v>644</v>
      </c>
      <c r="AM28" s="159" t="s">
        <v>644</v>
      </c>
      <c r="AN28" s="159" t="s">
        <v>644</v>
      </c>
      <c r="AO28" s="159" t="s">
        <v>697</v>
      </c>
      <c r="AP28" s="161" t="s">
        <v>547</v>
      </c>
      <c r="AQ28" s="161"/>
      <c r="AR28" s="161"/>
      <c r="AS28" s="164"/>
      <c r="AT28" s="161">
        <v>9.5</v>
      </c>
      <c r="AU28" s="161"/>
      <c r="AV28" s="161"/>
      <c r="AW28" s="161"/>
      <c r="AX28" s="161" t="s">
        <v>547</v>
      </c>
      <c r="AY28" s="159"/>
      <c r="AZ28" s="161">
        <v>0</v>
      </c>
      <c r="BA28" s="161">
        <v>0</v>
      </c>
      <c r="BB28" s="161">
        <v>0</v>
      </c>
      <c r="BC28" s="161">
        <v>0</v>
      </c>
      <c r="BD28" s="161">
        <v>0</v>
      </c>
      <c r="BE28" s="161">
        <v>0</v>
      </c>
      <c r="BF28" s="161">
        <v>0</v>
      </c>
      <c r="BG28" s="161">
        <v>0</v>
      </c>
      <c r="BH28" s="161">
        <v>0</v>
      </c>
      <c r="BI28" s="161">
        <v>0</v>
      </c>
      <c r="BJ28" s="161">
        <v>0</v>
      </c>
      <c r="BK28" s="161">
        <v>0</v>
      </c>
      <c r="BL28" s="161"/>
      <c r="BM28" s="161" t="s">
        <v>547</v>
      </c>
      <c r="BN28" s="161"/>
      <c r="BO28" s="161" t="s">
        <v>547</v>
      </c>
      <c r="BP28" s="161"/>
      <c r="BQ28" s="161"/>
      <c r="BR28" s="161"/>
      <c r="BS28" s="161"/>
      <c r="BT28" s="159"/>
      <c r="BU28" s="159"/>
      <c r="BV28" s="161"/>
      <c r="BW28" s="161" t="s">
        <v>646</v>
      </c>
      <c r="BX28" s="159">
        <v>1</v>
      </c>
      <c r="BZ28" s="156" t="s">
        <v>699</v>
      </c>
      <c r="CA28" s="156" t="s">
        <v>90</v>
      </c>
    </row>
    <row r="29" spans="1:79" ht="13" customHeight="1" x14ac:dyDescent="0.2">
      <c r="A29" s="157">
        <v>13047</v>
      </c>
      <c r="B29" s="253">
        <v>42566</v>
      </c>
      <c r="C29" s="158" t="s">
        <v>641</v>
      </c>
      <c r="D29" s="159" t="s">
        <v>534</v>
      </c>
      <c r="E29" s="160"/>
      <c r="F29" s="159" t="s">
        <v>696</v>
      </c>
      <c r="G29" s="253">
        <v>42551</v>
      </c>
      <c r="H29" s="161" t="s">
        <v>507</v>
      </c>
      <c r="I29" s="161" t="s">
        <v>547</v>
      </c>
      <c r="J29" s="161"/>
      <c r="K29" s="159" t="s">
        <v>140</v>
      </c>
      <c r="L29" s="159" t="s">
        <v>650</v>
      </c>
      <c r="M29" s="162">
        <v>92.399999999999991</v>
      </c>
      <c r="N29" s="162">
        <v>33.200000000000003</v>
      </c>
      <c r="O29" s="159"/>
      <c r="P29" s="163"/>
      <c r="Q29" s="162" t="s">
        <v>644</v>
      </c>
      <c r="R29" s="163"/>
      <c r="S29" s="162"/>
      <c r="T29" s="163"/>
      <c r="U29" s="162"/>
      <c r="V29" s="162"/>
      <c r="W29" s="162"/>
      <c r="X29" s="162"/>
      <c r="Y29" s="162"/>
      <c r="Z29" s="162"/>
      <c r="AA29" s="162"/>
      <c r="AB29" s="162"/>
      <c r="AC29" s="162"/>
      <c r="AD29" s="162"/>
      <c r="AE29" s="162">
        <v>17.118181818181814</v>
      </c>
      <c r="AF29" s="162" t="s">
        <v>644</v>
      </c>
      <c r="AG29" s="162" t="s">
        <v>644</v>
      </c>
      <c r="AH29" s="162" t="s">
        <v>644</v>
      </c>
      <c r="AI29" s="162" t="s">
        <v>644</v>
      </c>
      <c r="AJ29" s="162" t="s">
        <v>644</v>
      </c>
      <c r="AK29" s="162" t="s">
        <v>644</v>
      </c>
      <c r="AL29" s="159" t="s">
        <v>644</v>
      </c>
      <c r="AM29" s="162" t="s">
        <v>644</v>
      </c>
      <c r="AN29" s="162" t="s">
        <v>644</v>
      </c>
      <c r="AO29" s="159" t="s">
        <v>697</v>
      </c>
      <c r="AP29" s="161" t="s">
        <v>547</v>
      </c>
      <c r="AQ29" s="161"/>
      <c r="AR29" s="161"/>
      <c r="AS29" s="164"/>
      <c r="AT29" s="161">
        <v>17</v>
      </c>
      <c r="AU29" s="161"/>
      <c r="AV29" s="161"/>
      <c r="AW29" s="161"/>
      <c r="AX29" s="161" t="s">
        <v>547</v>
      </c>
      <c r="AY29" s="159"/>
      <c r="AZ29" s="161">
        <v>0</v>
      </c>
      <c r="BA29" s="161">
        <v>0</v>
      </c>
      <c r="BB29" s="161">
        <v>0</v>
      </c>
      <c r="BC29" s="161">
        <v>0</v>
      </c>
      <c r="BD29" s="161">
        <v>0</v>
      </c>
      <c r="BE29" s="161">
        <v>0</v>
      </c>
      <c r="BF29" s="161">
        <v>0</v>
      </c>
      <c r="BG29" s="161">
        <v>0</v>
      </c>
      <c r="BH29" s="161">
        <v>0</v>
      </c>
      <c r="BI29" s="161">
        <v>0</v>
      </c>
      <c r="BJ29" s="161">
        <v>0</v>
      </c>
      <c r="BK29" s="161">
        <v>0</v>
      </c>
      <c r="BL29" s="161"/>
      <c r="BM29" s="161" t="s">
        <v>547</v>
      </c>
      <c r="BN29" s="161"/>
      <c r="BO29" s="161" t="s">
        <v>547</v>
      </c>
      <c r="BP29" s="161"/>
      <c r="BQ29" s="161"/>
      <c r="BR29" s="161"/>
      <c r="BS29" s="161"/>
      <c r="BT29" s="167"/>
      <c r="BU29" s="167"/>
      <c r="BV29" s="161"/>
      <c r="BW29" s="161" t="s">
        <v>646</v>
      </c>
      <c r="BX29" s="159">
        <v>1</v>
      </c>
      <c r="BY29" s="149" t="s">
        <v>651</v>
      </c>
      <c r="BZ29" s="156" t="s">
        <v>700</v>
      </c>
      <c r="CA29" s="156" t="s">
        <v>56</v>
      </c>
    </row>
    <row r="30" spans="1:79" ht="13" customHeight="1" x14ac:dyDescent="0.15">
      <c r="A30" s="157">
        <v>957</v>
      </c>
      <c r="B30" s="253">
        <v>42567</v>
      </c>
      <c r="C30" s="158" t="s">
        <v>641</v>
      </c>
      <c r="D30" s="159" t="s">
        <v>534</v>
      </c>
      <c r="E30" s="160"/>
      <c r="F30" s="159" t="s">
        <v>696</v>
      </c>
      <c r="G30" s="253">
        <v>42551</v>
      </c>
      <c r="H30" s="161" t="s">
        <v>507</v>
      </c>
      <c r="I30" s="161" t="s">
        <v>547</v>
      </c>
      <c r="J30" s="161"/>
      <c r="K30" s="159" t="s">
        <v>141</v>
      </c>
      <c r="L30" s="159" t="s">
        <v>609</v>
      </c>
      <c r="M30" s="162">
        <v>88.8</v>
      </c>
      <c r="N30" s="162">
        <v>32.409090909090907</v>
      </c>
      <c r="O30" s="159" t="s">
        <v>648</v>
      </c>
      <c r="P30" s="163">
        <v>1000</v>
      </c>
      <c r="Q30" s="162">
        <v>33.25454545454545</v>
      </c>
      <c r="R30" s="163"/>
      <c r="S30" s="162"/>
      <c r="T30" s="163"/>
      <c r="U30" s="162"/>
      <c r="V30" s="159"/>
      <c r="W30" s="159"/>
      <c r="X30" s="159"/>
      <c r="Y30" s="159"/>
      <c r="Z30" s="159"/>
      <c r="AA30" s="159"/>
      <c r="AB30" s="159"/>
      <c r="AC30" s="159"/>
      <c r="AD30" s="159"/>
      <c r="AE30" s="162">
        <v>18.072727272727271</v>
      </c>
      <c r="AF30" s="162" t="s">
        <v>644</v>
      </c>
      <c r="AG30" s="162" t="s">
        <v>644</v>
      </c>
      <c r="AH30" s="159" t="s">
        <v>644</v>
      </c>
      <c r="AI30" s="159" t="s">
        <v>644</v>
      </c>
      <c r="AJ30" s="159" t="s">
        <v>644</v>
      </c>
      <c r="AK30" s="159" t="s">
        <v>644</v>
      </c>
      <c r="AL30" s="159" t="s">
        <v>644</v>
      </c>
      <c r="AM30" s="159" t="s">
        <v>644</v>
      </c>
      <c r="AN30" s="159" t="s">
        <v>644</v>
      </c>
      <c r="AO30" s="159" t="s">
        <v>697</v>
      </c>
      <c r="AP30" s="161" t="s">
        <v>547</v>
      </c>
      <c r="AQ30" s="161"/>
      <c r="AR30" s="161"/>
      <c r="AS30" s="164"/>
      <c r="AT30" s="161">
        <v>11.6</v>
      </c>
      <c r="AU30" s="161"/>
      <c r="AV30" s="161"/>
      <c r="AW30" s="161"/>
      <c r="AX30" s="161" t="s">
        <v>547</v>
      </c>
      <c r="AY30" s="159"/>
      <c r="AZ30" s="161">
        <v>0</v>
      </c>
      <c r="BA30" s="161">
        <v>0</v>
      </c>
      <c r="BB30" s="161">
        <v>0</v>
      </c>
      <c r="BC30" s="161">
        <v>0</v>
      </c>
      <c r="BD30" s="161">
        <v>0</v>
      </c>
      <c r="BE30" s="161">
        <v>0</v>
      </c>
      <c r="BF30" s="161">
        <v>0</v>
      </c>
      <c r="BG30" s="161">
        <v>0</v>
      </c>
      <c r="BH30" s="161">
        <v>0</v>
      </c>
      <c r="BI30" s="161">
        <v>0</v>
      </c>
      <c r="BJ30" s="161">
        <v>0</v>
      </c>
      <c r="BK30" s="161">
        <v>0</v>
      </c>
      <c r="BL30" s="161"/>
      <c r="BM30" s="161" t="s">
        <v>547</v>
      </c>
      <c r="BN30" s="161"/>
      <c r="BO30" s="161" t="s">
        <v>547</v>
      </c>
      <c r="BP30" s="161"/>
      <c r="BQ30" s="161"/>
      <c r="BR30" s="161"/>
      <c r="BS30" s="161"/>
      <c r="BT30" s="165"/>
      <c r="BU30" s="159"/>
      <c r="BV30" s="161"/>
      <c r="BW30" s="161" t="s">
        <v>646</v>
      </c>
      <c r="BX30" s="159"/>
      <c r="BY30" s="149"/>
      <c r="BZ30" s="166" t="s">
        <v>701</v>
      </c>
      <c r="CA30" s="156" t="s">
        <v>90</v>
      </c>
    </row>
    <row r="31" spans="1:79" ht="13" customHeight="1" x14ac:dyDescent="0.15">
      <c r="A31" s="157">
        <v>11089</v>
      </c>
      <c r="B31" s="253">
        <v>42567</v>
      </c>
      <c r="C31" s="158" t="s">
        <v>641</v>
      </c>
      <c r="D31" s="159" t="s">
        <v>534</v>
      </c>
      <c r="E31" s="160"/>
      <c r="F31" s="159" t="s">
        <v>696</v>
      </c>
      <c r="G31" s="254">
        <v>42494</v>
      </c>
      <c r="H31" s="161" t="s">
        <v>507</v>
      </c>
      <c r="I31" s="161" t="s">
        <v>547</v>
      </c>
      <c r="J31" s="161"/>
      <c r="K31" s="159" t="s">
        <v>142</v>
      </c>
      <c r="L31" s="159" t="s">
        <v>788</v>
      </c>
      <c r="M31" s="162">
        <v>86.95</v>
      </c>
      <c r="N31" s="162">
        <v>33.26</v>
      </c>
      <c r="O31" s="159" t="s">
        <v>648</v>
      </c>
      <c r="P31" s="163">
        <v>300</v>
      </c>
      <c r="Q31" s="162">
        <v>35.89</v>
      </c>
      <c r="R31" s="163">
        <v>700</v>
      </c>
      <c r="S31" s="162">
        <v>38.950000000000003</v>
      </c>
      <c r="T31" s="163">
        <v>1500</v>
      </c>
      <c r="U31" s="162">
        <v>39.869999999999997</v>
      </c>
      <c r="V31" s="159"/>
      <c r="W31" s="159"/>
      <c r="X31" s="159"/>
      <c r="Y31" s="159"/>
      <c r="Z31" s="159"/>
      <c r="AA31" s="159"/>
      <c r="AB31" s="159"/>
      <c r="AC31" s="159"/>
      <c r="AD31" s="159"/>
      <c r="AE31" s="162">
        <v>19.954545454545453</v>
      </c>
      <c r="AF31" s="162" t="s">
        <v>644</v>
      </c>
      <c r="AG31" s="162" t="s">
        <v>644</v>
      </c>
      <c r="AH31" s="159" t="s">
        <v>644</v>
      </c>
      <c r="AI31" s="159" t="s">
        <v>644</v>
      </c>
      <c r="AJ31" s="159" t="s">
        <v>644</v>
      </c>
      <c r="AK31" s="159" t="s">
        <v>644</v>
      </c>
      <c r="AL31" s="159" t="s">
        <v>644</v>
      </c>
      <c r="AM31" s="159" t="s">
        <v>644</v>
      </c>
      <c r="AN31" s="159" t="s">
        <v>644</v>
      </c>
      <c r="AO31" s="159" t="s">
        <v>697</v>
      </c>
      <c r="AP31" s="161" t="s">
        <v>547</v>
      </c>
      <c r="AQ31" s="161"/>
      <c r="AR31" s="161"/>
      <c r="AS31" s="164">
        <v>10</v>
      </c>
      <c r="AT31" s="161">
        <v>12</v>
      </c>
      <c r="AU31" s="161"/>
      <c r="AV31" s="161"/>
      <c r="AW31" s="161"/>
      <c r="AX31" s="161" t="s">
        <v>547</v>
      </c>
      <c r="AY31" s="159"/>
      <c r="AZ31" s="161">
        <v>0</v>
      </c>
      <c r="BA31" s="161">
        <v>0</v>
      </c>
      <c r="BB31" s="161">
        <v>7</v>
      </c>
      <c r="BC31" s="161">
        <v>0</v>
      </c>
      <c r="BD31" s="161">
        <v>0</v>
      </c>
      <c r="BE31" s="161">
        <v>0</v>
      </c>
      <c r="BF31" s="161">
        <v>0</v>
      </c>
      <c r="BG31" s="161">
        <v>0</v>
      </c>
      <c r="BH31" s="161">
        <v>0</v>
      </c>
      <c r="BI31" s="161">
        <v>0</v>
      </c>
      <c r="BJ31" s="161">
        <v>0</v>
      </c>
      <c r="BK31" s="161">
        <v>0</v>
      </c>
      <c r="BL31" s="161"/>
      <c r="BM31" s="161" t="s">
        <v>547</v>
      </c>
      <c r="BN31" s="161"/>
      <c r="BO31" s="161" t="s">
        <v>547</v>
      </c>
      <c r="BP31" s="161"/>
      <c r="BQ31" s="161"/>
      <c r="BR31" s="161"/>
      <c r="BS31" s="161"/>
      <c r="BT31" s="159"/>
      <c r="BU31" s="159"/>
      <c r="BV31" s="161"/>
      <c r="BW31" s="161" t="s">
        <v>646</v>
      </c>
      <c r="BX31" s="159"/>
      <c r="BZ31" s="252" t="s">
        <v>702</v>
      </c>
      <c r="CA31" s="156" t="s">
        <v>90</v>
      </c>
    </row>
    <row r="32" spans="1:79" ht="13" customHeight="1" x14ac:dyDescent="0.15">
      <c r="A32" s="157">
        <v>961</v>
      </c>
      <c r="B32" s="253">
        <v>42566</v>
      </c>
      <c r="C32" s="158" t="s">
        <v>641</v>
      </c>
      <c r="D32" s="159" t="s">
        <v>534</v>
      </c>
      <c r="E32" s="160"/>
      <c r="F32" s="159" t="s">
        <v>696</v>
      </c>
      <c r="G32" s="253">
        <v>42551</v>
      </c>
      <c r="H32" s="161" t="s">
        <v>507</v>
      </c>
      <c r="I32" s="161" t="s">
        <v>547</v>
      </c>
      <c r="J32" s="161"/>
      <c r="K32" s="159" t="s">
        <v>143</v>
      </c>
      <c r="L32" s="159" t="s">
        <v>609</v>
      </c>
      <c r="M32" s="162">
        <v>88.8</v>
      </c>
      <c r="N32" s="162">
        <v>32.409090909090907</v>
      </c>
      <c r="O32" s="159" t="s">
        <v>648</v>
      </c>
      <c r="P32" s="163">
        <v>1000</v>
      </c>
      <c r="Q32" s="162">
        <v>33.25454545454545</v>
      </c>
      <c r="R32" s="163"/>
      <c r="S32" s="162"/>
      <c r="T32" s="163"/>
      <c r="U32" s="162"/>
      <c r="V32" s="159"/>
      <c r="W32" s="159"/>
      <c r="X32" s="159"/>
      <c r="Y32" s="159"/>
      <c r="Z32" s="159"/>
      <c r="AA32" s="159"/>
      <c r="AB32" s="159"/>
      <c r="AC32" s="159"/>
      <c r="AD32" s="159"/>
      <c r="AE32" s="162">
        <v>18.072727272727271</v>
      </c>
      <c r="AF32" s="162" t="s">
        <v>644</v>
      </c>
      <c r="AG32" s="162" t="s">
        <v>644</v>
      </c>
      <c r="AH32" s="159" t="s">
        <v>644</v>
      </c>
      <c r="AI32" s="159" t="s">
        <v>644</v>
      </c>
      <c r="AJ32" s="159" t="s">
        <v>644</v>
      </c>
      <c r="AK32" s="159" t="s">
        <v>644</v>
      </c>
      <c r="AL32" s="159" t="s">
        <v>644</v>
      </c>
      <c r="AM32" s="159" t="s">
        <v>644</v>
      </c>
      <c r="AN32" s="159" t="s">
        <v>644</v>
      </c>
      <c r="AO32" s="159" t="s">
        <v>697</v>
      </c>
      <c r="AP32" s="161" t="s">
        <v>547</v>
      </c>
      <c r="AQ32" s="161"/>
      <c r="AR32" s="161"/>
      <c r="AS32" s="164"/>
      <c r="AT32" s="161">
        <v>11.6</v>
      </c>
      <c r="AU32" s="161"/>
      <c r="AV32" s="161"/>
      <c r="AW32" s="161"/>
      <c r="AX32" s="161" t="s">
        <v>495</v>
      </c>
      <c r="AY32" s="159"/>
      <c r="AZ32" s="161">
        <v>0</v>
      </c>
      <c r="BA32" s="161">
        <v>0</v>
      </c>
      <c r="BB32" s="161">
        <v>0</v>
      </c>
      <c r="BC32" s="161">
        <v>0</v>
      </c>
      <c r="BD32" s="161">
        <v>0</v>
      </c>
      <c r="BE32" s="161">
        <v>0</v>
      </c>
      <c r="BF32" s="161">
        <v>0</v>
      </c>
      <c r="BG32" s="161">
        <v>0</v>
      </c>
      <c r="BH32" s="161">
        <v>0</v>
      </c>
      <c r="BI32" s="161">
        <v>0</v>
      </c>
      <c r="BJ32" s="161">
        <v>0</v>
      </c>
      <c r="BK32" s="161">
        <v>0</v>
      </c>
      <c r="BL32" s="161"/>
      <c r="BM32" s="161" t="s">
        <v>547</v>
      </c>
      <c r="BN32" s="161"/>
      <c r="BO32" s="161" t="s">
        <v>547</v>
      </c>
      <c r="BP32" s="161"/>
      <c r="BQ32" s="161"/>
      <c r="BR32" s="161"/>
      <c r="BS32" s="161"/>
      <c r="BT32" s="159"/>
      <c r="BU32" s="159"/>
      <c r="BV32" s="161"/>
      <c r="BW32" s="161" t="s">
        <v>646</v>
      </c>
      <c r="BX32" s="159"/>
      <c r="BZ32" s="166" t="s">
        <v>703</v>
      </c>
      <c r="CA32" s="156" t="s">
        <v>56</v>
      </c>
    </row>
    <row r="33" spans="1:79" ht="13" customHeight="1" x14ac:dyDescent="0.15">
      <c r="A33" s="157">
        <v>10288</v>
      </c>
      <c r="B33" s="253">
        <v>42566</v>
      </c>
      <c r="C33" s="158" t="s">
        <v>641</v>
      </c>
      <c r="D33" s="159" t="s">
        <v>534</v>
      </c>
      <c r="E33" s="160"/>
      <c r="F33" s="159" t="s">
        <v>696</v>
      </c>
      <c r="G33" s="253">
        <v>42551</v>
      </c>
      <c r="H33" s="161" t="s">
        <v>507</v>
      </c>
      <c r="I33" s="161" t="s">
        <v>547</v>
      </c>
      <c r="J33" s="161"/>
      <c r="K33" s="159" t="s">
        <v>144</v>
      </c>
      <c r="L33" s="159" t="s">
        <v>618</v>
      </c>
      <c r="M33" s="162">
        <v>77.999999999999986</v>
      </c>
      <c r="N33" s="162">
        <v>34.518181818181816</v>
      </c>
      <c r="O33" s="159"/>
      <c r="P33" s="163"/>
      <c r="Q33" s="162" t="s">
        <v>644</v>
      </c>
      <c r="R33" s="163"/>
      <c r="S33" s="162"/>
      <c r="T33" s="163"/>
      <c r="U33" s="162"/>
      <c r="V33" s="159"/>
      <c r="W33" s="159"/>
      <c r="X33" s="163"/>
      <c r="Y33" s="159"/>
      <c r="Z33" s="163"/>
      <c r="AA33" s="159"/>
      <c r="AB33" s="163"/>
      <c r="AC33" s="159"/>
      <c r="AD33" s="159"/>
      <c r="AE33" s="162">
        <v>16.972727272727273</v>
      </c>
      <c r="AF33" s="162" t="s">
        <v>644</v>
      </c>
      <c r="AG33" s="162" t="s">
        <v>644</v>
      </c>
      <c r="AH33" s="159" t="s">
        <v>644</v>
      </c>
      <c r="AI33" s="159" t="s">
        <v>644</v>
      </c>
      <c r="AJ33" s="159" t="s">
        <v>644</v>
      </c>
      <c r="AK33" s="159" t="s">
        <v>644</v>
      </c>
      <c r="AL33" s="159" t="s">
        <v>644</v>
      </c>
      <c r="AM33" s="159" t="s">
        <v>644</v>
      </c>
      <c r="AN33" s="159" t="s">
        <v>644</v>
      </c>
      <c r="AO33" s="159" t="s">
        <v>697</v>
      </c>
      <c r="AP33" s="161" t="s">
        <v>547</v>
      </c>
      <c r="AQ33" s="161"/>
      <c r="AR33" s="161"/>
      <c r="AS33" s="164"/>
      <c r="AT33" s="161">
        <v>11.5</v>
      </c>
      <c r="AU33" s="161"/>
      <c r="AV33" s="161"/>
      <c r="AW33" s="161"/>
      <c r="AX33" s="161" t="s">
        <v>495</v>
      </c>
      <c r="AY33" s="159"/>
      <c r="AZ33" s="161">
        <v>6</v>
      </c>
      <c r="BA33" s="161">
        <v>0</v>
      </c>
      <c r="BB33" s="161">
        <v>0</v>
      </c>
      <c r="BC33" s="161">
        <v>0</v>
      </c>
      <c r="BD33" s="161">
        <v>0</v>
      </c>
      <c r="BE33" s="161">
        <v>0</v>
      </c>
      <c r="BF33" s="161">
        <v>0</v>
      </c>
      <c r="BG33" s="161">
        <v>0</v>
      </c>
      <c r="BH33" s="161">
        <v>0</v>
      </c>
      <c r="BI33" s="161">
        <v>0</v>
      </c>
      <c r="BJ33" s="161">
        <v>0</v>
      </c>
      <c r="BK33" s="161">
        <v>0</v>
      </c>
      <c r="BL33" s="161"/>
      <c r="BM33" s="161" t="s">
        <v>547</v>
      </c>
      <c r="BN33" s="161">
        <v>12</v>
      </c>
      <c r="BO33" s="161" t="s">
        <v>547</v>
      </c>
      <c r="BP33" s="161"/>
      <c r="BQ33" s="161"/>
      <c r="BR33" s="161">
        <v>12</v>
      </c>
      <c r="BS33" s="161"/>
      <c r="BT33" s="159"/>
      <c r="BU33" s="159"/>
      <c r="BV33" s="161"/>
      <c r="BW33" s="161" t="s">
        <v>646</v>
      </c>
      <c r="BX33" s="159"/>
      <c r="BZ33" s="166" t="s">
        <v>704</v>
      </c>
      <c r="CA33" s="156" t="s">
        <v>56</v>
      </c>
    </row>
    <row r="34" spans="1:79" ht="13" customHeight="1" x14ac:dyDescent="0.15">
      <c r="A34" s="157">
        <v>11894</v>
      </c>
      <c r="B34" s="253">
        <v>42566</v>
      </c>
      <c r="C34" s="158" t="s">
        <v>641</v>
      </c>
      <c r="D34" s="159" t="s">
        <v>534</v>
      </c>
      <c r="E34" s="160"/>
      <c r="F34" s="159" t="s">
        <v>696</v>
      </c>
      <c r="G34" s="254">
        <v>42551</v>
      </c>
      <c r="H34" s="161" t="s">
        <v>507</v>
      </c>
      <c r="I34" s="161" t="s">
        <v>547</v>
      </c>
      <c r="J34" s="161"/>
      <c r="K34" s="159" t="s">
        <v>145</v>
      </c>
      <c r="L34" s="159" t="s">
        <v>657</v>
      </c>
      <c r="M34" s="162">
        <v>82.554545454545448</v>
      </c>
      <c r="N34" s="162">
        <v>30.95454545454545</v>
      </c>
      <c r="O34" s="159" t="s">
        <v>648</v>
      </c>
      <c r="P34" s="163">
        <v>1000</v>
      </c>
      <c r="Q34" s="162">
        <v>31.609090909090909</v>
      </c>
      <c r="R34" s="163"/>
      <c r="S34" s="162"/>
      <c r="T34" s="163"/>
      <c r="U34" s="162"/>
      <c r="V34" s="159"/>
      <c r="W34" s="159"/>
      <c r="X34" s="159"/>
      <c r="Y34" s="159"/>
      <c r="Z34" s="159"/>
      <c r="AA34" s="159"/>
      <c r="AB34" s="159"/>
      <c r="AC34" s="159"/>
      <c r="AD34" s="159"/>
      <c r="AE34" s="162">
        <v>18.68181818181818</v>
      </c>
      <c r="AF34" s="162" t="s">
        <v>644</v>
      </c>
      <c r="AG34" s="162" t="s">
        <v>644</v>
      </c>
      <c r="AH34" s="159" t="s">
        <v>644</v>
      </c>
      <c r="AI34" s="159" t="s">
        <v>644</v>
      </c>
      <c r="AJ34" s="159" t="s">
        <v>644</v>
      </c>
      <c r="AK34" s="159" t="s">
        <v>644</v>
      </c>
      <c r="AL34" s="159" t="s">
        <v>644</v>
      </c>
      <c r="AM34" s="159" t="s">
        <v>644</v>
      </c>
      <c r="AN34" s="159" t="s">
        <v>644</v>
      </c>
      <c r="AO34" s="156" t="s">
        <v>697</v>
      </c>
      <c r="AP34" s="161" t="s">
        <v>547</v>
      </c>
      <c r="AQ34" s="161"/>
      <c r="AR34" s="161"/>
      <c r="AS34" s="164"/>
      <c r="AT34" s="161">
        <v>15</v>
      </c>
      <c r="AU34" s="161"/>
      <c r="AV34" s="161"/>
      <c r="AW34" s="161"/>
      <c r="AX34" s="161" t="s">
        <v>495</v>
      </c>
      <c r="AY34" s="159"/>
      <c r="AZ34" s="161">
        <v>0</v>
      </c>
      <c r="BA34" s="161">
        <v>0</v>
      </c>
      <c r="BB34" s="161">
        <v>0</v>
      </c>
      <c r="BC34" s="161">
        <v>0</v>
      </c>
      <c r="BD34" s="161">
        <v>0</v>
      </c>
      <c r="BE34" s="161">
        <v>0</v>
      </c>
      <c r="BF34" s="161">
        <v>0</v>
      </c>
      <c r="BG34" s="161">
        <v>0</v>
      </c>
      <c r="BH34" s="161">
        <v>0</v>
      </c>
      <c r="BI34" s="161">
        <v>0</v>
      </c>
      <c r="BJ34" s="161">
        <v>0</v>
      </c>
      <c r="BK34" s="161">
        <v>0</v>
      </c>
      <c r="BL34" s="161"/>
      <c r="BM34" s="161" t="s">
        <v>547</v>
      </c>
      <c r="BN34" s="161"/>
      <c r="BO34" s="161" t="s">
        <v>547</v>
      </c>
      <c r="BP34" s="161"/>
      <c r="BQ34" s="161"/>
      <c r="BR34" s="161"/>
      <c r="BS34" s="161"/>
      <c r="BT34" s="159" t="s">
        <v>658</v>
      </c>
      <c r="BU34" s="159"/>
      <c r="BV34" s="161"/>
      <c r="BW34" s="161" t="s">
        <v>646</v>
      </c>
      <c r="BX34" s="165"/>
      <c r="BY34" s="149"/>
      <c r="BZ34" s="166" t="s">
        <v>705</v>
      </c>
      <c r="CA34" s="156" t="s">
        <v>56</v>
      </c>
    </row>
    <row r="35" spans="1:79" ht="13" customHeight="1" x14ac:dyDescent="0.15">
      <c r="A35" s="157">
        <v>987</v>
      </c>
      <c r="B35" s="253">
        <v>42566</v>
      </c>
      <c r="C35" s="158" t="s">
        <v>641</v>
      </c>
      <c r="D35" s="159" t="s">
        <v>534</v>
      </c>
      <c r="E35" s="160"/>
      <c r="F35" s="159" t="s">
        <v>696</v>
      </c>
      <c r="G35" s="253">
        <v>42551</v>
      </c>
      <c r="H35" s="161" t="s">
        <v>507</v>
      </c>
      <c r="I35" s="161" t="s">
        <v>547</v>
      </c>
      <c r="J35" s="161"/>
      <c r="K35" s="159" t="s">
        <v>146</v>
      </c>
      <c r="L35" s="159" t="s">
        <v>660</v>
      </c>
      <c r="M35" s="162">
        <v>97.627272727272725</v>
      </c>
      <c r="N35" s="162">
        <v>33.25454545454545</v>
      </c>
      <c r="O35" s="159"/>
      <c r="P35" s="163"/>
      <c r="Q35" s="162" t="s">
        <v>644</v>
      </c>
      <c r="R35" s="163"/>
      <c r="S35" s="162"/>
      <c r="T35" s="163"/>
      <c r="U35" s="162"/>
      <c r="V35" s="159"/>
      <c r="W35" s="159"/>
      <c r="X35" s="159"/>
      <c r="Y35" s="159"/>
      <c r="Z35" s="159"/>
      <c r="AA35" s="159"/>
      <c r="AB35" s="159"/>
      <c r="AC35" s="159"/>
      <c r="AD35" s="159"/>
      <c r="AE35" s="162">
        <v>13.69090909090909</v>
      </c>
      <c r="AF35" s="162" t="s">
        <v>644</v>
      </c>
      <c r="AG35" s="162" t="s">
        <v>644</v>
      </c>
      <c r="AH35" s="159" t="s">
        <v>644</v>
      </c>
      <c r="AI35" s="159" t="s">
        <v>644</v>
      </c>
      <c r="AJ35" s="159" t="s">
        <v>644</v>
      </c>
      <c r="AK35" s="159" t="s">
        <v>644</v>
      </c>
      <c r="AL35" s="159" t="s">
        <v>644</v>
      </c>
      <c r="AM35" s="159" t="s">
        <v>644</v>
      </c>
      <c r="AN35" s="159" t="s">
        <v>644</v>
      </c>
      <c r="AO35" s="159" t="s">
        <v>697</v>
      </c>
      <c r="AP35" s="161" t="s">
        <v>547</v>
      </c>
      <c r="AQ35" s="161"/>
      <c r="AR35" s="161"/>
      <c r="AS35" s="164"/>
      <c r="AT35" s="161">
        <v>6.8</v>
      </c>
      <c r="AU35" s="161"/>
      <c r="AV35" s="161"/>
      <c r="AW35" s="161"/>
      <c r="AX35" s="161" t="s">
        <v>547</v>
      </c>
      <c r="AY35" s="159"/>
      <c r="AZ35" s="161">
        <v>0</v>
      </c>
      <c r="BA35" s="161">
        <v>0</v>
      </c>
      <c r="BB35" s="161">
        <v>0</v>
      </c>
      <c r="BC35" s="161">
        <v>0</v>
      </c>
      <c r="BD35" s="161">
        <v>0</v>
      </c>
      <c r="BE35" s="161">
        <v>0</v>
      </c>
      <c r="BF35" s="161">
        <v>0</v>
      </c>
      <c r="BG35" s="161">
        <v>0</v>
      </c>
      <c r="BH35" s="161">
        <v>0</v>
      </c>
      <c r="BI35" s="161">
        <v>0</v>
      </c>
      <c r="BJ35" s="161">
        <v>0</v>
      </c>
      <c r="BK35" s="161">
        <v>0</v>
      </c>
      <c r="BL35" s="161"/>
      <c r="BM35" s="161" t="s">
        <v>547</v>
      </c>
      <c r="BN35" s="161"/>
      <c r="BO35" s="161" t="s">
        <v>547</v>
      </c>
      <c r="BP35" s="161"/>
      <c r="BQ35" s="161"/>
      <c r="BR35" s="161"/>
      <c r="BS35" s="161"/>
      <c r="BT35" s="159"/>
      <c r="BU35" s="159"/>
      <c r="BV35" s="161"/>
      <c r="BW35" s="161" t="s">
        <v>646</v>
      </c>
      <c r="BX35" s="159"/>
      <c r="BZ35" s="166" t="s">
        <v>706</v>
      </c>
      <c r="CA35" s="156" t="s">
        <v>56</v>
      </c>
    </row>
    <row r="36" spans="1:79" ht="13" customHeight="1" x14ac:dyDescent="0.15">
      <c r="A36" s="157">
        <v>12325</v>
      </c>
      <c r="B36" s="253">
        <v>42566</v>
      </c>
      <c r="C36" s="158" t="s">
        <v>641</v>
      </c>
      <c r="D36" s="159" t="s">
        <v>534</v>
      </c>
      <c r="E36" s="160"/>
      <c r="F36" s="159" t="s">
        <v>696</v>
      </c>
      <c r="G36" s="254">
        <v>42551</v>
      </c>
      <c r="H36" s="161" t="s">
        <v>507</v>
      </c>
      <c r="I36" s="161" t="s">
        <v>508</v>
      </c>
      <c r="J36" s="161"/>
      <c r="K36" s="159" t="s">
        <v>147</v>
      </c>
      <c r="L36" s="159" t="s">
        <v>662</v>
      </c>
      <c r="M36" s="162">
        <v>77.918181818181807</v>
      </c>
      <c r="N36" s="162">
        <v>34.527272727272724</v>
      </c>
      <c r="O36" s="159" t="s">
        <v>648</v>
      </c>
      <c r="P36" s="163">
        <v>1000</v>
      </c>
      <c r="Q36" s="162">
        <v>36.845454545454544</v>
      </c>
      <c r="R36" s="163"/>
      <c r="S36" s="162"/>
      <c r="T36" s="163"/>
      <c r="U36" s="162"/>
      <c r="V36" s="159"/>
      <c r="W36" s="159"/>
      <c r="X36" s="159"/>
      <c r="Y36" s="159"/>
      <c r="Z36" s="163"/>
      <c r="AA36" s="159"/>
      <c r="AB36" s="163"/>
      <c r="AC36" s="159"/>
      <c r="AD36" s="159"/>
      <c r="AE36" s="162">
        <v>16.718181818181819</v>
      </c>
      <c r="AF36" s="162" t="s">
        <v>644</v>
      </c>
      <c r="AG36" s="162" t="s">
        <v>644</v>
      </c>
      <c r="AH36" s="159" t="s">
        <v>644</v>
      </c>
      <c r="AI36" s="159" t="s">
        <v>644</v>
      </c>
      <c r="AJ36" s="159" t="s">
        <v>644</v>
      </c>
      <c r="AK36" s="159" t="s">
        <v>644</v>
      </c>
      <c r="AL36" s="159" t="s">
        <v>644</v>
      </c>
      <c r="AM36" s="159" t="s">
        <v>644</v>
      </c>
      <c r="AN36" s="159" t="s">
        <v>644</v>
      </c>
      <c r="AO36" s="159" t="s">
        <v>697</v>
      </c>
      <c r="AP36" s="161" t="s">
        <v>547</v>
      </c>
      <c r="AQ36" s="161"/>
      <c r="AR36" s="161"/>
      <c r="AS36" s="164"/>
      <c r="AT36" s="161">
        <v>13</v>
      </c>
      <c r="AU36" s="161"/>
      <c r="AV36" s="161"/>
      <c r="AW36" s="161"/>
      <c r="AX36" s="161" t="s">
        <v>495</v>
      </c>
      <c r="AY36" s="159"/>
      <c r="AZ36" s="161">
        <v>0</v>
      </c>
      <c r="BA36" s="161">
        <v>0</v>
      </c>
      <c r="BB36" s="161">
        <v>0</v>
      </c>
      <c r="BC36" s="161">
        <v>0</v>
      </c>
      <c r="BD36" s="161">
        <v>0</v>
      </c>
      <c r="BE36" s="161">
        <v>0</v>
      </c>
      <c r="BF36" s="161">
        <v>0</v>
      </c>
      <c r="BG36" s="161">
        <v>0</v>
      </c>
      <c r="BH36" s="161">
        <v>0</v>
      </c>
      <c r="BI36" s="161">
        <v>0</v>
      </c>
      <c r="BJ36" s="161">
        <v>0</v>
      </c>
      <c r="BK36" s="161">
        <v>0</v>
      </c>
      <c r="BL36" s="161"/>
      <c r="BM36" s="161" t="s">
        <v>547</v>
      </c>
      <c r="BN36" s="161">
        <v>12</v>
      </c>
      <c r="BO36" s="161" t="s">
        <v>547</v>
      </c>
      <c r="BP36" s="161"/>
      <c r="BQ36" s="161"/>
      <c r="BR36" s="161"/>
      <c r="BS36" s="161"/>
      <c r="BT36" s="165"/>
      <c r="BU36" s="165"/>
      <c r="BV36" s="161"/>
      <c r="BW36" s="161" t="s">
        <v>646</v>
      </c>
      <c r="BX36" s="170"/>
      <c r="BY36" s="156" t="s">
        <v>663</v>
      </c>
      <c r="BZ36" s="156" t="s">
        <v>707</v>
      </c>
      <c r="CA36" s="156" t="s">
        <v>56</v>
      </c>
    </row>
    <row r="37" spans="1:79" ht="13" customHeight="1" x14ac:dyDescent="0.15">
      <c r="A37" s="157">
        <v>13106</v>
      </c>
      <c r="B37" s="253">
        <v>42566</v>
      </c>
      <c r="C37" s="158" t="s">
        <v>641</v>
      </c>
      <c r="D37" s="159" t="s">
        <v>534</v>
      </c>
      <c r="E37" s="160"/>
      <c r="F37" s="159" t="s">
        <v>696</v>
      </c>
      <c r="G37" s="253">
        <v>42551</v>
      </c>
      <c r="H37" s="161" t="s">
        <v>507</v>
      </c>
      <c r="I37" s="161" t="s">
        <v>547</v>
      </c>
      <c r="J37" s="161"/>
      <c r="K37" s="159" t="s">
        <v>148</v>
      </c>
      <c r="L37" s="159" t="s">
        <v>665</v>
      </c>
      <c r="M37" s="162">
        <v>71.536363636363632</v>
      </c>
      <c r="N37" s="162">
        <v>30.518181818181816</v>
      </c>
      <c r="O37" s="159"/>
      <c r="P37" s="163"/>
      <c r="Q37" s="162" t="s">
        <v>644</v>
      </c>
      <c r="R37" s="163"/>
      <c r="S37" s="162"/>
      <c r="T37" s="163"/>
      <c r="U37" s="162"/>
      <c r="V37" s="159"/>
      <c r="W37" s="159"/>
      <c r="X37" s="159"/>
      <c r="Y37" s="159"/>
      <c r="Z37" s="163"/>
      <c r="AA37" s="159"/>
      <c r="AB37" s="163"/>
      <c r="AC37" s="159"/>
      <c r="AD37" s="159"/>
      <c r="AE37" s="162">
        <v>15.118181818181816</v>
      </c>
      <c r="AF37" s="162" t="s">
        <v>644</v>
      </c>
      <c r="AG37" s="162" t="s">
        <v>644</v>
      </c>
      <c r="AH37" s="159" t="s">
        <v>644</v>
      </c>
      <c r="AI37" s="159" t="s">
        <v>644</v>
      </c>
      <c r="AJ37" s="159" t="s">
        <v>644</v>
      </c>
      <c r="AK37" s="159" t="s">
        <v>644</v>
      </c>
      <c r="AL37" s="159" t="s">
        <v>644</v>
      </c>
      <c r="AM37" s="159" t="s">
        <v>644</v>
      </c>
      <c r="AN37" s="159" t="s">
        <v>644</v>
      </c>
      <c r="AO37" s="159" t="s">
        <v>697</v>
      </c>
      <c r="AP37" s="161" t="s">
        <v>547</v>
      </c>
      <c r="AQ37" s="161"/>
      <c r="AR37" s="161"/>
      <c r="AS37" s="164"/>
      <c r="AT37" s="161">
        <v>12.4</v>
      </c>
      <c r="AU37" s="161"/>
      <c r="AV37" s="161"/>
      <c r="AW37" s="161"/>
      <c r="AX37" s="161" t="s">
        <v>495</v>
      </c>
      <c r="AY37" s="159"/>
      <c r="AZ37" s="161">
        <v>0</v>
      </c>
      <c r="BA37" s="161">
        <v>0</v>
      </c>
      <c r="BB37" s="161">
        <v>0</v>
      </c>
      <c r="BC37" s="161">
        <v>0</v>
      </c>
      <c r="BD37" s="161">
        <v>0</v>
      </c>
      <c r="BE37" s="161">
        <v>0</v>
      </c>
      <c r="BF37" s="161">
        <v>0</v>
      </c>
      <c r="BG37" s="161">
        <v>0</v>
      </c>
      <c r="BH37" s="161">
        <v>0</v>
      </c>
      <c r="BI37" s="161">
        <v>0</v>
      </c>
      <c r="BJ37" s="161">
        <v>0</v>
      </c>
      <c r="BK37" s="161">
        <v>0</v>
      </c>
      <c r="BL37" s="161"/>
      <c r="BM37" s="161" t="s">
        <v>547</v>
      </c>
      <c r="BN37" s="161">
        <v>12</v>
      </c>
      <c r="BO37" s="161" t="s">
        <v>547</v>
      </c>
      <c r="BP37" s="161"/>
      <c r="BQ37" s="161"/>
      <c r="BR37" s="161"/>
      <c r="BS37" s="161"/>
      <c r="BT37" s="159"/>
      <c r="BU37" s="159"/>
      <c r="BV37" s="161"/>
      <c r="BW37" s="161" t="s">
        <v>646</v>
      </c>
      <c r="BX37" s="159"/>
      <c r="BY37" s="149"/>
      <c r="BZ37" s="156" t="s">
        <v>708</v>
      </c>
      <c r="CA37" s="156" t="s">
        <v>56</v>
      </c>
    </row>
    <row r="38" spans="1:79" ht="13" customHeight="1" x14ac:dyDescent="0.15">
      <c r="A38" s="157">
        <v>11319</v>
      </c>
      <c r="B38" s="253">
        <v>42566</v>
      </c>
      <c r="C38" s="158" t="s">
        <v>641</v>
      </c>
      <c r="D38" s="159" t="s">
        <v>534</v>
      </c>
      <c r="E38" s="160"/>
      <c r="F38" s="159" t="s">
        <v>696</v>
      </c>
      <c r="G38" s="254">
        <v>42551</v>
      </c>
      <c r="H38" s="161" t="s">
        <v>507</v>
      </c>
      <c r="I38" s="161" t="s">
        <v>547</v>
      </c>
      <c r="J38" s="161"/>
      <c r="K38" s="159" t="s">
        <v>448</v>
      </c>
      <c r="L38" s="159" t="s">
        <v>667</v>
      </c>
      <c r="M38" s="162">
        <v>107</v>
      </c>
      <c r="N38" s="162">
        <v>31.781818181818181</v>
      </c>
      <c r="O38" s="159"/>
      <c r="P38" s="163"/>
      <c r="Q38" s="162" t="s">
        <v>644</v>
      </c>
      <c r="R38" s="163"/>
      <c r="S38" s="162"/>
      <c r="T38" s="163"/>
      <c r="U38" s="162"/>
      <c r="V38" s="159"/>
      <c r="W38" s="159"/>
      <c r="X38" s="163"/>
      <c r="Y38" s="159"/>
      <c r="Z38" s="163"/>
      <c r="AA38" s="159"/>
      <c r="AB38" s="163"/>
      <c r="AC38" s="159"/>
      <c r="AD38" s="159"/>
      <c r="AE38" s="162">
        <v>17.454545454545453</v>
      </c>
      <c r="AF38" s="162" t="s">
        <v>644</v>
      </c>
      <c r="AG38" s="162" t="s">
        <v>644</v>
      </c>
      <c r="AH38" s="159" t="s">
        <v>644</v>
      </c>
      <c r="AI38" s="159" t="s">
        <v>644</v>
      </c>
      <c r="AJ38" s="159" t="s">
        <v>644</v>
      </c>
      <c r="AK38" s="159" t="s">
        <v>644</v>
      </c>
      <c r="AL38" s="159" t="s">
        <v>644</v>
      </c>
      <c r="AM38" s="159" t="s">
        <v>644</v>
      </c>
      <c r="AN38" s="159" t="s">
        <v>644</v>
      </c>
      <c r="AO38" s="159" t="s">
        <v>697</v>
      </c>
      <c r="AP38" s="161" t="s">
        <v>547</v>
      </c>
      <c r="AQ38" s="161"/>
      <c r="AR38" s="161"/>
      <c r="AS38" s="164"/>
      <c r="AT38" s="161">
        <v>14.2</v>
      </c>
      <c r="AU38" s="161"/>
      <c r="AV38" s="161"/>
      <c r="AW38" s="161"/>
      <c r="AX38" s="161" t="s">
        <v>495</v>
      </c>
      <c r="AY38" s="159"/>
      <c r="AZ38" s="161">
        <v>0</v>
      </c>
      <c r="BA38" s="161">
        <v>0</v>
      </c>
      <c r="BB38" s="161">
        <v>0</v>
      </c>
      <c r="BC38" s="161">
        <v>0</v>
      </c>
      <c r="BD38" s="161">
        <v>0</v>
      </c>
      <c r="BE38" s="161">
        <v>0</v>
      </c>
      <c r="BF38" s="161">
        <v>0</v>
      </c>
      <c r="BG38" s="161">
        <v>0</v>
      </c>
      <c r="BH38" s="161">
        <v>0</v>
      </c>
      <c r="BI38" s="161">
        <v>0</v>
      </c>
      <c r="BJ38" s="161">
        <v>0</v>
      </c>
      <c r="BK38" s="161">
        <v>0</v>
      </c>
      <c r="BL38" s="161"/>
      <c r="BM38" s="161" t="s">
        <v>547</v>
      </c>
      <c r="BN38" s="161"/>
      <c r="BO38" s="161" t="s">
        <v>547</v>
      </c>
      <c r="BP38" s="161"/>
      <c r="BQ38" s="161"/>
      <c r="BR38" s="161"/>
      <c r="BS38" s="161"/>
      <c r="BT38" s="159"/>
      <c r="BU38" s="159"/>
      <c r="BV38" s="161"/>
      <c r="BW38" s="161" t="s">
        <v>646</v>
      </c>
      <c r="BX38" s="159"/>
      <c r="BY38" s="149"/>
      <c r="BZ38" s="156" t="s">
        <v>709</v>
      </c>
      <c r="CA38" s="156" t="s">
        <v>56</v>
      </c>
    </row>
    <row r="39" spans="1:79" ht="13" customHeight="1" x14ac:dyDescent="0.15">
      <c r="A39" s="157">
        <v>10994</v>
      </c>
      <c r="B39" s="123">
        <v>42605</v>
      </c>
      <c r="C39" s="143" t="s">
        <v>641</v>
      </c>
      <c r="D39" s="144" t="s">
        <v>534</v>
      </c>
      <c r="E39" s="145"/>
      <c r="F39" s="48" t="s">
        <v>696</v>
      </c>
      <c r="G39" s="46">
        <v>42593</v>
      </c>
      <c r="H39" s="49" t="s">
        <v>507</v>
      </c>
      <c r="I39" s="49" t="s">
        <v>547</v>
      </c>
      <c r="J39" s="49"/>
      <c r="K39" s="48" t="s">
        <v>594</v>
      </c>
      <c r="L39" s="48" t="s">
        <v>669</v>
      </c>
      <c r="M39" s="146">
        <v>70</v>
      </c>
      <c r="N39" s="146">
        <v>27.27</v>
      </c>
      <c r="O39" s="48"/>
      <c r="P39" s="50"/>
      <c r="Q39" s="146"/>
      <c r="R39" s="50"/>
      <c r="S39" s="146"/>
      <c r="T39" s="50"/>
      <c r="U39" s="146"/>
      <c r="V39" s="48"/>
      <c r="W39" s="48"/>
      <c r="X39" s="50"/>
      <c r="Y39" s="48"/>
      <c r="Z39" s="50"/>
      <c r="AA39" s="48"/>
      <c r="AB39" s="48"/>
      <c r="AC39" s="48"/>
      <c r="AD39" s="48"/>
      <c r="AE39" s="146">
        <v>18.18</v>
      </c>
      <c r="AF39" s="146" t="s">
        <v>644</v>
      </c>
      <c r="AG39" s="146" t="s">
        <v>644</v>
      </c>
      <c r="AH39" s="48" t="s">
        <v>644</v>
      </c>
      <c r="AI39" s="48" t="s">
        <v>644</v>
      </c>
      <c r="AJ39" s="48" t="s">
        <v>644</v>
      </c>
      <c r="AK39" s="48" t="s">
        <v>644</v>
      </c>
      <c r="AL39" s="48" t="s">
        <v>644</v>
      </c>
      <c r="AM39" s="48" t="s">
        <v>644</v>
      </c>
      <c r="AN39" s="48" t="s">
        <v>644</v>
      </c>
      <c r="AO39" s="48" t="s">
        <v>697</v>
      </c>
      <c r="AP39" s="49" t="s">
        <v>547</v>
      </c>
      <c r="AQ39" s="49"/>
      <c r="AR39" s="49"/>
      <c r="AS39" s="51"/>
      <c r="AT39" s="49">
        <v>9.8800000000000008</v>
      </c>
      <c r="AU39" s="49"/>
      <c r="AV39" s="49"/>
      <c r="AW39" s="49"/>
      <c r="AX39" s="49" t="s">
        <v>495</v>
      </c>
      <c r="AY39" s="48"/>
      <c r="AZ39" s="49">
        <v>0</v>
      </c>
      <c r="BA39" s="49">
        <v>0</v>
      </c>
      <c r="BB39" s="49">
        <v>0</v>
      </c>
      <c r="BC39" s="49">
        <v>0</v>
      </c>
      <c r="BD39" s="49">
        <v>0</v>
      </c>
      <c r="BE39" s="49">
        <v>0</v>
      </c>
      <c r="BF39" s="49">
        <v>0</v>
      </c>
      <c r="BG39" s="49">
        <v>0</v>
      </c>
      <c r="BH39" s="49">
        <v>0</v>
      </c>
      <c r="BI39" s="49">
        <v>0</v>
      </c>
      <c r="BJ39" s="49">
        <v>0</v>
      </c>
      <c r="BK39" s="49">
        <v>0</v>
      </c>
      <c r="BL39" s="49"/>
      <c r="BM39" s="49" t="s">
        <v>547</v>
      </c>
      <c r="BN39" s="49"/>
      <c r="BO39" s="49" t="s">
        <v>547</v>
      </c>
      <c r="BP39" s="250">
        <v>185.35</v>
      </c>
      <c r="BQ39" s="49"/>
      <c r="BR39" s="49"/>
      <c r="BS39" s="251">
        <v>42916</v>
      </c>
      <c r="BT39" s="48"/>
      <c r="BU39" s="48"/>
      <c r="BV39" s="49"/>
      <c r="BW39" s="49" t="s">
        <v>646</v>
      </c>
      <c r="BX39" s="49"/>
      <c r="BY39" s="144" t="s">
        <v>789</v>
      </c>
      <c r="BZ39" s="149" t="s">
        <v>710</v>
      </c>
      <c r="CA39" s="124" t="s">
        <v>90</v>
      </c>
    </row>
    <row r="40" spans="1:79" ht="13" customHeight="1" x14ac:dyDescent="0.15">
      <c r="A40" s="157">
        <v>13157</v>
      </c>
      <c r="B40" s="253">
        <v>42566</v>
      </c>
      <c r="C40" s="158" t="s">
        <v>641</v>
      </c>
      <c r="D40" s="159" t="s">
        <v>534</v>
      </c>
      <c r="E40" s="160"/>
      <c r="F40" s="159" t="s">
        <v>696</v>
      </c>
      <c r="G40" s="253">
        <v>42551</v>
      </c>
      <c r="H40" s="161" t="s">
        <v>507</v>
      </c>
      <c r="I40" s="161" t="s">
        <v>547</v>
      </c>
      <c r="J40" s="161"/>
      <c r="K40" s="159" t="s">
        <v>125</v>
      </c>
      <c r="L40" s="159" t="s">
        <v>670</v>
      </c>
      <c r="M40" s="162">
        <v>97</v>
      </c>
      <c r="N40" s="162">
        <v>32.781818181818181</v>
      </c>
      <c r="O40" s="159"/>
      <c r="P40" s="163"/>
      <c r="Q40" s="162" t="s">
        <v>644</v>
      </c>
      <c r="R40" s="163"/>
      <c r="S40" s="162"/>
      <c r="T40" s="163"/>
      <c r="U40" s="162"/>
      <c r="V40" s="159"/>
      <c r="W40" s="159"/>
      <c r="X40" s="159"/>
      <c r="Y40" s="159"/>
      <c r="Z40" s="159"/>
      <c r="AA40" s="159"/>
      <c r="AB40" s="159"/>
      <c r="AC40" s="159"/>
      <c r="AD40" s="159"/>
      <c r="AE40" s="162">
        <v>17.172727272727272</v>
      </c>
      <c r="AF40" s="162" t="s">
        <v>644</v>
      </c>
      <c r="AG40" s="162" t="s">
        <v>644</v>
      </c>
      <c r="AH40" s="159" t="s">
        <v>644</v>
      </c>
      <c r="AI40" s="159" t="s">
        <v>644</v>
      </c>
      <c r="AJ40" s="159" t="s">
        <v>644</v>
      </c>
      <c r="AK40" s="159" t="s">
        <v>644</v>
      </c>
      <c r="AL40" s="159" t="s">
        <v>644</v>
      </c>
      <c r="AM40" s="159" t="s">
        <v>644</v>
      </c>
      <c r="AN40" s="159" t="s">
        <v>644</v>
      </c>
      <c r="AO40" s="159" t="s">
        <v>697</v>
      </c>
      <c r="AP40" s="161" t="s">
        <v>547</v>
      </c>
      <c r="AQ40" s="161"/>
      <c r="AR40" s="161"/>
      <c r="AS40" s="164"/>
      <c r="AT40" s="161">
        <v>15</v>
      </c>
      <c r="AU40" s="161"/>
      <c r="AV40" s="161"/>
      <c r="AW40" s="161"/>
      <c r="AX40" s="161" t="s">
        <v>547</v>
      </c>
      <c r="AY40" s="159"/>
      <c r="AZ40" s="161">
        <v>0</v>
      </c>
      <c r="BA40" s="161">
        <v>8</v>
      </c>
      <c r="BB40" s="161">
        <v>0</v>
      </c>
      <c r="BC40" s="161">
        <v>0</v>
      </c>
      <c r="BD40" s="161">
        <v>0</v>
      </c>
      <c r="BE40" s="161">
        <v>0</v>
      </c>
      <c r="BF40" s="161">
        <v>0</v>
      </c>
      <c r="BG40" s="161">
        <v>0</v>
      </c>
      <c r="BH40" s="161">
        <v>0</v>
      </c>
      <c r="BI40" s="161">
        <v>0</v>
      </c>
      <c r="BJ40" s="161">
        <v>0</v>
      </c>
      <c r="BK40" s="161">
        <v>0</v>
      </c>
      <c r="BL40" s="161"/>
      <c r="BM40" s="161" t="s">
        <v>547</v>
      </c>
      <c r="BN40" s="161"/>
      <c r="BO40" s="161" t="s">
        <v>547</v>
      </c>
      <c r="BP40" s="161"/>
      <c r="BQ40" s="161"/>
      <c r="BR40" s="161"/>
      <c r="BS40" s="161"/>
      <c r="BT40" s="159"/>
      <c r="BU40" s="159"/>
      <c r="BV40" s="161"/>
      <c r="BW40" s="161" t="s">
        <v>646</v>
      </c>
      <c r="BX40" s="159">
        <v>1</v>
      </c>
      <c r="BZ40" s="156" t="s">
        <v>711</v>
      </c>
      <c r="CA40" s="156" t="s">
        <v>56</v>
      </c>
    </row>
    <row r="41" spans="1:79" ht="13" customHeight="1" x14ac:dyDescent="0.15">
      <c r="A41" s="157">
        <v>13005</v>
      </c>
      <c r="B41" s="253">
        <v>42566</v>
      </c>
      <c r="C41" s="158" t="s">
        <v>641</v>
      </c>
      <c r="D41" s="159" t="s">
        <v>534</v>
      </c>
      <c r="E41" s="160"/>
      <c r="F41" s="159" t="s">
        <v>696</v>
      </c>
      <c r="G41" s="253">
        <v>42551</v>
      </c>
      <c r="H41" s="161" t="s">
        <v>507</v>
      </c>
      <c r="I41" s="161" t="s">
        <v>508</v>
      </c>
      <c r="J41" s="161"/>
      <c r="K41" s="159" t="s">
        <v>452</v>
      </c>
      <c r="L41" s="159" t="s">
        <v>672</v>
      </c>
      <c r="M41" s="162">
        <v>92.399999999999991</v>
      </c>
      <c r="N41" s="162">
        <v>33.200000000000003</v>
      </c>
      <c r="O41" s="159" t="s">
        <v>648</v>
      </c>
      <c r="P41" s="163">
        <v>1000</v>
      </c>
      <c r="Q41" s="162">
        <v>33.200000000000003</v>
      </c>
      <c r="R41" s="163"/>
      <c r="S41" s="162"/>
      <c r="T41" s="163"/>
      <c r="U41" s="162"/>
      <c r="V41" s="162"/>
      <c r="W41" s="162"/>
      <c r="X41" s="162"/>
      <c r="Y41" s="162"/>
      <c r="Z41" s="162"/>
      <c r="AA41" s="162"/>
      <c r="AB41" s="162"/>
      <c r="AC41" s="162"/>
      <c r="AD41" s="162"/>
      <c r="AE41" s="162">
        <v>17.118181818181814</v>
      </c>
      <c r="AF41" s="162" t="s">
        <v>644</v>
      </c>
      <c r="AG41" s="162" t="s">
        <v>644</v>
      </c>
      <c r="AH41" s="162" t="s">
        <v>644</v>
      </c>
      <c r="AI41" s="162" t="s">
        <v>644</v>
      </c>
      <c r="AJ41" s="162" t="s">
        <v>644</v>
      </c>
      <c r="AK41" s="162" t="s">
        <v>644</v>
      </c>
      <c r="AL41" s="159" t="s">
        <v>644</v>
      </c>
      <c r="AM41" s="162" t="s">
        <v>644</v>
      </c>
      <c r="AN41" s="162" t="s">
        <v>644</v>
      </c>
      <c r="AO41" s="159" t="s">
        <v>697</v>
      </c>
      <c r="AP41" s="161" t="s">
        <v>547</v>
      </c>
      <c r="AQ41" s="161"/>
      <c r="AR41" s="161"/>
      <c r="AS41" s="164"/>
      <c r="AT41" s="161">
        <v>16</v>
      </c>
      <c r="AU41" s="161"/>
      <c r="AV41" s="161"/>
      <c r="AW41" s="161"/>
      <c r="AX41" s="161" t="s">
        <v>547</v>
      </c>
      <c r="AY41" s="159"/>
      <c r="AZ41" s="161">
        <v>0</v>
      </c>
      <c r="BA41" s="161">
        <v>0</v>
      </c>
      <c r="BB41" s="161">
        <v>0</v>
      </c>
      <c r="BC41" s="161">
        <v>0</v>
      </c>
      <c r="BD41" s="161">
        <v>0</v>
      </c>
      <c r="BE41" s="161">
        <v>0</v>
      </c>
      <c r="BF41" s="161">
        <v>0</v>
      </c>
      <c r="BG41" s="161">
        <v>0</v>
      </c>
      <c r="BH41" s="161">
        <v>0</v>
      </c>
      <c r="BI41" s="161">
        <v>0</v>
      </c>
      <c r="BJ41" s="161">
        <v>0</v>
      </c>
      <c r="BK41" s="161">
        <v>0</v>
      </c>
      <c r="BL41" s="161"/>
      <c r="BM41" s="161" t="s">
        <v>547</v>
      </c>
      <c r="BN41" s="161"/>
      <c r="BO41" s="161" t="s">
        <v>547</v>
      </c>
      <c r="BP41" s="161"/>
      <c r="BQ41" s="161"/>
      <c r="BR41" s="161"/>
      <c r="BS41" s="161"/>
      <c r="BT41" s="165"/>
      <c r="BU41" s="159"/>
      <c r="BV41" s="161"/>
      <c r="BW41" s="161" t="s">
        <v>646</v>
      </c>
      <c r="BX41" s="159">
        <v>1</v>
      </c>
      <c r="BZ41" s="156" t="s">
        <v>712</v>
      </c>
      <c r="CA41" s="156" t="s">
        <v>56</v>
      </c>
    </row>
    <row r="42" spans="1:79" ht="13" customHeight="1" x14ac:dyDescent="0.15">
      <c r="A42" s="157">
        <v>10702</v>
      </c>
      <c r="B42" s="253">
        <v>42566</v>
      </c>
      <c r="C42" s="158" t="s">
        <v>641</v>
      </c>
      <c r="D42" s="159" t="s">
        <v>534</v>
      </c>
      <c r="E42" s="160"/>
      <c r="F42" s="159" t="s">
        <v>696</v>
      </c>
      <c r="G42" s="253">
        <v>42551</v>
      </c>
      <c r="H42" s="161" t="s">
        <v>507</v>
      </c>
      <c r="I42" s="161" t="s">
        <v>547</v>
      </c>
      <c r="J42" s="161"/>
      <c r="K42" s="159" t="s">
        <v>600</v>
      </c>
      <c r="L42" s="159" t="s">
        <v>601</v>
      </c>
      <c r="M42" s="162">
        <v>103.62727272727271</v>
      </c>
      <c r="N42" s="162">
        <v>26.727272727272723</v>
      </c>
      <c r="O42" s="159"/>
      <c r="P42" s="163"/>
      <c r="Q42" s="162" t="s">
        <v>644</v>
      </c>
      <c r="R42" s="163"/>
      <c r="S42" s="162"/>
      <c r="T42" s="163"/>
      <c r="U42" s="162"/>
      <c r="V42" s="159"/>
      <c r="W42" s="159"/>
      <c r="X42" s="163"/>
      <c r="Y42" s="159"/>
      <c r="Z42" s="163"/>
      <c r="AA42" s="159"/>
      <c r="AB42" s="163"/>
      <c r="AC42" s="159"/>
      <c r="AD42" s="159"/>
      <c r="AE42" s="162">
        <v>16.40909090909091</v>
      </c>
      <c r="AF42" s="162" t="s">
        <v>644</v>
      </c>
      <c r="AG42" s="162" t="s">
        <v>644</v>
      </c>
      <c r="AH42" s="159" t="s">
        <v>644</v>
      </c>
      <c r="AI42" s="159" t="s">
        <v>644</v>
      </c>
      <c r="AJ42" s="159" t="s">
        <v>644</v>
      </c>
      <c r="AK42" s="159" t="s">
        <v>644</v>
      </c>
      <c r="AL42" s="159" t="s">
        <v>644</v>
      </c>
      <c r="AM42" s="159" t="s">
        <v>644</v>
      </c>
      <c r="AN42" s="159" t="s">
        <v>644</v>
      </c>
      <c r="AO42" s="159" t="s">
        <v>697</v>
      </c>
      <c r="AP42" s="161" t="s">
        <v>547</v>
      </c>
      <c r="AQ42" s="161"/>
      <c r="AR42" s="161"/>
      <c r="AS42" s="164"/>
      <c r="AT42" s="161">
        <v>7.5</v>
      </c>
      <c r="AU42" s="161"/>
      <c r="AV42" s="161"/>
      <c r="AW42" s="161"/>
      <c r="AX42" s="161" t="s">
        <v>495</v>
      </c>
      <c r="AY42" s="159"/>
      <c r="AZ42" s="161">
        <v>0</v>
      </c>
      <c r="BA42" s="161">
        <v>0</v>
      </c>
      <c r="BB42" s="161">
        <v>6</v>
      </c>
      <c r="BC42" s="161">
        <v>0</v>
      </c>
      <c r="BD42" s="161">
        <v>0</v>
      </c>
      <c r="BE42" s="161">
        <v>0</v>
      </c>
      <c r="BF42" s="161">
        <v>0</v>
      </c>
      <c r="BG42" s="161">
        <v>0</v>
      </c>
      <c r="BH42" s="161">
        <v>0</v>
      </c>
      <c r="BI42" s="161">
        <v>0</v>
      </c>
      <c r="BJ42" s="161">
        <v>0</v>
      </c>
      <c r="BK42" s="161">
        <v>0</v>
      </c>
      <c r="BL42" s="161"/>
      <c r="BM42" s="161" t="s">
        <v>547</v>
      </c>
      <c r="BN42" s="161"/>
      <c r="BO42" s="161" t="s">
        <v>547</v>
      </c>
      <c r="BP42" s="161"/>
      <c r="BQ42" s="161"/>
      <c r="BR42" s="161"/>
      <c r="BS42" s="161"/>
      <c r="BT42" s="165"/>
      <c r="BU42" s="165"/>
      <c r="BV42" s="161"/>
      <c r="BW42" s="161" t="s">
        <v>646</v>
      </c>
      <c r="BX42" s="159">
        <v>1</v>
      </c>
      <c r="BY42" s="149" t="s">
        <v>674</v>
      </c>
      <c r="BZ42" s="156" t="s">
        <v>675</v>
      </c>
      <c r="CA42" s="156" t="s">
        <v>56</v>
      </c>
    </row>
    <row r="43" spans="1:79" ht="13" customHeight="1" x14ac:dyDescent="0.15">
      <c r="A43" s="157">
        <v>11615</v>
      </c>
      <c r="B43" s="253">
        <v>42568</v>
      </c>
      <c r="C43" s="158" t="s">
        <v>641</v>
      </c>
      <c r="D43" s="159" t="s">
        <v>534</v>
      </c>
      <c r="E43" s="160"/>
      <c r="F43" s="159" t="s">
        <v>696</v>
      </c>
      <c r="G43" s="253">
        <v>42476</v>
      </c>
      <c r="H43" s="161" t="s">
        <v>507</v>
      </c>
      <c r="I43" s="161" t="s">
        <v>547</v>
      </c>
      <c r="J43" s="161"/>
      <c r="K43" s="159" t="s">
        <v>608</v>
      </c>
      <c r="L43" s="159" t="s">
        <v>609</v>
      </c>
      <c r="M43" s="162">
        <v>107.76363636363637</v>
      </c>
      <c r="N43" s="162">
        <v>34.281818181818181</v>
      </c>
      <c r="O43" s="159"/>
      <c r="P43" s="163"/>
      <c r="Q43" s="162" t="s">
        <v>644</v>
      </c>
      <c r="R43" s="163"/>
      <c r="S43" s="162"/>
      <c r="T43" s="163"/>
      <c r="U43" s="162"/>
      <c r="V43" s="159"/>
      <c r="W43" s="159"/>
      <c r="X43" s="163"/>
      <c r="Y43" s="159"/>
      <c r="Z43" s="163"/>
      <c r="AA43" s="159"/>
      <c r="AB43" s="163"/>
      <c r="AC43" s="159"/>
      <c r="AD43" s="159"/>
      <c r="AE43" s="162">
        <v>20.381818181818183</v>
      </c>
      <c r="AF43" s="162" t="s">
        <v>644</v>
      </c>
      <c r="AG43" s="162" t="s">
        <v>644</v>
      </c>
      <c r="AH43" s="159" t="s">
        <v>644</v>
      </c>
      <c r="AI43" s="159" t="s">
        <v>644</v>
      </c>
      <c r="AJ43" s="159" t="s">
        <v>644</v>
      </c>
      <c r="AK43" s="159" t="s">
        <v>644</v>
      </c>
      <c r="AL43" s="159" t="s">
        <v>644</v>
      </c>
      <c r="AM43" s="159" t="s">
        <v>644</v>
      </c>
      <c r="AN43" s="159" t="s">
        <v>644</v>
      </c>
      <c r="AO43" s="159" t="s">
        <v>697</v>
      </c>
      <c r="AP43" s="161" t="s">
        <v>547</v>
      </c>
      <c r="AQ43" s="161"/>
      <c r="AR43" s="161"/>
      <c r="AS43" s="164"/>
      <c r="AT43" s="161">
        <v>8</v>
      </c>
      <c r="AU43" s="161"/>
      <c r="AV43" s="161"/>
      <c r="AW43" s="161"/>
      <c r="AX43" s="161" t="s">
        <v>495</v>
      </c>
      <c r="AY43" s="159"/>
      <c r="AZ43" s="161">
        <v>0</v>
      </c>
      <c r="BA43" s="161">
        <v>0</v>
      </c>
      <c r="BB43" s="161">
        <v>0</v>
      </c>
      <c r="BC43" s="161">
        <v>0</v>
      </c>
      <c r="BD43" s="161">
        <v>0</v>
      </c>
      <c r="BE43" s="161">
        <v>0</v>
      </c>
      <c r="BF43" s="161">
        <v>0</v>
      </c>
      <c r="BG43" s="161">
        <v>0</v>
      </c>
      <c r="BH43" s="161">
        <v>0</v>
      </c>
      <c r="BI43" s="161">
        <v>0</v>
      </c>
      <c r="BJ43" s="161">
        <v>0</v>
      </c>
      <c r="BK43" s="161">
        <v>0</v>
      </c>
      <c r="BL43" s="161"/>
      <c r="BM43" s="161" t="s">
        <v>547</v>
      </c>
      <c r="BN43" s="161"/>
      <c r="BO43" s="161" t="s">
        <v>547</v>
      </c>
      <c r="BP43" s="161"/>
      <c r="BQ43" s="161"/>
      <c r="BR43" s="161"/>
      <c r="BS43" s="161"/>
      <c r="BT43" s="165"/>
      <c r="BU43" s="165"/>
      <c r="BV43" s="161"/>
      <c r="BW43" s="161" t="s">
        <v>646</v>
      </c>
      <c r="BX43" s="159">
        <v>1</v>
      </c>
      <c r="BY43" s="149" t="s">
        <v>678</v>
      </c>
      <c r="BZ43" s="156" t="s">
        <v>713</v>
      </c>
      <c r="CA43" s="156" t="s">
        <v>56</v>
      </c>
    </row>
    <row r="44" spans="1:79" ht="13" customHeight="1" x14ac:dyDescent="0.15">
      <c r="A44" s="157">
        <v>56</v>
      </c>
      <c r="B44" s="253">
        <v>42566</v>
      </c>
      <c r="C44" s="158" t="s">
        <v>641</v>
      </c>
      <c r="D44" s="159" t="s">
        <v>534</v>
      </c>
      <c r="E44" s="160"/>
      <c r="F44" s="159" t="s">
        <v>696</v>
      </c>
      <c r="G44" s="253">
        <v>42413</v>
      </c>
      <c r="H44" s="161" t="s">
        <v>507</v>
      </c>
      <c r="I44" s="161" t="s">
        <v>547</v>
      </c>
      <c r="J44" s="161"/>
      <c r="K44" s="159" t="s">
        <v>680</v>
      </c>
      <c r="L44" s="159" t="s">
        <v>609</v>
      </c>
      <c r="M44" s="162">
        <v>96.518181818181816</v>
      </c>
      <c r="N44" s="162">
        <v>30.227272727272723</v>
      </c>
      <c r="O44" s="159"/>
      <c r="P44" s="163"/>
      <c r="Q44" s="162" t="s">
        <v>644</v>
      </c>
      <c r="R44" s="163"/>
      <c r="S44" s="162"/>
      <c r="T44" s="163"/>
      <c r="U44" s="162"/>
      <c r="V44" s="159"/>
      <c r="W44" s="159"/>
      <c r="X44" s="163"/>
      <c r="Y44" s="159"/>
      <c r="Z44" s="163"/>
      <c r="AA44" s="159"/>
      <c r="AB44" s="163"/>
      <c r="AC44" s="159"/>
      <c r="AD44" s="159"/>
      <c r="AE44" s="162">
        <v>23.118181818181817</v>
      </c>
      <c r="AF44" s="162" t="s">
        <v>644</v>
      </c>
      <c r="AG44" s="162" t="s">
        <v>644</v>
      </c>
      <c r="AH44" s="159" t="s">
        <v>644</v>
      </c>
      <c r="AI44" s="159" t="s">
        <v>644</v>
      </c>
      <c r="AJ44" s="159" t="s">
        <v>644</v>
      </c>
      <c r="AK44" s="159" t="s">
        <v>644</v>
      </c>
      <c r="AL44" s="159" t="s">
        <v>644</v>
      </c>
      <c r="AM44" s="159" t="s">
        <v>644</v>
      </c>
      <c r="AN44" s="159" t="s">
        <v>644</v>
      </c>
      <c r="AO44" s="159" t="s">
        <v>697</v>
      </c>
      <c r="AP44" s="161" t="s">
        <v>547</v>
      </c>
      <c r="AQ44" s="161"/>
      <c r="AR44" s="161"/>
      <c r="AS44" s="164"/>
      <c r="AT44" s="161">
        <v>15</v>
      </c>
      <c r="AU44" s="161"/>
      <c r="AV44" s="161"/>
      <c r="AW44" s="161"/>
      <c r="AX44" s="161" t="s">
        <v>547</v>
      </c>
      <c r="AY44" s="159"/>
      <c r="AZ44" s="161">
        <v>0</v>
      </c>
      <c r="BA44" s="161">
        <v>0</v>
      </c>
      <c r="BB44" s="161">
        <v>0</v>
      </c>
      <c r="BC44" s="161">
        <v>0</v>
      </c>
      <c r="BD44" s="161">
        <v>0</v>
      </c>
      <c r="BE44" s="161">
        <v>0</v>
      </c>
      <c r="BF44" s="161">
        <v>0</v>
      </c>
      <c r="BG44" s="161">
        <v>0</v>
      </c>
      <c r="BH44" s="161">
        <v>0</v>
      </c>
      <c r="BI44" s="161">
        <v>0</v>
      </c>
      <c r="BJ44" s="161">
        <v>0</v>
      </c>
      <c r="BK44" s="161">
        <v>0</v>
      </c>
      <c r="BL44" s="161"/>
      <c r="BM44" s="161" t="s">
        <v>547</v>
      </c>
      <c r="BN44" s="161"/>
      <c r="BO44" s="161" t="s">
        <v>547</v>
      </c>
      <c r="BP44" s="162">
        <v>119.99999999999999</v>
      </c>
      <c r="BQ44" s="161"/>
      <c r="BR44" s="161"/>
      <c r="BS44" s="161"/>
      <c r="BT44" s="165"/>
      <c r="BU44" s="165"/>
      <c r="BV44" s="161"/>
      <c r="BW44" s="161" t="s">
        <v>646</v>
      </c>
      <c r="BX44" s="159">
        <v>1</v>
      </c>
      <c r="BY44" s="149"/>
      <c r="BZ44" s="156" t="s">
        <v>681</v>
      </c>
      <c r="CA44" s="156" t="s">
        <v>56</v>
      </c>
    </row>
    <row r="45" spans="1:79" ht="13" customHeight="1" x14ac:dyDescent="0.15">
      <c r="A45" s="157">
        <v>13254</v>
      </c>
      <c r="B45" s="253">
        <v>42567</v>
      </c>
      <c r="C45" s="158" t="s">
        <v>641</v>
      </c>
      <c r="D45" s="159" t="s">
        <v>534</v>
      </c>
      <c r="E45" s="160"/>
      <c r="F45" s="159" t="s">
        <v>696</v>
      </c>
      <c r="G45" s="253">
        <v>42551</v>
      </c>
      <c r="H45" s="161" t="s">
        <v>507</v>
      </c>
      <c r="I45" s="161" t="s">
        <v>508</v>
      </c>
      <c r="J45" s="161"/>
      <c r="K45" s="159" t="s">
        <v>682</v>
      </c>
      <c r="L45" s="159" t="s">
        <v>662</v>
      </c>
      <c r="M45" s="162">
        <v>94.554545454545448</v>
      </c>
      <c r="N45" s="162">
        <v>32.999999999999993</v>
      </c>
      <c r="O45" s="159"/>
      <c r="P45" s="163"/>
      <c r="Q45" s="162" t="s">
        <v>644</v>
      </c>
      <c r="R45" s="163"/>
      <c r="S45" s="162"/>
      <c r="T45" s="163"/>
      <c r="U45" s="162"/>
      <c r="V45" s="159"/>
      <c r="W45" s="159"/>
      <c r="X45" s="163"/>
      <c r="Y45" s="159"/>
      <c r="Z45" s="163"/>
      <c r="AA45" s="159"/>
      <c r="AB45" s="163"/>
      <c r="AC45" s="159"/>
      <c r="AD45" s="159"/>
      <c r="AE45" s="162">
        <v>17.16363636363636</v>
      </c>
      <c r="AF45" s="162" t="s">
        <v>644</v>
      </c>
      <c r="AG45" s="162" t="s">
        <v>644</v>
      </c>
      <c r="AH45" s="159" t="s">
        <v>644</v>
      </c>
      <c r="AI45" s="159" t="s">
        <v>644</v>
      </c>
      <c r="AJ45" s="159" t="s">
        <v>644</v>
      </c>
      <c r="AK45" s="159" t="s">
        <v>644</v>
      </c>
      <c r="AL45" s="159" t="s">
        <v>644</v>
      </c>
      <c r="AM45" s="159" t="s">
        <v>644</v>
      </c>
      <c r="AN45" s="159" t="s">
        <v>644</v>
      </c>
      <c r="AO45" s="159" t="s">
        <v>697</v>
      </c>
      <c r="AP45" s="161" t="s">
        <v>547</v>
      </c>
      <c r="AQ45" s="161"/>
      <c r="AR45" s="161"/>
      <c r="AS45" s="164"/>
      <c r="AT45" s="161">
        <v>11.5</v>
      </c>
      <c r="AU45" s="161"/>
      <c r="AV45" s="161"/>
      <c r="AW45" s="161"/>
      <c r="AX45" s="161" t="s">
        <v>495</v>
      </c>
      <c r="AY45" s="159"/>
      <c r="AZ45" s="161">
        <v>0</v>
      </c>
      <c r="BA45" s="161">
        <v>0</v>
      </c>
      <c r="BB45" s="161">
        <v>0</v>
      </c>
      <c r="BC45" s="161">
        <v>0</v>
      </c>
      <c r="BD45" s="161">
        <v>0</v>
      </c>
      <c r="BE45" s="161">
        <v>0</v>
      </c>
      <c r="BF45" s="161">
        <v>0</v>
      </c>
      <c r="BG45" s="161">
        <v>0</v>
      </c>
      <c r="BH45" s="161">
        <v>0</v>
      </c>
      <c r="BI45" s="161">
        <v>0</v>
      </c>
      <c r="BJ45" s="161">
        <v>0</v>
      </c>
      <c r="BK45" s="161">
        <v>0</v>
      </c>
      <c r="BL45" s="161"/>
      <c r="BM45" s="161" t="s">
        <v>547</v>
      </c>
      <c r="BN45" s="161"/>
      <c r="BO45" s="161" t="s">
        <v>547</v>
      </c>
      <c r="BP45" s="161"/>
      <c r="BQ45" s="161"/>
      <c r="BR45" s="161"/>
      <c r="BS45" s="161"/>
      <c r="BT45" s="165"/>
      <c r="BU45" s="165"/>
      <c r="BV45" s="161"/>
      <c r="BW45" s="161" t="s">
        <v>646</v>
      </c>
      <c r="BX45" s="159"/>
      <c r="BY45" s="149" t="s">
        <v>714</v>
      </c>
      <c r="BZ45" s="156" t="s">
        <v>715</v>
      </c>
      <c r="CA45" s="156" t="s">
        <v>56</v>
      </c>
    </row>
    <row r="46" spans="1:79" customFormat="1" x14ac:dyDescent="0.15">
      <c r="A46" s="157">
        <v>12042</v>
      </c>
      <c r="B46" s="256">
        <v>42605</v>
      </c>
      <c r="C46" s="257" t="s">
        <v>533</v>
      </c>
      <c r="D46" s="255" t="s">
        <v>534</v>
      </c>
      <c r="E46" s="255"/>
      <c r="F46" s="255" t="s">
        <v>612</v>
      </c>
      <c r="G46" s="256">
        <v>42587</v>
      </c>
      <c r="H46" s="258" t="s">
        <v>536</v>
      </c>
      <c r="I46" s="258" t="s">
        <v>537</v>
      </c>
      <c r="J46" s="258"/>
      <c r="K46" s="255" t="s">
        <v>685</v>
      </c>
      <c r="L46" s="255" t="s">
        <v>686</v>
      </c>
      <c r="M46" s="259">
        <v>85.799999999999983</v>
      </c>
      <c r="N46" s="259">
        <v>28.25454545454545</v>
      </c>
      <c r="O46" s="255"/>
      <c r="P46" s="255"/>
      <c r="Q46" s="259"/>
      <c r="R46" s="260"/>
      <c r="S46" s="259"/>
      <c r="T46" s="255"/>
      <c r="U46" s="259"/>
      <c r="V46" s="261"/>
      <c r="W46" s="261"/>
      <c r="X46" s="260"/>
      <c r="Y46" s="259"/>
      <c r="Z46" s="259"/>
      <c r="AA46" s="259"/>
      <c r="AB46" s="259"/>
      <c r="AC46" s="259"/>
      <c r="AD46" s="259"/>
      <c r="AE46" s="259">
        <v>15.618181818181817</v>
      </c>
      <c r="AF46" s="260"/>
      <c r="AG46" s="255"/>
      <c r="AH46" s="259"/>
      <c r="AI46" s="255"/>
      <c r="AJ46" s="255"/>
      <c r="AK46" s="259"/>
      <c r="AL46" s="255"/>
      <c r="AM46" s="259"/>
      <c r="AN46" s="259"/>
      <c r="AO46" s="255" t="s">
        <v>613</v>
      </c>
      <c r="AP46" s="258" t="s">
        <v>537</v>
      </c>
      <c r="AQ46" s="258"/>
      <c r="AR46" s="258"/>
      <c r="AS46" s="262"/>
      <c r="AT46" s="258">
        <v>4</v>
      </c>
      <c r="AU46" s="258"/>
      <c r="AV46" s="258"/>
      <c r="AW46" s="258"/>
      <c r="AX46" s="258" t="s">
        <v>547</v>
      </c>
      <c r="AY46" s="255"/>
      <c r="AZ46" s="258">
        <v>0</v>
      </c>
      <c r="BA46" s="258">
        <v>0</v>
      </c>
      <c r="BB46" s="258">
        <v>0</v>
      </c>
      <c r="BC46" s="258">
        <v>0</v>
      </c>
      <c r="BD46" s="258">
        <v>0</v>
      </c>
      <c r="BE46" s="258">
        <v>0</v>
      </c>
      <c r="BF46" s="258">
        <v>0</v>
      </c>
      <c r="BG46" s="258">
        <v>0</v>
      </c>
      <c r="BH46" s="258">
        <v>0</v>
      </c>
      <c r="BI46" s="258">
        <v>0</v>
      </c>
      <c r="BJ46" s="258">
        <v>0</v>
      </c>
      <c r="BK46" s="258">
        <v>0</v>
      </c>
      <c r="BL46" s="258"/>
      <c r="BM46" s="258" t="s">
        <v>537</v>
      </c>
      <c r="BN46" s="258">
        <v>12</v>
      </c>
      <c r="BO46" s="258" t="s">
        <v>537</v>
      </c>
      <c r="BP46" s="263"/>
      <c r="BQ46" s="258"/>
      <c r="BR46" s="258"/>
      <c r="BS46" s="258"/>
      <c r="BT46" s="255"/>
      <c r="BU46" s="264"/>
      <c r="BV46" s="258"/>
      <c r="BW46" s="258" t="s">
        <v>543</v>
      </c>
      <c r="BX46" s="258">
        <v>1</v>
      </c>
      <c r="BY46" s="264"/>
      <c r="BZ46" s="149" t="s">
        <v>794</v>
      </c>
      <c r="CA46" s="255" t="s">
        <v>90</v>
      </c>
    </row>
    <row r="47" spans="1:79" customFormat="1" x14ac:dyDescent="0.15">
      <c r="A47" s="157">
        <v>5</v>
      </c>
      <c r="B47" s="256">
        <v>42605</v>
      </c>
      <c r="C47" s="257" t="s">
        <v>533</v>
      </c>
      <c r="D47" s="255" t="s">
        <v>534</v>
      </c>
      <c r="E47" s="255"/>
      <c r="F47" s="255" t="s">
        <v>612</v>
      </c>
      <c r="G47" s="256">
        <v>42571</v>
      </c>
      <c r="H47" s="258" t="s">
        <v>536</v>
      </c>
      <c r="I47" s="258" t="s">
        <v>537</v>
      </c>
      <c r="J47" s="258"/>
      <c r="K47" s="255" t="s">
        <v>792</v>
      </c>
      <c r="L47" s="255" t="s">
        <v>687</v>
      </c>
      <c r="M47" s="259">
        <v>99.999999999999986</v>
      </c>
      <c r="N47" s="259">
        <v>25.7</v>
      </c>
      <c r="O47" s="255" t="s">
        <v>648</v>
      </c>
      <c r="P47" s="255">
        <v>1000</v>
      </c>
      <c r="Q47" s="259">
        <v>33.999999999999993</v>
      </c>
      <c r="R47" s="260"/>
      <c r="S47" s="259"/>
      <c r="T47" s="255"/>
      <c r="U47" s="259"/>
      <c r="V47" s="261"/>
      <c r="W47" s="261"/>
      <c r="X47" s="260"/>
      <c r="Y47" s="259"/>
      <c r="Z47" s="259"/>
      <c r="AA47" s="259"/>
      <c r="AB47" s="259"/>
      <c r="AC47" s="259"/>
      <c r="AD47" s="259"/>
      <c r="AE47" s="259">
        <v>18.999999999999996</v>
      </c>
      <c r="AF47" s="260"/>
      <c r="AG47" s="255"/>
      <c r="AH47" s="259"/>
      <c r="AI47" s="255"/>
      <c r="AJ47" s="255"/>
      <c r="AK47" s="259"/>
      <c r="AL47" s="255"/>
      <c r="AM47" s="259"/>
      <c r="AN47" s="259"/>
      <c r="AO47" s="255" t="s">
        <v>613</v>
      </c>
      <c r="AP47" s="258" t="s">
        <v>537</v>
      </c>
      <c r="AQ47" s="258"/>
      <c r="AR47" s="258"/>
      <c r="AS47" s="262"/>
      <c r="AT47" s="258">
        <v>3</v>
      </c>
      <c r="AU47" s="258"/>
      <c r="AV47" s="258"/>
      <c r="AW47" s="258"/>
      <c r="AX47" s="258" t="s">
        <v>547</v>
      </c>
      <c r="AY47" s="255"/>
      <c r="AZ47" s="258">
        <v>0</v>
      </c>
      <c r="BA47" s="258">
        <v>0</v>
      </c>
      <c r="BB47" s="258">
        <v>7</v>
      </c>
      <c r="BC47" s="258">
        <v>0</v>
      </c>
      <c r="BD47" s="258">
        <v>0</v>
      </c>
      <c r="BE47" s="258">
        <v>0</v>
      </c>
      <c r="BF47" s="258">
        <v>0</v>
      </c>
      <c r="BG47" s="258">
        <v>0</v>
      </c>
      <c r="BH47" s="258">
        <v>0</v>
      </c>
      <c r="BI47" s="258">
        <v>0</v>
      </c>
      <c r="BJ47" s="258">
        <v>0</v>
      </c>
      <c r="BK47" s="258">
        <v>0</v>
      </c>
      <c r="BL47" s="258"/>
      <c r="BM47" s="258" t="s">
        <v>537</v>
      </c>
      <c r="BN47" s="258"/>
      <c r="BO47" s="258" t="s">
        <v>537</v>
      </c>
      <c r="BP47" s="263"/>
      <c r="BQ47" s="258"/>
      <c r="BR47" s="258"/>
      <c r="BS47" s="258"/>
      <c r="BT47" s="255"/>
      <c r="BU47" s="264"/>
      <c r="BV47" s="258"/>
      <c r="BW47" s="258" t="s">
        <v>543</v>
      </c>
      <c r="BX47" s="258"/>
      <c r="BY47" s="264"/>
      <c r="BZ47" s="265" t="s">
        <v>795</v>
      </c>
      <c r="CA47" s="264" t="s">
        <v>90</v>
      </c>
    </row>
    <row r="48" spans="1:79" ht="13" customHeight="1" x14ac:dyDescent="0.15">
      <c r="A48" s="157">
        <v>11187</v>
      </c>
      <c r="B48" s="253">
        <v>42566</v>
      </c>
      <c r="C48" s="158" t="s">
        <v>641</v>
      </c>
      <c r="D48" s="159" t="s">
        <v>534</v>
      </c>
      <c r="E48" s="160"/>
      <c r="F48" s="159" t="s">
        <v>696</v>
      </c>
      <c r="G48" s="253">
        <v>42551</v>
      </c>
      <c r="H48" s="161" t="s">
        <v>507</v>
      </c>
      <c r="I48" s="161" t="s">
        <v>547</v>
      </c>
      <c r="J48" s="161"/>
      <c r="K48" s="159" t="s">
        <v>688</v>
      </c>
      <c r="L48" s="159" t="s">
        <v>609</v>
      </c>
      <c r="M48" s="162">
        <v>106.52727272727273</v>
      </c>
      <c r="N48" s="162">
        <v>23.790909090909089</v>
      </c>
      <c r="O48" s="159"/>
      <c r="P48" s="163"/>
      <c r="Q48" s="162" t="s">
        <v>644</v>
      </c>
      <c r="R48" s="163"/>
      <c r="S48" s="162"/>
      <c r="T48" s="163"/>
      <c r="U48" s="162"/>
      <c r="V48" s="159"/>
      <c r="W48" s="159"/>
      <c r="X48" s="163"/>
      <c r="Y48" s="159"/>
      <c r="Z48" s="163"/>
      <c r="AA48" s="159"/>
      <c r="AB48" s="163"/>
      <c r="AC48" s="159"/>
      <c r="AD48" s="159"/>
      <c r="AE48" s="162">
        <v>17.727272727272727</v>
      </c>
      <c r="AF48" s="162" t="s">
        <v>644</v>
      </c>
      <c r="AG48" s="162" t="s">
        <v>644</v>
      </c>
      <c r="AH48" s="159" t="s">
        <v>644</v>
      </c>
      <c r="AI48" s="159" t="s">
        <v>644</v>
      </c>
      <c r="AJ48" s="159" t="s">
        <v>644</v>
      </c>
      <c r="AK48" s="159" t="s">
        <v>644</v>
      </c>
      <c r="AL48" s="159" t="s">
        <v>644</v>
      </c>
      <c r="AM48" s="159" t="s">
        <v>644</v>
      </c>
      <c r="AN48" s="159" t="s">
        <v>644</v>
      </c>
      <c r="AO48" s="159" t="s">
        <v>697</v>
      </c>
      <c r="AP48" s="161" t="s">
        <v>547</v>
      </c>
      <c r="AQ48" s="161"/>
      <c r="AR48" s="161"/>
      <c r="AS48" s="164"/>
      <c r="AT48" s="161">
        <v>4.1100000000000003</v>
      </c>
      <c r="AU48" s="161"/>
      <c r="AV48" s="161"/>
      <c r="AW48" s="161"/>
      <c r="AX48" s="161" t="s">
        <v>547</v>
      </c>
      <c r="AY48" s="159"/>
      <c r="AZ48" s="161">
        <v>0</v>
      </c>
      <c r="BA48" s="161">
        <v>0</v>
      </c>
      <c r="BB48" s="161">
        <v>0</v>
      </c>
      <c r="BC48" s="161">
        <v>0</v>
      </c>
      <c r="BD48" s="161">
        <v>0</v>
      </c>
      <c r="BE48" s="161">
        <v>0</v>
      </c>
      <c r="BF48" s="161">
        <v>0</v>
      </c>
      <c r="BG48" s="161">
        <v>0</v>
      </c>
      <c r="BH48" s="161">
        <v>0</v>
      </c>
      <c r="BI48" s="161">
        <v>0</v>
      </c>
      <c r="BJ48" s="161">
        <v>0</v>
      </c>
      <c r="BK48" s="161">
        <v>0</v>
      </c>
      <c r="BL48" s="161"/>
      <c r="BM48" s="161" t="s">
        <v>547</v>
      </c>
      <c r="BN48" s="161"/>
      <c r="BO48" s="161" t="s">
        <v>547</v>
      </c>
      <c r="BP48" s="161"/>
      <c r="BQ48" s="161"/>
      <c r="BR48" s="161"/>
      <c r="BS48" s="161"/>
      <c r="BT48" s="165"/>
      <c r="BU48" s="165"/>
      <c r="BV48" s="161"/>
      <c r="BW48" s="161" t="s">
        <v>646</v>
      </c>
      <c r="BX48" s="159">
        <v>1</v>
      </c>
      <c r="BY48" s="149"/>
      <c r="BZ48" s="156" t="s">
        <v>716</v>
      </c>
      <c r="CA48" s="156" t="s">
        <v>56</v>
      </c>
    </row>
    <row r="49" spans="1:79" ht="13" customHeight="1" x14ac:dyDescent="0.15">
      <c r="A49" s="157">
        <v>12713</v>
      </c>
      <c r="B49" s="253">
        <v>42566</v>
      </c>
      <c r="C49" s="158" t="s">
        <v>641</v>
      </c>
      <c r="D49" s="159" t="s">
        <v>534</v>
      </c>
      <c r="E49" s="160"/>
      <c r="F49" s="159" t="s">
        <v>696</v>
      </c>
      <c r="G49" s="253">
        <v>42551</v>
      </c>
      <c r="H49" s="161" t="s">
        <v>507</v>
      </c>
      <c r="I49" s="161" t="s">
        <v>547</v>
      </c>
      <c r="J49" s="161"/>
      <c r="K49" s="159" t="s">
        <v>690</v>
      </c>
      <c r="L49" s="159" t="s">
        <v>691</v>
      </c>
      <c r="M49" s="162">
        <v>99.999999999999986</v>
      </c>
      <c r="N49" s="162">
        <v>27.499999999999996</v>
      </c>
      <c r="O49" s="159"/>
      <c r="P49" s="163"/>
      <c r="Q49" s="162" t="s">
        <v>644</v>
      </c>
      <c r="R49" s="163"/>
      <c r="S49" s="162"/>
      <c r="T49" s="163"/>
      <c r="U49" s="162"/>
      <c r="V49" s="159"/>
      <c r="W49" s="159"/>
      <c r="X49" s="163"/>
      <c r="Y49" s="159"/>
      <c r="Z49" s="163"/>
      <c r="AA49" s="159"/>
      <c r="AB49" s="163"/>
      <c r="AC49" s="159"/>
      <c r="AD49" s="159"/>
      <c r="AE49" s="162">
        <v>18.872727272727271</v>
      </c>
      <c r="AF49" s="162" t="s">
        <v>644</v>
      </c>
      <c r="AG49" s="162" t="s">
        <v>644</v>
      </c>
      <c r="AH49" s="159" t="s">
        <v>644</v>
      </c>
      <c r="AI49" s="159" t="s">
        <v>644</v>
      </c>
      <c r="AJ49" s="159" t="s">
        <v>644</v>
      </c>
      <c r="AK49" s="159" t="s">
        <v>644</v>
      </c>
      <c r="AL49" s="159" t="s">
        <v>644</v>
      </c>
      <c r="AM49" s="159" t="s">
        <v>644</v>
      </c>
      <c r="AN49" s="159" t="s">
        <v>644</v>
      </c>
      <c r="AO49" s="159" t="s">
        <v>697</v>
      </c>
      <c r="AP49" s="161" t="s">
        <v>547</v>
      </c>
      <c r="AQ49" s="161"/>
      <c r="AR49" s="161"/>
      <c r="AS49" s="164"/>
      <c r="AT49" s="161">
        <v>8</v>
      </c>
      <c r="AU49" s="161"/>
      <c r="AV49" s="161"/>
      <c r="AW49" s="161"/>
      <c r="AX49" s="161" t="s">
        <v>507</v>
      </c>
      <c r="AY49" s="159" t="s">
        <v>692</v>
      </c>
      <c r="AZ49" s="161">
        <v>0</v>
      </c>
      <c r="BA49" s="161">
        <v>0</v>
      </c>
      <c r="BB49" s="161">
        <v>0</v>
      </c>
      <c r="BC49" s="161">
        <v>0</v>
      </c>
      <c r="BD49" s="161">
        <v>0</v>
      </c>
      <c r="BE49" s="161">
        <v>0</v>
      </c>
      <c r="BF49" s="161">
        <v>0</v>
      </c>
      <c r="BG49" s="161">
        <v>0</v>
      </c>
      <c r="BH49" s="161">
        <v>0</v>
      </c>
      <c r="BI49" s="161">
        <v>0</v>
      </c>
      <c r="BJ49" s="161">
        <v>0</v>
      </c>
      <c r="BK49" s="161">
        <v>0</v>
      </c>
      <c r="BL49" s="161"/>
      <c r="BM49" s="161" t="s">
        <v>547</v>
      </c>
      <c r="BN49" s="161"/>
      <c r="BO49" s="161" t="s">
        <v>547</v>
      </c>
      <c r="BP49" s="161"/>
      <c r="BQ49" s="161"/>
      <c r="BR49" s="161"/>
      <c r="BS49" s="161"/>
      <c r="BT49" s="165"/>
      <c r="BU49" s="165"/>
      <c r="BV49" s="161"/>
      <c r="BW49" s="161" t="s">
        <v>646</v>
      </c>
      <c r="BX49" s="159">
        <v>1</v>
      </c>
      <c r="BY49" s="149" t="s">
        <v>693</v>
      </c>
      <c r="BZ49" s="156" t="s">
        <v>717</v>
      </c>
      <c r="CA49" s="156" t="s">
        <v>56</v>
      </c>
    </row>
    <row r="50" spans="1:79" customFormat="1" x14ac:dyDescent="0.15">
      <c r="A50" s="45"/>
      <c r="B50" s="123">
        <v>42606</v>
      </c>
      <c r="C50" s="143" t="s">
        <v>641</v>
      </c>
      <c r="D50" s="144" t="s">
        <v>534</v>
      </c>
      <c r="E50" s="145"/>
      <c r="F50" s="48" t="s">
        <v>696</v>
      </c>
      <c r="G50" s="123">
        <v>42587</v>
      </c>
      <c r="H50" s="49" t="s">
        <v>507</v>
      </c>
      <c r="I50" s="49" t="s">
        <v>547</v>
      </c>
      <c r="J50" s="49"/>
      <c r="K50" s="144" t="s">
        <v>695</v>
      </c>
      <c r="L50" s="144" t="s">
        <v>796</v>
      </c>
      <c r="M50" s="146">
        <v>65.45</v>
      </c>
      <c r="N50" s="146">
        <v>29.44</v>
      </c>
      <c r="O50" s="48"/>
      <c r="P50" s="50"/>
      <c r="Q50" s="146" t="s">
        <v>644</v>
      </c>
      <c r="R50" s="50"/>
      <c r="S50" s="146"/>
      <c r="T50" s="50"/>
      <c r="U50" s="146"/>
      <c r="V50" s="48"/>
      <c r="W50" s="48"/>
      <c r="X50" s="50"/>
      <c r="Y50" s="48"/>
      <c r="Z50" s="50"/>
      <c r="AA50" s="48"/>
      <c r="AB50" s="50"/>
      <c r="AC50" s="48"/>
      <c r="AD50" s="48"/>
      <c r="AE50" s="146">
        <v>15.04</v>
      </c>
      <c r="AF50" s="146" t="s">
        <v>644</v>
      </c>
      <c r="AG50" s="146" t="s">
        <v>644</v>
      </c>
      <c r="AH50" s="48" t="s">
        <v>644</v>
      </c>
      <c r="AI50" s="48" t="s">
        <v>644</v>
      </c>
      <c r="AJ50" s="48" t="s">
        <v>644</v>
      </c>
      <c r="AK50" s="48" t="s">
        <v>644</v>
      </c>
      <c r="AL50" s="48" t="s">
        <v>644</v>
      </c>
      <c r="AM50" s="48" t="s">
        <v>644</v>
      </c>
      <c r="AN50" s="48" t="s">
        <v>644</v>
      </c>
      <c r="AO50" s="48" t="s">
        <v>697</v>
      </c>
      <c r="AP50" s="49" t="s">
        <v>547</v>
      </c>
      <c r="AQ50" s="49"/>
      <c r="AR50" s="49"/>
      <c r="AS50" s="51"/>
      <c r="AT50" s="49">
        <v>7</v>
      </c>
      <c r="AU50" s="49"/>
      <c r="AV50" s="49"/>
      <c r="AW50" s="49"/>
      <c r="AX50" s="49" t="s">
        <v>547</v>
      </c>
      <c r="AY50" s="48"/>
      <c r="AZ50" s="49">
        <v>0</v>
      </c>
      <c r="BA50" s="49">
        <v>0</v>
      </c>
      <c r="BB50" s="49">
        <v>0</v>
      </c>
      <c r="BC50" s="49">
        <v>0</v>
      </c>
      <c r="BD50" s="49">
        <v>0</v>
      </c>
      <c r="BE50" s="49">
        <v>0</v>
      </c>
      <c r="BF50" s="49">
        <v>0</v>
      </c>
      <c r="BG50" s="49">
        <v>0</v>
      </c>
      <c r="BH50" s="49">
        <v>0</v>
      </c>
      <c r="BI50" s="49">
        <v>0</v>
      </c>
      <c r="BJ50" s="49">
        <v>0</v>
      </c>
      <c r="BK50" s="49">
        <v>0</v>
      </c>
      <c r="BL50" s="49"/>
      <c r="BM50" s="49" t="s">
        <v>547</v>
      </c>
      <c r="BN50" s="49"/>
      <c r="BO50" s="49" t="s">
        <v>547</v>
      </c>
      <c r="BP50" s="49"/>
      <c r="BQ50" s="49"/>
      <c r="BR50" s="49"/>
      <c r="BS50" s="49"/>
      <c r="BT50" s="52"/>
      <c r="BU50" s="52"/>
      <c r="BV50" s="49"/>
      <c r="BW50" s="49" t="s">
        <v>646</v>
      </c>
      <c r="BX50" s="49"/>
      <c r="BY50" s="52"/>
      <c r="BZ50" s="149" t="s">
        <v>798</v>
      </c>
      <c r="CA50" s="118" t="s">
        <v>90</v>
      </c>
    </row>
  </sheetData>
  <sheetProtection algorithmName="SHA-512" hashValue="Lsi9gM/wZ1jvOK9NSDrmiX4fsVhuo+4bstkT8pDrQy/a91VT/xdT5KxhKmo2ZS/6GXAn7p56UIkuOoMnZOSnQw==" saltValue="khAxRMZ2pXmqRLnqzoJ8GA==" spinCount="100000" sheet="1" objects="1" scenarios="1"/>
  <hyperlinks>
    <hyperlink ref="BY12" r:id="rId1" display="https://www.energymadeeasy.gov.au/offer/911807?postcode=5000" xr:uid="{D707AFC5-80BE-B943-9B5E-8EB3A44B96DE}"/>
    <hyperlink ref="BY13" r:id="rId2" display="https://www.energymadeeasy.gov.au/offer/929734/print?postcode=5000&amp;fuelType=E&amp;distributor-E=42" xr:uid="{78881A05-C96D-1A47-8E22-E54666571906}"/>
    <hyperlink ref="BY5" r:id="rId3" display="https://www.energymadeeasy.gov.au/offer/930746?postcode=5000" xr:uid="{29EF2BC8-C386-B14F-8C87-70EA241C7E9D}"/>
    <hyperlink ref="BY9" r:id="rId4" display="https://www.energymadeeasy.gov.au/offer/930474/print?postcode=5000&amp;fuelType=E&amp;distributor-E=42" xr:uid="{D88359ED-47A8-9649-B5FF-71C7E54D0C22}"/>
    <hyperlink ref="BY17" r:id="rId5" display="https://s3-ap-southeast-2.amazonaws.com/psau-wordpress/wp-content/uploads/2019/06/30212117/PSH-SAPN-90701-MR.pdf" xr:uid="{CEB8809C-1C3D-0245-926F-D1442D04B296}"/>
    <hyperlink ref="BY37" r:id="rId6" display="https://www.energymadeeasy.gov.au/offer/911806?postcode=5000" xr:uid="{C8303DFA-447D-3F41-903B-6A8E57EEBA85}"/>
    <hyperlink ref="BY38" r:id="rId7" display="https://www.energymadeeasy.gov.au/offer/929733/print?postcode=5000&amp;fuelType=E&amp;distributor-E=42" xr:uid="{AC0F8EE6-55AB-F64B-A7D2-BDE7F1932062}"/>
    <hyperlink ref="BY30" r:id="rId8" display="https://www.energymadeeasy.gov.au/offer/930745?postcode=5000" xr:uid="{F626D5EC-F1C5-9842-934F-01CA23D5ABA6}"/>
    <hyperlink ref="BY34" r:id="rId9" display="https://www.energymadeeasy.gov.au/offer/930473/print?postcode=5000&amp;fuelType=E&amp;distributor-E=42" xr:uid="{555BC248-A1CC-6645-9C81-5BAD9B6FB5D5}"/>
    <hyperlink ref="BY42" r:id="rId10" display="https://s3-ap-southeast-2.amazonaws.com/psau-wordpress/wp-content/uploads/2019/06/30212117/PSH-SAPN-90701-MR.pdf" xr:uid="{FA7B0D39-C79D-B240-995B-411FAFAF29EB}"/>
    <hyperlink ref="BY19" r:id="rId11" display="https://uploads-ssl.webflow.com/5be398fec98f64eddec9df1c/5be398fec98f64c42cc9df5f_LCL711480MR_CZae.pdf" xr:uid="{F9F7ED13-0465-4C48-A5B3-A4048DF89C9D}"/>
    <hyperlink ref="BY16" r:id="rId12" display="https://www.energymadeeasy.gov.au/offer/922894?utm_source=amaysim+Energy&amp;utm_campaign=bpi-retailer&amp;utm_medium=retailer&amp;postcode=5000" xr:uid="{F9627428-C701-484E-8B58-03CFC562CAF2}"/>
    <hyperlink ref="BY4" r:id="rId13" display="https://www.energymadeeasy.gov.au/offer/936466?postcode=5000" xr:uid="{A029E033-1859-D440-847B-B43A7C7F4657}"/>
    <hyperlink ref="BY29" r:id="rId14" display="https://www.energymadeeasy.gov.au/offer/936475?postcode=5000" xr:uid="{2908FB2C-17AE-1044-A5DB-9E4213793CCE}"/>
    <hyperlink ref="BZ39" r:id="rId15" display="https://www.energymadeeasy.gov.au/offer/687976?postcode=5000" xr:uid="{C1499016-2704-6D4F-94C8-2CF005EF413D}"/>
    <hyperlink ref="BZ31" r:id="rId16" xr:uid="{F0A17710-75F2-5549-BB93-AF2806BFA3F8}"/>
    <hyperlink ref="BZ22" r:id="rId17" xr:uid="{CAC3E6DB-3BC7-F44B-A90C-47F431DA0520}"/>
    <hyperlink ref="BZ46" r:id="rId18" xr:uid="{50278011-92A4-8A49-8DAE-B31AE7A9E00A}"/>
  </hyperlinks>
  <pageMargins left="0.75" right="0.75" top="1" bottom="1" header="0.5" footer="0.5"/>
  <pageSetup paperSize="10" orientation="portrait" horizontalDpi="4294967292" verticalDpi="4294967292"/>
  <legacy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8464F-50A4-9E4D-9FF6-D4C8EC584869}">
  <sheetPr codeName="Sheet13"/>
  <dimension ref="A1:BW35"/>
  <sheetViews>
    <sheetView zoomScale="110" zoomScaleNormal="110" workbookViewId="0">
      <selection activeCell="A9" sqref="A9:XFD9"/>
    </sheetView>
  </sheetViews>
  <sheetFormatPr baseColWidth="10" defaultRowHeight="13" x14ac:dyDescent="0.15"/>
  <cols>
    <col min="11" max="11" width="17" bestFit="1" customWidth="1"/>
    <col min="12" max="12" width="19" bestFit="1" customWidth="1"/>
    <col min="41" max="41" width="13" bestFit="1" customWidth="1"/>
    <col min="65" max="65" width="11.6640625" customWidth="1"/>
    <col min="74" max="74" width="209.33203125" bestFit="1" customWidth="1"/>
  </cols>
  <sheetData>
    <row r="1" spans="1:75" ht="70" x14ac:dyDescent="0.15">
      <c r="A1" s="23" t="s">
        <v>343</v>
      </c>
      <c r="B1" s="23" t="s">
        <v>344</v>
      </c>
      <c r="C1" s="24" t="s">
        <v>345</v>
      </c>
      <c r="D1" s="25" t="s">
        <v>189</v>
      </c>
      <c r="E1" s="25" t="s">
        <v>190</v>
      </c>
      <c r="F1" s="25" t="s">
        <v>220</v>
      </c>
      <c r="G1" s="23" t="s">
        <v>221</v>
      </c>
      <c r="H1" s="26" t="s">
        <v>134</v>
      </c>
      <c r="I1" s="26" t="s">
        <v>229</v>
      </c>
      <c r="J1" s="26" t="s">
        <v>230</v>
      </c>
      <c r="K1" s="25" t="s">
        <v>231</v>
      </c>
      <c r="L1" s="27" t="s">
        <v>232</v>
      </c>
      <c r="M1" s="28" t="s">
        <v>233</v>
      </c>
      <c r="N1" s="29" t="s">
        <v>234</v>
      </c>
      <c r="O1" s="29" t="s">
        <v>235</v>
      </c>
      <c r="P1" s="29" t="s">
        <v>236</v>
      </c>
      <c r="Q1" s="29" t="s">
        <v>136</v>
      </c>
      <c r="R1" s="29" t="s">
        <v>137</v>
      </c>
      <c r="S1" s="29" t="s">
        <v>203</v>
      </c>
      <c r="T1" s="29" t="s">
        <v>204</v>
      </c>
      <c r="U1" s="29" t="s">
        <v>205</v>
      </c>
      <c r="V1" s="30" t="s">
        <v>206</v>
      </c>
      <c r="W1" s="31" t="s">
        <v>283</v>
      </c>
      <c r="X1" s="31" t="s">
        <v>207</v>
      </c>
      <c r="Y1" s="31" t="s">
        <v>292</v>
      </c>
      <c r="Z1" s="31" t="s">
        <v>397</v>
      </c>
      <c r="AA1" s="31" t="s">
        <v>398</v>
      </c>
      <c r="AB1" s="31" t="s">
        <v>399</v>
      </c>
      <c r="AC1" s="31" t="s">
        <v>400</v>
      </c>
      <c r="AD1" s="31" t="s">
        <v>401</v>
      </c>
      <c r="AE1" s="32" t="s">
        <v>402</v>
      </c>
      <c r="AF1" s="33" t="s">
        <v>208</v>
      </c>
      <c r="AG1" s="33" t="s">
        <v>209</v>
      </c>
      <c r="AH1" s="34" t="s">
        <v>272</v>
      </c>
      <c r="AI1" s="34" t="s">
        <v>273</v>
      </c>
      <c r="AJ1" s="34" t="s">
        <v>347</v>
      </c>
      <c r="AK1" s="34" t="s">
        <v>348</v>
      </c>
      <c r="AL1" s="34"/>
      <c r="AM1" s="34"/>
      <c r="AN1" s="34"/>
      <c r="AO1" s="35" t="s">
        <v>349</v>
      </c>
      <c r="AP1" s="36" t="s">
        <v>350</v>
      </c>
      <c r="AQ1" s="36" t="s">
        <v>238</v>
      </c>
      <c r="AR1" s="37" t="s">
        <v>158</v>
      </c>
      <c r="AS1" s="38" t="s">
        <v>159</v>
      </c>
      <c r="AT1" s="39" t="s">
        <v>160</v>
      </c>
      <c r="AU1" s="40" t="s">
        <v>161</v>
      </c>
      <c r="AV1" s="41" t="s">
        <v>162</v>
      </c>
      <c r="AW1" s="42" t="s">
        <v>163</v>
      </c>
      <c r="AX1" s="43" t="s">
        <v>164</v>
      </c>
      <c r="AY1" s="42" t="s">
        <v>257</v>
      </c>
      <c r="AZ1" s="43" t="s">
        <v>258</v>
      </c>
      <c r="BA1" s="42" t="s">
        <v>259</v>
      </c>
      <c r="BB1" s="43" t="s">
        <v>260</v>
      </c>
      <c r="BC1" s="42" t="s">
        <v>261</v>
      </c>
      <c r="BD1" s="44" t="s">
        <v>262</v>
      </c>
      <c r="BE1" s="120" t="s">
        <v>453</v>
      </c>
      <c r="BF1" s="121" t="s">
        <v>454</v>
      </c>
      <c r="BG1" s="42" t="s">
        <v>165</v>
      </c>
      <c r="BH1" s="44" t="s">
        <v>166</v>
      </c>
      <c r="BI1" s="26" t="s">
        <v>252</v>
      </c>
      <c r="BJ1" s="26" t="s">
        <v>253</v>
      </c>
      <c r="BK1" s="26" t="s">
        <v>254</v>
      </c>
      <c r="BL1" s="26" t="s">
        <v>193</v>
      </c>
      <c r="BM1" s="122" t="s">
        <v>455</v>
      </c>
      <c r="BN1" s="26" t="s">
        <v>456</v>
      </c>
      <c r="BO1" s="26" t="s">
        <v>457</v>
      </c>
      <c r="BP1" s="26" t="s">
        <v>458</v>
      </c>
      <c r="BQ1" s="24" t="s">
        <v>324</v>
      </c>
      <c r="BR1" s="24" t="s">
        <v>354</v>
      </c>
      <c r="BS1" s="26" t="s">
        <v>355</v>
      </c>
      <c r="BT1" s="26" t="s">
        <v>170</v>
      </c>
      <c r="BU1" s="24" t="s">
        <v>171</v>
      </c>
      <c r="BV1" s="26" t="s">
        <v>214</v>
      </c>
      <c r="BW1" s="23" t="s">
        <v>215</v>
      </c>
    </row>
    <row r="2" spans="1:75" x14ac:dyDescent="0.15">
      <c r="A2" s="45">
        <v>10433</v>
      </c>
      <c r="B2" s="142">
        <v>42185</v>
      </c>
      <c r="C2" s="143" t="s">
        <v>533</v>
      </c>
      <c r="D2" s="144" t="s">
        <v>534</v>
      </c>
      <c r="E2" s="145"/>
      <c r="F2" s="48" t="s">
        <v>535</v>
      </c>
      <c r="G2" s="142">
        <v>42185</v>
      </c>
      <c r="H2" s="49" t="s">
        <v>536</v>
      </c>
      <c r="I2" s="49" t="s">
        <v>537</v>
      </c>
      <c r="J2" s="49"/>
      <c r="K2" s="48" t="s">
        <v>538</v>
      </c>
      <c r="L2" s="48" t="s">
        <v>539</v>
      </c>
      <c r="M2" s="146">
        <v>80.999999999999986</v>
      </c>
      <c r="N2" s="146">
        <v>36.709090909090911</v>
      </c>
      <c r="O2" s="48"/>
      <c r="P2" s="50"/>
      <c r="Q2" s="146" t="s">
        <v>540</v>
      </c>
      <c r="R2" s="50"/>
      <c r="S2" s="146" t="s">
        <v>540</v>
      </c>
      <c r="T2" s="50"/>
      <c r="U2" s="146" t="s">
        <v>540</v>
      </c>
      <c r="V2" s="48"/>
      <c r="W2" s="48"/>
      <c r="X2" s="48"/>
      <c r="Y2" s="48"/>
      <c r="Z2" s="50"/>
      <c r="AA2" s="48"/>
      <c r="AB2" s="50"/>
      <c r="AC2" s="48"/>
      <c r="AD2" s="48"/>
      <c r="AE2" s="48"/>
      <c r="AF2" s="50"/>
      <c r="AG2" s="48"/>
      <c r="AH2" s="48"/>
      <c r="AI2" s="48"/>
      <c r="AJ2" s="48"/>
      <c r="AK2" s="48"/>
      <c r="AL2" s="48"/>
      <c r="AM2" s="48"/>
      <c r="AN2" s="48"/>
      <c r="AO2" s="48" t="s">
        <v>541</v>
      </c>
      <c r="AP2" s="49" t="s">
        <v>537</v>
      </c>
      <c r="AQ2" s="49"/>
      <c r="AR2" s="49"/>
      <c r="AS2" s="51"/>
      <c r="AT2" s="49">
        <v>16.3</v>
      </c>
      <c r="AU2" s="49" t="s">
        <v>542</v>
      </c>
      <c r="AV2" s="48"/>
      <c r="AW2" s="49">
        <v>8</v>
      </c>
      <c r="AX2" s="49">
        <v>0</v>
      </c>
      <c r="AY2" s="49">
        <v>0</v>
      </c>
      <c r="AZ2" s="49">
        <v>0</v>
      </c>
      <c r="BA2" s="49">
        <v>0</v>
      </c>
      <c r="BB2" s="49">
        <v>0</v>
      </c>
      <c r="BC2" s="49">
        <v>0</v>
      </c>
      <c r="BD2" s="49">
        <v>0</v>
      </c>
      <c r="BE2" s="49">
        <v>0</v>
      </c>
      <c r="BF2" s="49">
        <v>0</v>
      </c>
      <c r="BG2" s="49">
        <v>0</v>
      </c>
      <c r="BH2" s="49">
        <v>0</v>
      </c>
      <c r="BI2" s="49"/>
      <c r="BJ2" s="49" t="s">
        <v>537</v>
      </c>
      <c r="BK2" s="49">
        <v>12</v>
      </c>
      <c r="BL2" s="49" t="s">
        <v>537</v>
      </c>
      <c r="BM2" s="49"/>
      <c r="BN2" s="49"/>
      <c r="BO2" s="49"/>
      <c r="BP2" s="49"/>
      <c r="BQ2" s="48"/>
      <c r="BR2" s="52"/>
      <c r="BS2" s="49"/>
      <c r="BT2" s="49" t="s">
        <v>543</v>
      </c>
      <c r="BU2" s="52"/>
      <c r="BV2" s="118" t="s">
        <v>79</v>
      </c>
      <c r="BW2" s="124" t="s">
        <v>527</v>
      </c>
    </row>
    <row r="3" spans="1:75" x14ac:dyDescent="0.15">
      <c r="A3" s="45">
        <v>10486</v>
      </c>
      <c r="B3" s="142">
        <v>42186</v>
      </c>
      <c r="C3" s="143" t="s">
        <v>533</v>
      </c>
      <c r="D3" s="144" t="s">
        <v>534</v>
      </c>
      <c r="E3" s="145"/>
      <c r="F3" s="48" t="s">
        <v>535</v>
      </c>
      <c r="G3" s="129">
        <v>42185</v>
      </c>
      <c r="H3" s="49" t="s">
        <v>536</v>
      </c>
      <c r="I3" s="49" t="s">
        <v>537</v>
      </c>
      <c r="J3" s="49"/>
      <c r="K3" s="48" t="s">
        <v>544</v>
      </c>
      <c r="L3" s="144" t="s">
        <v>545</v>
      </c>
      <c r="M3" s="146">
        <v>83</v>
      </c>
      <c r="N3" s="146">
        <v>30.154545454545453</v>
      </c>
      <c r="O3" s="48" t="s">
        <v>546</v>
      </c>
      <c r="P3" s="50">
        <v>300</v>
      </c>
      <c r="Q3" s="146">
        <v>33.590909090909093</v>
      </c>
      <c r="R3" s="50">
        <v>300</v>
      </c>
      <c r="S3" s="146">
        <v>33.590909090909093</v>
      </c>
      <c r="T3" s="50">
        <v>300</v>
      </c>
      <c r="U3" s="146">
        <v>33.590909090909093</v>
      </c>
      <c r="V3" s="48"/>
      <c r="W3" s="48"/>
      <c r="X3" s="48"/>
      <c r="Y3" s="48"/>
      <c r="Z3" s="48"/>
      <c r="AA3" s="48"/>
      <c r="AB3" s="48"/>
      <c r="AC3" s="48"/>
      <c r="AD3" s="48"/>
      <c r="AE3" s="48"/>
      <c r="AF3" s="50"/>
      <c r="AG3" s="48"/>
      <c r="AH3" s="48"/>
      <c r="AI3" s="48"/>
      <c r="AJ3" s="48"/>
      <c r="AK3" s="48"/>
      <c r="AL3" s="48"/>
      <c r="AM3" s="48"/>
      <c r="AN3" s="48"/>
      <c r="AO3" s="48" t="s">
        <v>541</v>
      </c>
      <c r="AP3" s="49" t="s">
        <v>537</v>
      </c>
      <c r="AQ3" s="49"/>
      <c r="AR3" s="49"/>
      <c r="AS3" s="51"/>
      <c r="AT3" s="49">
        <v>9.5</v>
      </c>
      <c r="AU3" s="49" t="s">
        <v>537</v>
      </c>
      <c r="AV3" s="48"/>
      <c r="AW3" s="49">
        <v>0</v>
      </c>
      <c r="AX3" s="49">
        <v>0</v>
      </c>
      <c r="AY3" s="49">
        <v>0</v>
      </c>
      <c r="AZ3" s="49">
        <v>0</v>
      </c>
      <c r="BA3" s="49">
        <v>0</v>
      </c>
      <c r="BB3" s="49">
        <v>0</v>
      </c>
      <c r="BC3" s="49">
        <v>0</v>
      </c>
      <c r="BD3" s="49">
        <v>0</v>
      </c>
      <c r="BE3" s="49">
        <v>0</v>
      </c>
      <c r="BF3" s="49">
        <v>0</v>
      </c>
      <c r="BG3" s="49">
        <v>0</v>
      </c>
      <c r="BH3" s="49">
        <v>0</v>
      </c>
      <c r="BI3" s="49"/>
      <c r="BJ3" s="49" t="s">
        <v>537</v>
      </c>
      <c r="BK3" s="49"/>
      <c r="BL3" s="49" t="s">
        <v>537</v>
      </c>
      <c r="BM3" s="49"/>
      <c r="BN3" s="49"/>
      <c r="BO3" s="49"/>
      <c r="BP3" s="49"/>
      <c r="BQ3" s="48"/>
      <c r="BR3" s="48"/>
      <c r="BS3" s="49"/>
      <c r="BT3" s="49" t="s">
        <v>543</v>
      </c>
      <c r="BU3" s="144" t="s">
        <v>510</v>
      </c>
      <c r="BV3" s="118" t="s">
        <v>79</v>
      </c>
      <c r="BW3" s="118" t="s">
        <v>527</v>
      </c>
    </row>
    <row r="4" spans="1:75" ht="16" x14ac:dyDescent="0.2">
      <c r="A4" s="45">
        <v>10663</v>
      </c>
      <c r="B4" s="123">
        <v>42186</v>
      </c>
      <c r="C4" s="143" t="s">
        <v>533</v>
      </c>
      <c r="D4" s="144" t="s">
        <v>534</v>
      </c>
      <c r="E4" s="145"/>
      <c r="F4" s="48" t="s">
        <v>535</v>
      </c>
      <c r="G4" s="46">
        <v>42185</v>
      </c>
      <c r="H4" s="49" t="s">
        <v>507</v>
      </c>
      <c r="I4" s="49" t="s">
        <v>508</v>
      </c>
      <c r="J4" s="49"/>
      <c r="K4" s="48" t="s">
        <v>548</v>
      </c>
      <c r="L4" s="144" t="s">
        <v>628</v>
      </c>
      <c r="M4" s="146">
        <v>90.6</v>
      </c>
      <c r="N4" s="146">
        <v>35.827272727272721</v>
      </c>
      <c r="O4" s="48"/>
      <c r="P4" s="50"/>
      <c r="Q4" s="146"/>
      <c r="R4" s="50"/>
      <c r="S4" s="146"/>
      <c r="T4" s="50"/>
      <c r="U4" s="146"/>
      <c r="V4" s="146" t="s">
        <v>540</v>
      </c>
      <c r="W4" s="146" t="s">
        <v>540</v>
      </c>
      <c r="X4" s="146"/>
      <c r="Y4" s="146"/>
      <c r="Z4" s="146"/>
      <c r="AA4" s="146"/>
      <c r="AB4" s="146"/>
      <c r="AC4" s="146"/>
      <c r="AD4" s="146" t="s">
        <v>540</v>
      </c>
      <c r="AE4" s="146" t="s">
        <v>540</v>
      </c>
      <c r="AF4" s="146"/>
      <c r="AG4" s="146"/>
      <c r="AH4" s="146" t="s">
        <v>540</v>
      </c>
      <c r="AI4" s="146"/>
      <c r="AJ4" s="146"/>
      <c r="AK4" s="146" t="s">
        <v>540</v>
      </c>
      <c r="AL4" s="48"/>
      <c r="AM4" s="146" t="s">
        <v>540</v>
      </c>
      <c r="AN4" s="146" t="s">
        <v>540</v>
      </c>
      <c r="AO4" s="48" t="s">
        <v>541</v>
      </c>
      <c r="AP4" s="49" t="s">
        <v>537</v>
      </c>
      <c r="AQ4" s="49"/>
      <c r="AR4" s="49"/>
      <c r="AS4" s="51"/>
      <c r="AT4" s="49">
        <v>17</v>
      </c>
      <c r="AU4" s="49" t="s">
        <v>547</v>
      </c>
      <c r="AV4" s="48"/>
      <c r="AW4" s="49">
        <v>0</v>
      </c>
      <c r="AX4" s="49">
        <v>0</v>
      </c>
      <c r="AY4" s="49">
        <v>0</v>
      </c>
      <c r="AZ4" s="49">
        <v>0</v>
      </c>
      <c r="BA4" s="49">
        <v>0</v>
      </c>
      <c r="BB4" s="49">
        <v>0</v>
      </c>
      <c r="BC4" s="49">
        <v>0</v>
      </c>
      <c r="BD4" s="49">
        <v>0</v>
      </c>
      <c r="BE4" s="49">
        <v>0</v>
      </c>
      <c r="BF4" s="49">
        <v>0</v>
      </c>
      <c r="BG4" s="49">
        <v>0</v>
      </c>
      <c r="BH4" s="49">
        <v>0</v>
      </c>
      <c r="BI4" s="49"/>
      <c r="BJ4" s="49" t="s">
        <v>537</v>
      </c>
      <c r="BK4" s="49"/>
      <c r="BL4" s="49" t="s">
        <v>537</v>
      </c>
      <c r="BM4" s="49"/>
      <c r="BN4" s="49"/>
      <c r="BO4" s="49"/>
      <c r="BP4" s="49"/>
      <c r="BQ4" s="148" t="s">
        <v>549</v>
      </c>
      <c r="BR4" s="148" t="s">
        <v>550</v>
      </c>
      <c r="BS4" s="49">
        <v>50</v>
      </c>
      <c r="BT4" s="49" t="s">
        <v>543</v>
      </c>
      <c r="BU4" s="48" t="s">
        <v>510</v>
      </c>
      <c r="BV4" s="149" t="s">
        <v>629</v>
      </c>
      <c r="BW4" t="s">
        <v>527</v>
      </c>
    </row>
    <row r="5" spans="1:75" x14ac:dyDescent="0.15">
      <c r="A5" s="45">
        <v>958</v>
      </c>
      <c r="B5" s="142">
        <v>42186</v>
      </c>
      <c r="C5" s="143" t="s">
        <v>533</v>
      </c>
      <c r="D5" s="144" t="s">
        <v>534</v>
      </c>
      <c r="E5" s="145"/>
      <c r="F5" s="48" t="s">
        <v>535</v>
      </c>
      <c r="G5" s="127">
        <v>42185</v>
      </c>
      <c r="H5" s="49" t="s">
        <v>536</v>
      </c>
      <c r="I5" s="49" t="s">
        <v>537</v>
      </c>
      <c r="J5" s="49"/>
      <c r="K5" s="48" t="s">
        <v>551</v>
      </c>
      <c r="L5" s="48" t="s">
        <v>552</v>
      </c>
      <c r="M5" s="146">
        <v>88.8</v>
      </c>
      <c r="N5" s="146">
        <v>32.409090909090907</v>
      </c>
      <c r="O5" s="48" t="s">
        <v>546</v>
      </c>
      <c r="P5" s="50">
        <v>1000</v>
      </c>
      <c r="Q5" s="146">
        <v>33.25454545454545</v>
      </c>
      <c r="R5" s="150">
        <v>1000</v>
      </c>
      <c r="S5" s="151">
        <v>33.25454545454545</v>
      </c>
      <c r="T5" s="150">
        <v>1000</v>
      </c>
      <c r="U5" s="146">
        <v>33.25454545454545</v>
      </c>
      <c r="V5" s="48"/>
      <c r="W5" s="48"/>
      <c r="X5" s="48"/>
      <c r="Y5" s="48"/>
      <c r="Z5" s="48"/>
      <c r="AA5" s="48"/>
      <c r="AB5" s="48"/>
      <c r="AC5" s="48"/>
      <c r="AD5" s="48"/>
      <c r="AE5" s="48"/>
      <c r="AF5" s="50"/>
      <c r="AG5" s="48"/>
      <c r="AH5" s="48"/>
      <c r="AI5" s="48"/>
      <c r="AJ5" s="48"/>
      <c r="AK5" s="48"/>
      <c r="AL5" s="48"/>
      <c r="AM5" s="48"/>
      <c r="AN5" s="48"/>
      <c r="AO5" s="48" t="s">
        <v>541</v>
      </c>
      <c r="AP5" s="49" t="s">
        <v>537</v>
      </c>
      <c r="AQ5" s="49"/>
      <c r="AR5" s="49"/>
      <c r="AS5" s="51"/>
      <c r="AT5" s="49">
        <v>11.6</v>
      </c>
      <c r="AU5" s="49" t="s">
        <v>537</v>
      </c>
      <c r="AV5" s="48"/>
      <c r="AW5" s="49">
        <v>0</v>
      </c>
      <c r="AX5" s="49">
        <v>0</v>
      </c>
      <c r="AY5" s="49">
        <v>0</v>
      </c>
      <c r="AZ5" s="49">
        <v>0</v>
      </c>
      <c r="BA5" s="49">
        <v>0</v>
      </c>
      <c r="BB5" s="49">
        <v>0</v>
      </c>
      <c r="BC5" s="49">
        <v>0</v>
      </c>
      <c r="BD5" s="49">
        <v>0</v>
      </c>
      <c r="BE5" s="49">
        <v>0</v>
      </c>
      <c r="BF5" s="49">
        <v>0</v>
      </c>
      <c r="BG5" s="49">
        <v>0</v>
      </c>
      <c r="BH5" s="49">
        <v>0</v>
      </c>
      <c r="BI5" s="49"/>
      <c r="BJ5" s="49" t="s">
        <v>537</v>
      </c>
      <c r="BK5" s="49"/>
      <c r="BL5" s="49" t="s">
        <v>537</v>
      </c>
      <c r="BM5" s="49"/>
      <c r="BN5" s="49"/>
      <c r="BO5" s="49"/>
      <c r="BP5" s="49"/>
      <c r="BQ5" s="52" t="s">
        <v>553</v>
      </c>
      <c r="BR5" s="48"/>
      <c r="BS5" s="49"/>
      <c r="BT5" s="49" t="s">
        <v>543</v>
      </c>
      <c r="BU5" s="48"/>
      <c r="BV5" s="149" t="s">
        <v>554</v>
      </c>
      <c r="BW5" s="53" t="s">
        <v>90</v>
      </c>
    </row>
    <row r="6" spans="1:75" x14ac:dyDescent="0.15">
      <c r="A6" s="45">
        <v>960</v>
      </c>
      <c r="B6" s="142">
        <v>42185</v>
      </c>
      <c r="C6" s="143" t="s">
        <v>517</v>
      </c>
      <c r="D6" s="144" t="s">
        <v>534</v>
      </c>
      <c r="E6" s="145"/>
      <c r="F6" s="48" t="s">
        <v>519</v>
      </c>
      <c r="G6" s="129">
        <v>41820</v>
      </c>
      <c r="H6" s="49" t="s">
        <v>520</v>
      </c>
      <c r="I6" s="49" t="s">
        <v>521</v>
      </c>
      <c r="J6" s="49"/>
      <c r="K6" s="48" t="s">
        <v>555</v>
      </c>
      <c r="L6" s="48" t="s">
        <v>556</v>
      </c>
      <c r="M6" s="146">
        <v>86.95</v>
      </c>
      <c r="N6" s="146">
        <v>33.26</v>
      </c>
      <c r="O6" s="48" t="s">
        <v>523</v>
      </c>
      <c r="P6" s="50">
        <v>300</v>
      </c>
      <c r="Q6" s="146">
        <v>35.89</v>
      </c>
      <c r="R6" s="152">
        <v>1000</v>
      </c>
      <c r="S6" s="151">
        <v>38.950000000000003</v>
      </c>
      <c r="T6" s="152">
        <v>2500</v>
      </c>
      <c r="U6" s="48">
        <v>39.869999999999997</v>
      </c>
      <c r="V6" s="48"/>
      <c r="W6" s="48"/>
      <c r="X6" s="48"/>
      <c r="Y6" s="48"/>
      <c r="Z6" s="48"/>
      <c r="AA6" s="48"/>
      <c r="AB6" s="48"/>
      <c r="AC6" s="48"/>
      <c r="AD6" s="48"/>
      <c r="AE6" s="48"/>
      <c r="AF6" s="50"/>
      <c r="AG6" s="48"/>
      <c r="AH6" s="48"/>
      <c r="AI6" s="48"/>
      <c r="AJ6" s="48"/>
      <c r="AK6" s="48"/>
      <c r="AL6" s="48"/>
      <c r="AM6" s="48"/>
      <c r="AN6" s="48"/>
      <c r="AO6" s="48" t="s">
        <v>524</v>
      </c>
      <c r="AP6" s="49" t="s">
        <v>521</v>
      </c>
      <c r="AQ6" s="49"/>
      <c r="AR6" s="49"/>
      <c r="AS6" s="51">
        <v>10</v>
      </c>
      <c r="AT6" s="49">
        <v>12</v>
      </c>
      <c r="AU6" s="49" t="s">
        <v>521</v>
      </c>
      <c r="AV6" s="48"/>
      <c r="AW6" s="49">
        <v>0</v>
      </c>
      <c r="AX6" s="49">
        <v>0</v>
      </c>
      <c r="AY6" s="49">
        <v>7</v>
      </c>
      <c r="AZ6" s="49">
        <v>0</v>
      </c>
      <c r="BA6" s="49">
        <v>0</v>
      </c>
      <c r="BB6" s="49">
        <v>0</v>
      </c>
      <c r="BC6" s="49">
        <v>0</v>
      </c>
      <c r="BD6" s="49">
        <v>0</v>
      </c>
      <c r="BE6" s="49">
        <v>0</v>
      </c>
      <c r="BF6" s="49">
        <v>0</v>
      </c>
      <c r="BG6" s="49">
        <v>0</v>
      </c>
      <c r="BH6" s="49">
        <v>0</v>
      </c>
      <c r="BI6" s="49"/>
      <c r="BJ6" s="49" t="s">
        <v>521</v>
      </c>
      <c r="BK6" s="49"/>
      <c r="BL6" s="49" t="s">
        <v>521</v>
      </c>
      <c r="BM6" s="49"/>
      <c r="BN6" s="49"/>
      <c r="BO6" s="49"/>
      <c r="BP6" s="49"/>
      <c r="BQ6" s="48"/>
      <c r="BR6" s="48"/>
      <c r="BS6" s="49"/>
      <c r="BT6" s="49" t="s">
        <v>557</v>
      </c>
      <c r="BU6" s="48"/>
      <c r="BV6" t="s">
        <v>79</v>
      </c>
      <c r="BW6" s="53" t="s">
        <v>56</v>
      </c>
    </row>
    <row r="7" spans="1:75" x14ac:dyDescent="0.15">
      <c r="A7" s="45">
        <v>962</v>
      </c>
      <c r="B7" s="142">
        <v>42185</v>
      </c>
      <c r="C7" s="143" t="s">
        <v>558</v>
      </c>
      <c r="D7" s="144" t="s">
        <v>534</v>
      </c>
      <c r="E7" s="145"/>
      <c r="F7" s="48" t="s">
        <v>559</v>
      </c>
      <c r="G7" s="127">
        <v>42185</v>
      </c>
      <c r="H7" s="49" t="s">
        <v>560</v>
      </c>
      <c r="I7" s="49" t="s">
        <v>561</v>
      </c>
      <c r="J7" s="49"/>
      <c r="K7" s="48" t="s">
        <v>562</v>
      </c>
      <c r="L7" s="48" t="s">
        <v>563</v>
      </c>
      <c r="M7" s="146">
        <v>88.8</v>
      </c>
      <c r="N7" s="146">
        <v>32.409090909090907</v>
      </c>
      <c r="O7" s="48" t="s">
        <v>564</v>
      </c>
      <c r="P7" s="50">
        <v>1000</v>
      </c>
      <c r="Q7" s="146">
        <v>33.25454545454545</v>
      </c>
      <c r="R7" s="150">
        <v>1000</v>
      </c>
      <c r="S7" s="151">
        <v>33.25454545454545</v>
      </c>
      <c r="T7" s="150">
        <v>1000</v>
      </c>
      <c r="U7" s="146">
        <v>33.25454545454545</v>
      </c>
      <c r="V7" s="48"/>
      <c r="W7" s="48"/>
      <c r="X7" s="48"/>
      <c r="Y7" s="48"/>
      <c r="Z7" s="48"/>
      <c r="AA7" s="48"/>
      <c r="AB7" s="48"/>
      <c r="AC7" s="48"/>
      <c r="AD7" s="48"/>
      <c r="AE7" s="48"/>
      <c r="AF7" s="50"/>
      <c r="AG7" s="48"/>
      <c r="AH7" s="48"/>
      <c r="AI7" s="48"/>
      <c r="AJ7" s="48"/>
      <c r="AK7" s="48"/>
      <c r="AL7" s="48"/>
      <c r="AM7" s="48"/>
      <c r="AN7" s="48"/>
      <c r="AO7" s="48" t="s">
        <v>565</v>
      </c>
      <c r="AP7" s="49" t="s">
        <v>561</v>
      </c>
      <c r="AQ7" s="49"/>
      <c r="AR7" s="49"/>
      <c r="AS7" s="51"/>
      <c r="AT7" s="49">
        <v>11.6</v>
      </c>
      <c r="AU7" s="49" t="s">
        <v>566</v>
      </c>
      <c r="AV7" s="48"/>
      <c r="AW7" s="49">
        <v>0</v>
      </c>
      <c r="AX7" s="49">
        <v>0</v>
      </c>
      <c r="AY7" s="49">
        <v>0</v>
      </c>
      <c r="AZ7" s="49">
        <v>0</v>
      </c>
      <c r="BA7" s="49">
        <v>0</v>
      </c>
      <c r="BB7" s="49">
        <v>0</v>
      </c>
      <c r="BC7" s="49">
        <v>0</v>
      </c>
      <c r="BD7" s="49">
        <v>0</v>
      </c>
      <c r="BE7" s="49">
        <v>0</v>
      </c>
      <c r="BF7" s="49">
        <v>0</v>
      </c>
      <c r="BG7" s="49">
        <v>0</v>
      </c>
      <c r="BH7" s="49">
        <v>0</v>
      </c>
      <c r="BI7" s="49"/>
      <c r="BJ7" s="49" t="s">
        <v>561</v>
      </c>
      <c r="BK7" s="49"/>
      <c r="BL7" s="49" t="s">
        <v>561</v>
      </c>
      <c r="BM7" s="49"/>
      <c r="BN7" s="49"/>
      <c r="BO7" s="49"/>
      <c r="BP7" s="49"/>
      <c r="BQ7" s="48"/>
      <c r="BR7" s="48"/>
      <c r="BS7" s="49"/>
      <c r="BT7" s="49" t="s">
        <v>567</v>
      </c>
      <c r="BU7" s="48"/>
      <c r="BV7" s="118" t="s">
        <v>568</v>
      </c>
      <c r="BW7" s="53" t="s">
        <v>90</v>
      </c>
    </row>
    <row r="8" spans="1:75" x14ac:dyDescent="0.15">
      <c r="A8" s="45">
        <v>10289</v>
      </c>
      <c r="B8" s="142">
        <v>42186</v>
      </c>
      <c r="C8" s="143" t="s">
        <v>517</v>
      </c>
      <c r="D8" s="144" t="s">
        <v>534</v>
      </c>
      <c r="E8" s="145"/>
      <c r="F8" s="48" t="s">
        <v>519</v>
      </c>
      <c r="G8" s="127">
        <v>42185</v>
      </c>
      <c r="H8" s="49" t="s">
        <v>520</v>
      </c>
      <c r="I8" s="49" t="s">
        <v>521</v>
      </c>
      <c r="J8" s="49"/>
      <c r="K8" s="48" t="s">
        <v>569</v>
      </c>
      <c r="L8" s="48" t="s">
        <v>570</v>
      </c>
      <c r="M8" s="146">
        <v>77.999999999999986</v>
      </c>
      <c r="N8" s="146">
        <v>37</v>
      </c>
      <c r="O8" s="48"/>
      <c r="P8" s="50"/>
      <c r="Q8" s="146" t="s">
        <v>540</v>
      </c>
      <c r="R8" s="151" t="s">
        <v>540</v>
      </c>
      <c r="S8" s="151" t="s">
        <v>540</v>
      </c>
      <c r="T8" s="151" t="s">
        <v>540</v>
      </c>
      <c r="U8" s="146" t="s">
        <v>540</v>
      </c>
      <c r="V8" s="48"/>
      <c r="W8" s="48"/>
      <c r="X8" s="50"/>
      <c r="Y8" s="48"/>
      <c r="Z8" s="50"/>
      <c r="AA8" s="48"/>
      <c r="AB8" s="50"/>
      <c r="AC8" s="48"/>
      <c r="AD8" s="48"/>
      <c r="AE8" s="48"/>
      <c r="AF8" s="50"/>
      <c r="AG8" s="48"/>
      <c r="AH8" s="48"/>
      <c r="AI8" s="48"/>
      <c r="AJ8" s="48"/>
      <c r="AK8" s="48"/>
      <c r="AL8" s="48"/>
      <c r="AM8" s="48"/>
      <c r="AN8" s="48"/>
      <c r="AO8" s="48" t="s">
        <v>524</v>
      </c>
      <c r="AP8" s="49" t="s">
        <v>521</v>
      </c>
      <c r="AQ8" s="49"/>
      <c r="AR8" s="49"/>
      <c r="AS8" s="51"/>
      <c r="AT8" s="49">
        <v>15</v>
      </c>
      <c r="AU8" s="49" t="s">
        <v>571</v>
      </c>
      <c r="AV8" s="48"/>
      <c r="AW8" s="49">
        <v>6</v>
      </c>
      <c r="AX8" s="49">
        <v>0</v>
      </c>
      <c r="AY8" s="49">
        <v>0</v>
      </c>
      <c r="AZ8" s="49">
        <v>0</v>
      </c>
      <c r="BA8" s="49">
        <v>0</v>
      </c>
      <c r="BB8" s="49">
        <v>0</v>
      </c>
      <c r="BC8" s="49">
        <v>0</v>
      </c>
      <c r="BD8" s="49">
        <v>0</v>
      </c>
      <c r="BE8" s="49">
        <v>0</v>
      </c>
      <c r="BF8" s="49">
        <v>0</v>
      </c>
      <c r="BG8" s="49">
        <v>0</v>
      </c>
      <c r="BH8" s="49">
        <v>0</v>
      </c>
      <c r="BI8" s="49"/>
      <c r="BJ8" s="49" t="s">
        <v>521</v>
      </c>
      <c r="BK8" s="49">
        <v>12</v>
      </c>
      <c r="BL8" s="49" t="s">
        <v>521</v>
      </c>
      <c r="BM8" s="49"/>
      <c r="BN8" s="49"/>
      <c r="BO8" s="49">
        <v>12</v>
      </c>
      <c r="BP8" s="49"/>
      <c r="BQ8" s="48"/>
      <c r="BR8" s="48"/>
      <c r="BS8" s="49"/>
      <c r="BT8" s="49" t="s">
        <v>557</v>
      </c>
      <c r="BU8" s="48"/>
      <c r="BV8" t="s">
        <v>572</v>
      </c>
      <c r="BW8" s="53" t="s">
        <v>527</v>
      </c>
    </row>
    <row r="9" spans="1:75" x14ac:dyDescent="0.15">
      <c r="A9" s="45">
        <v>8201</v>
      </c>
      <c r="B9" s="142">
        <v>42186</v>
      </c>
      <c r="C9" s="143" t="s">
        <v>573</v>
      </c>
      <c r="D9" s="144" t="s">
        <v>534</v>
      </c>
      <c r="E9" s="145"/>
      <c r="F9" s="48" t="s">
        <v>574</v>
      </c>
      <c r="G9" s="129">
        <v>42185</v>
      </c>
      <c r="H9" s="49" t="s">
        <v>575</v>
      </c>
      <c r="I9" s="49" t="s">
        <v>576</v>
      </c>
      <c r="J9" s="49"/>
      <c r="K9" s="48" t="s">
        <v>577</v>
      </c>
      <c r="L9" s="144" t="s">
        <v>578</v>
      </c>
      <c r="M9" s="146">
        <v>92</v>
      </c>
      <c r="N9" s="146">
        <v>32.172727272727272</v>
      </c>
      <c r="O9" s="48"/>
      <c r="P9" s="50"/>
      <c r="Q9" s="146" t="s">
        <v>540</v>
      </c>
      <c r="R9" s="151" t="s">
        <v>540</v>
      </c>
      <c r="S9" s="151" t="s">
        <v>540</v>
      </c>
      <c r="T9" s="151" t="s">
        <v>540</v>
      </c>
      <c r="U9" s="146" t="s">
        <v>540</v>
      </c>
      <c r="V9" s="48"/>
      <c r="W9" s="48"/>
      <c r="X9" s="48"/>
      <c r="Y9" s="48"/>
      <c r="Z9" s="48"/>
      <c r="AA9" s="48"/>
      <c r="AB9" s="48"/>
      <c r="AC9" s="48"/>
      <c r="AD9" s="48"/>
      <c r="AE9" s="48"/>
      <c r="AF9" s="50"/>
      <c r="AG9" s="48"/>
      <c r="AH9" s="48"/>
      <c r="AI9" s="48"/>
      <c r="AJ9" s="48"/>
      <c r="AK9" s="48"/>
      <c r="AL9" s="48"/>
      <c r="AM9" s="48"/>
      <c r="AN9" s="48"/>
      <c r="AO9" s="48" t="s">
        <v>579</v>
      </c>
      <c r="AP9" s="49" t="s">
        <v>576</v>
      </c>
      <c r="AQ9" s="49"/>
      <c r="AR9" s="49"/>
      <c r="AS9" s="51"/>
      <c r="AT9" s="49">
        <v>16</v>
      </c>
      <c r="AU9" s="125" t="s">
        <v>495</v>
      </c>
      <c r="AV9" s="48"/>
      <c r="AW9" s="49">
        <v>0</v>
      </c>
      <c r="AX9" s="49">
        <v>0</v>
      </c>
      <c r="AY9" s="49">
        <v>0</v>
      </c>
      <c r="AZ9" s="49">
        <v>0</v>
      </c>
      <c r="BA9" s="49">
        <v>0</v>
      </c>
      <c r="BB9" s="49">
        <v>0</v>
      </c>
      <c r="BC9" s="49">
        <v>0</v>
      </c>
      <c r="BD9" s="49">
        <v>0</v>
      </c>
      <c r="BE9" s="49">
        <v>0</v>
      </c>
      <c r="BF9" s="49">
        <v>0</v>
      </c>
      <c r="BG9" s="49">
        <v>0</v>
      </c>
      <c r="BH9" s="49">
        <v>0</v>
      </c>
      <c r="BI9" s="49"/>
      <c r="BJ9" s="49" t="s">
        <v>576</v>
      </c>
      <c r="BK9" s="49"/>
      <c r="BL9" s="49" t="s">
        <v>576</v>
      </c>
      <c r="BM9" s="49"/>
      <c r="BN9" s="49"/>
      <c r="BO9" s="49"/>
      <c r="BP9" s="49"/>
      <c r="BQ9" s="48" t="s">
        <v>580</v>
      </c>
      <c r="BR9" s="48" t="s">
        <v>50</v>
      </c>
      <c r="BS9" s="49">
        <v>50</v>
      </c>
      <c r="BT9" s="49" t="s">
        <v>581</v>
      </c>
      <c r="BU9" s="52" t="s">
        <v>582</v>
      </c>
      <c r="BV9" s="149" t="s">
        <v>583</v>
      </c>
      <c r="BW9" s="53" t="s">
        <v>90</v>
      </c>
    </row>
    <row r="10" spans="1:75" x14ac:dyDescent="0.15">
      <c r="A10" s="45">
        <v>990</v>
      </c>
      <c r="B10" s="142">
        <v>42187</v>
      </c>
      <c r="C10" s="143" t="s">
        <v>9</v>
      </c>
      <c r="D10" s="144" t="s">
        <v>534</v>
      </c>
      <c r="E10" s="145"/>
      <c r="F10" s="48" t="s">
        <v>71</v>
      </c>
      <c r="G10" s="127">
        <v>42185</v>
      </c>
      <c r="H10" s="49" t="s">
        <v>3</v>
      </c>
      <c r="I10" s="49" t="s">
        <v>4</v>
      </c>
      <c r="J10" s="49"/>
      <c r="K10" s="48" t="s">
        <v>57</v>
      </c>
      <c r="L10" s="48" t="s">
        <v>584</v>
      </c>
      <c r="M10" s="146">
        <v>94.99</v>
      </c>
      <c r="N10" s="146">
        <v>30.409999999999997</v>
      </c>
      <c r="O10" s="48"/>
      <c r="P10" s="50"/>
      <c r="Q10" s="146" t="s">
        <v>540</v>
      </c>
      <c r="R10" s="151" t="s">
        <v>540</v>
      </c>
      <c r="S10" s="151" t="s">
        <v>540</v>
      </c>
      <c r="T10" s="151" t="s">
        <v>540</v>
      </c>
      <c r="U10" s="146" t="s">
        <v>540</v>
      </c>
      <c r="V10" s="48"/>
      <c r="W10" s="48"/>
      <c r="X10" s="48"/>
      <c r="Y10" s="48"/>
      <c r="Z10" s="48"/>
      <c r="AA10" s="48"/>
      <c r="AB10" s="48"/>
      <c r="AC10" s="48"/>
      <c r="AD10" s="48"/>
      <c r="AE10" s="48"/>
      <c r="AF10" s="50"/>
      <c r="AG10" s="48"/>
      <c r="AH10" s="48"/>
      <c r="AI10" s="48"/>
      <c r="AJ10" s="48"/>
      <c r="AK10" s="48"/>
      <c r="AL10" s="48"/>
      <c r="AM10" s="48"/>
      <c r="AN10" s="48"/>
      <c r="AO10" s="48" t="s">
        <v>82</v>
      </c>
      <c r="AP10" s="49" t="s">
        <v>4</v>
      </c>
      <c r="AQ10" s="49"/>
      <c r="AR10" s="49"/>
      <c r="AS10" s="51"/>
      <c r="AT10" s="49">
        <v>0</v>
      </c>
      <c r="AU10" s="49" t="s">
        <v>4</v>
      </c>
      <c r="AV10" s="48"/>
      <c r="AW10" s="49">
        <v>0</v>
      </c>
      <c r="AX10" s="49">
        <v>0</v>
      </c>
      <c r="AY10" s="49">
        <v>0</v>
      </c>
      <c r="AZ10" s="49">
        <v>0</v>
      </c>
      <c r="BA10" s="49">
        <v>0</v>
      </c>
      <c r="BB10" s="49">
        <v>0</v>
      </c>
      <c r="BC10" s="49">
        <v>0</v>
      </c>
      <c r="BD10" s="49">
        <v>0</v>
      </c>
      <c r="BE10" s="49">
        <v>0</v>
      </c>
      <c r="BF10" s="49">
        <v>0</v>
      </c>
      <c r="BG10" s="49">
        <v>0</v>
      </c>
      <c r="BH10" s="49">
        <v>0</v>
      </c>
      <c r="BI10" s="49"/>
      <c r="BJ10" s="49" t="s">
        <v>4</v>
      </c>
      <c r="BK10" s="49"/>
      <c r="BL10" s="49" t="s">
        <v>4</v>
      </c>
      <c r="BM10" s="49"/>
      <c r="BN10" s="49"/>
      <c r="BO10" s="49"/>
      <c r="BP10" s="49"/>
      <c r="BQ10" s="48"/>
      <c r="BR10" s="48"/>
      <c r="BS10" s="49"/>
      <c r="BT10" s="49" t="s">
        <v>6</v>
      </c>
      <c r="BU10" s="48"/>
      <c r="BV10" s="118" t="s">
        <v>79</v>
      </c>
      <c r="BW10" s="124" t="s">
        <v>90</v>
      </c>
    </row>
    <row r="11" spans="1:75" x14ac:dyDescent="0.15">
      <c r="A11" s="45">
        <v>10575</v>
      </c>
      <c r="B11" s="142">
        <v>42186</v>
      </c>
      <c r="C11" s="143" t="s">
        <v>533</v>
      </c>
      <c r="D11" s="144" t="s">
        <v>534</v>
      </c>
      <c r="E11" s="145"/>
      <c r="F11" s="48" t="s">
        <v>535</v>
      </c>
      <c r="G11" s="129">
        <v>42185</v>
      </c>
      <c r="H11" s="49" t="s">
        <v>536</v>
      </c>
      <c r="I11" s="49" t="s">
        <v>537</v>
      </c>
      <c r="J11" s="49"/>
      <c r="K11" s="48" t="s">
        <v>585</v>
      </c>
      <c r="L11" s="48" t="s">
        <v>586</v>
      </c>
      <c r="M11" s="146">
        <v>82.554545454545448</v>
      </c>
      <c r="N11" s="146">
        <v>36.581818181818178</v>
      </c>
      <c r="O11" s="48" t="s">
        <v>546</v>
      </c>
      <c r="P11" s="50">
        <v>1000</v>
      </c>
      <c r="Q11" s="146">
        <v>39.036363636363632</v>
      </c>
      <c r="R11" s="150">
        <v>1000</v>
      </c>
      <c r="S11" s="151">
        <v>39.036363636363632</v>
      </c>
      <c r="T11" s="150">
        <v>1000</v>
      </c>
      <c r="U11" s="146">
        <v>39.036363636363632</v>
      </c>
      <c r="V11" s="48"/>
      <c r="W11" s="48"/>
      <c r="X11" s="48"/>
      <c r="Y11" s="48"/>
      <c r="Z11" s="50"/>
      <c r="AA11" s="48"/>
      <c r="AB11" s="50"/>
      <c r="AC11" s="48"/>
      <c r="AD11" s="48"/>
      <c r="AE11" s="48"/>
      <c r="AF11" s="50"/>
      <c r="AG11" s="48"/>
      <c r="AH11" s="48"/>
      <c r="AI11" s="48"/>
      <c r="AJ11" s="48"/>
      <c r="AK11" s="48"/>
      <c r="AL11" s="48"/>
      <c r="AM11" s="48"/>
      <c r="AN11" s="48"/>
      <c r="AO11" s="48" t="s">
        <v>541</v>
      </c>
      <c r="AP11" s="49" t="s">
        <v>537</v>
      </c>
      <c r="AQ11" s="49"/>
      <c r="AR11" s="49"/>
      <c r="AS11" s="51"/>
      <c r="AT11" s="49">
        <v>10</v>
      </c>
      <c r="AU11" s="49" t="s">
        <v>542</v>
      </c>
      <c r="AV11" s="48"/>
      <c r="AW11" s="49">
        <v>12</v>
      </c>
      <c r="AX11" s="49">
        <v>0</v>
      </c>
      <c r="AY11" s="49">
        <v>0</v>
      </c>
      <c r="AZ11" s="49">
        <v>0</v>
      </c>
      <c r="BA11" s="49">
        <v>0</v>
      </c>
      <c r="BB11" s="49">
        <v>0</v>
      </c>
      <c r="BC11" s="49">
        <v>0</v>
      </c>
      <c r="BD11" s="49">
        <v>0</v>
      </c>
      <c r="BE11" s="49">
        <v>0</v>
      </c>
      <c r="BF11" s="49">
        <v>0</v>
      </c>
      <c r="BG11" s="49">
        <v>0</v>
      </c>
      <c r="BH11" s="49">
        <v>0</v>
      </c>
      <c r="BI11" s="49"/>
      <c r="BJ11" s="49" t="s">
        <v>537</v>
      </c>
      <c r="BK11" s="49">
        <v>12</v>
      </c>
      <c r="BL11" s="49" t="s">
        <v>537</v>
      </c>
      <c r="BM11" s="49"/>
      <c r="BN11" s="49"/>
      <c r="BO11" s="49"/>
      <c r="BP11" s="49"/>
      <c r="BQ11" s="52"/>
      <c r="BR11" s="52"/>
      <c r="BS11" s="49"/>
      <c r="BT11" s="49" t="s">
        <v>543</v>
      </c>
      <c r="BU11" s="153"/>
      <c r="BV11" s="118" t="s">
        <v>79</v>
      </c>
      <c r="BW11" s="118" t="s">
        <v>527</v>
      </c>
    </row>
    <row r="12" spans="1:75" x14ac:dyDescent="0.15">
      <c r="A12" s="45">
        <v>10362</v>
      </c>
      <c r="B12" s="142">
        <v>42187</v>
      </c>
      <c r="C12" s="143" t="s">
        <v>517</v>
      </c>
      <c r="D12" s="144" t="s">
        <v>534</v>
      </c>
      <c r="E12" s="145"/>
      <c r="F12" s="48" t="s">
        <v>519</v>
      </c>
      <c r="G12" s="127">
        <v>42185</v>
      </c>
      <c r="H12" s="49" t="s">
        <v>520</v>
      </c>
      <c r="I12" s="49" t="s">
        <v>521</v>
      </c>
      <c r="J12" s="49"/>
      <c r="K12" s="48" t="s">
        <v>587</v>
      </c>
      <c r="L12" s="48" t="s">
        <v>588</v>
      </c>
      <c r="M12" s="146">
        <v>80.999999999999986</v>
      </c>
      <c r="N12" s="146">
        <v>36.709090909090911</v>
      </c>
      <c r="O12" s="48"/>
      <c r="P12" s="50"/>
      <c r="Q12" s="146" t="s">
        <v>540</v>
      </c>
      <c r="R12" s="154"/>
      <c r="S12" s="151" t="s">
        <v>540</v>
      </c>
      <c r="T12" s="154"/>
      <c r="U12" s="146" t="s">
        <v>540</v>
      </c>
      <c r="V12" s="48"/>
      <c r="W12" s="48"/>
      <c r="X12" s="48"/>
      <c r="Y12" s="48"/>
      <c r="Z12" s="50"/>
      <c r="AA12" s="48"/>
      <c r="AB12" s="50"/>
      <c r="AC12" s="48"/>
      <c r="AD12" s="48"/>
      <c r="AE12" s="48"/>
      <c r="AF12" s="50"/>
      <c r="AG12" s="48"/>
      <c r="AH12" s="48"/>
      <c r="AI12" s="48"/>
      <c r="AJ12" s="48"/>
      <c r="AK12" s="48"/>
      <c r="AL12" s="48"/>
      <c r="AM12" s="48"/>
      <c r="AN12" s="48"/>
      <c r="AO12" s="48" t="s">
        <v>524</v>
      </c>
      <c r="AP12" s="49" t="s">
        <v>521</v>
      </c>
      <c r="AQ12" s="49"/>
      <c r="AR12" s="49"/>
      <c r="AS12" s="51"/>
      <c r="AT12" s="49">
        <v>16.3</v>
      </c>
      <c r="AU12" s="49" t="s">
        <v>571</v>
      </c>
      <c r="AV12" s="48"/>
      <c r="AW12" s="49">
        <v>12</v>
      </c>
      <c r="AX12" s="49">
        <v>0</v>
      </c>
      <c r="AY12" s="49">
        <v>0</v>
      </c>
      <c r="AZ12" s="49">
        <v>0</v>
      </c>
      <c r="BA12" s="49">
        <v>0</v>
      </c>
      <c r="BB12" s="49">
        <v>0</v>
      </c>
      <c r="BC12" s="49">
        <v>0</v>
      </c>
      <c r="BD12" s="49">
        <v>0</v>
      </c>
      <c r="BE12" s="49">
        <v>0</v>
      </c>
      <c r="BF12" s="49">
        <v>0</v>
      </c>
      <c r="BG12" s="49">
        <v>0</v>
      </c>
      <c r="BH12" s="49">
        <v>0</v>
      </c>
      <c r="BI12" s="49"/>
      <c r="BJ12" s="49" t="s">
        <v>521</v>
      </c>
      <c r="BK12" s="49">
        <v>24</v>
      </c>
      <c r="BL12" s="49" t="s">
        <v>521</v>
      </c>
      <c r="BM12" s="49"/>
      <c r="BN12" s="49"/>
      <c r="BO12" s="49"/>
      <c r="BP12" s="49"/>
      <c r="BQ12" s="48"/>
      <c r="BR12" s="48"/>
      <c r="BS12" s="49"/>
      <c r="BT12" s="49" t="s">
        <v>557</v>
      </c>
      <c r="BU12" s="144" t="s">
        <v>589</v>
      </c>
      <c r="BV12" s="149" t="s">
        <v>590</v>
      </c>
      <c r="BW12" t="s">
        <v>527</v>
      </c>
    </row>
    <row r="13" spans="1:75" x14ac:dyDescent="0.15">
      <c r="A13" s="45">
        <v>1016</v>
      </c>
      <c r="B13" s="142">
        <v>42187</v>
      </c>
      <c r="C13" s="143" t="s">
        <v>558</v>
      </c>
      <c r="D13" s="144" t="s">
        <v>534</v>
      </c>
      <c r="E13" s="145"/>
      <c r="F13" s="48" t="s">
        <v>559</v>
      </c>
      <c r="G13" s="129">
        <v>42185</v>
      </c>
      <c r="H13" s="49" t="s">
        <v>560</v>
      </c>
      <c r="I13" s="49" t="s">
        <v>561</v>
      </c>
      <c r="J13" s="49"/>
      <c r="K13" s="48" t="s">
        <v>591</v>
      </c>
      <c r="L13" s="48" t="s">
        <v>592</v>
      </c>
      <c r="M13" s="146">
        <v>99.999999999999986</v>
      </c>
      <c r="N13" s="146">
        <v>34.972727272727269</v>
      </c>
      <c r="O13" s="48"/>
      <c r="P13" s="50"/>
      <c r="Q13" s="146"/>
      <c r="R13" s="151"/>
      <c r="S13" s="151"/>
      <c r="T13" s="151"/>
      <c r="U13" s="146"/>
      <c r="V13" s="48"/>
      <c r="W13" s="48"/>
      <c r="X13" s="50"/>
      <c r="Y13" s="48"/>
      <c r="Z13" s="50"/>
      <c r="AA13" s="48"/>
      <c r="AB13" s="50"/>
      <c r="AC13" s="48"/>
      <c r="AD13" s="48"/>
      <c r="AE13" s="48"/>
      <c r="AF13" s="50"/>
      <c r="AG13" s="48"/>
      <c r="AH13" s="48"/>
      <c r="AI13" s="48"/>
      <c r="AJ13" s="48"/>
      <c r="AK13" s="48"/>
      <c r="AL13" s="48"/>
      <c r="AM13" s="48"/>
      <c r="AN13" s="48"/>
      <c r="AO13" s="48" t="s">
        <v>565</v>
      </c>
      <c r="AP13" s="49" t="s">
        <v>561</v>
      </c>
      <c r="AQ13" s="49"/>
      <c r="AR13" s="49"/>
      <c r="AS13" s="51"/>
      <c r="AT13" s="49">
        <v>16</v>
      </c>
      <c r="AU13" s="49" t="s">
        <v>566</v>
      </c>
      <c r="AV13" s="48"/>
      <c r="AW13" s="49">
        <v>0</v>
      </c>
      <c r="AX13" s="49">
        <v>0</v>
      </c>
      <c r="AY13" s="49">
        <v>10</v>
      </c>
      <c r="AZ13" s="49">
        <v>0</v>
      </c>
      <c r="BA13" s="49">
        <v>0</v>
      </c>
      <c r="BB13" s="49">
        <v>0</v>
      </c>
      <c r="BC13" s="49">
        <v>0</v>
      </c>
      <c r="BD13" s="49">
        <v>0</v>
      </c>
      <c r="BE13" s="49">
        <v>0</v>
      </c>
      <c r="BF13" s="49">
        <v>0</v>
      </c>
      <c r="BG13" s="49">
        <v>0</v>
      </c>
      <c r="BH13" s="49">
        <v>0</v>
      </c>
      <c r="BI13" s="49"/>
      <c r="BJ13" s="49" t="s">
        <v>561</v>
      </c>
      <c r="BK13" s="49"/>
      <c r="BL13" s="49" t="s">
        <v>561</v>
      </c>
      <c r="BM13" s="49"/>
      <c r="BN13" s="49"/>
      <c r="BO13" s="49"/>
      <c r="BP13" s="49"/>
      <c r="BQ13" s="48"/>
      <c r="BR13" s="48"/>
      <c r="BS13" s="49"/>
      <c r="BT13" s="49" t="s">
        <v>567</v>
      </c>
      <c r="BU13" s="48"/>
      <c r="BV13" s="149" t="s">
        <v>593</v>
      </c>
      <c r="BW13" s="118" t="s">
        <v>90</v>
      </c>
    </row>
    <row r="14" spans="1:75" x14ac:dyDescent="0.15">
      <c r="A14" s="45">
        <v>10318</v>
      </c>
      <c r="B14" s="123">
        <v>42187</v>
      </c>
      <c r="C14" s="143" t="s">
        <v>558</v>
      </c>
      <c r="D14" s="144" t="s">
        <v>534</v>
      </c>
      <c r="E14" s="145"/>
      <c r="F14" s="48" t="s">
        <v>559</v>
      </c>
      <c r="G14" s="46">
        <v>41915</v>
      </c>
      <c r="H14" s="49" t="s">
        <v>560</v>
      </c>
      <c r="I14" s="49" t="s">
        <v>508</v>
      </c>
      <c r="J14" s="49"/>
      <c r="K14" s="48" t="s">
        <v>594</v>
      </c>
      <c r="L14" s="48" t="s">
        <v>631</v>
      </c>
      <c r="M14" s="146">
        <v>74</v>
      </c>
      <c r="N14" s="146">
        <v>29.990909090909092</v>
      </c>
      <c r="O14" s="48"/>
      <c r="P14" s="50"/>
      <c r="Q14" s="146"/>
      <c r="R14" s="50"/>
      <c r="S14" s="146" t="s">
        <v>540</v>
      </c>
      <c r="T14" s="48"/>
      <c r="U14" s="146" t="s">
        <v>540</v>
      </c>
      <c r="V14" s="146" t="s">
        <v>540</v>
      </c>
      <c r="W14" s="146" t="s">
        <v>540</v>
      </c>
      <c r="X14" s="146"/>
      <c r="Y14" s="146"/>
      <c r="Z14" s="146"/>
      <c r="AA14" s="146"/>
      <c r="AB14" s="146"/>
      <c r="AC14" s="146"/>
      <c r="AD14" s="146" t="s">
        <v>540</v>
      </c>
      <c r="AE14" s="146" t="s">
        <v>540</v>
      </c>
      <c r="AF14" s="146"/>
      <c r="AG14" s="146"/>
      <c r="AH14" s="146" t="s">
        <v>540</v>
      </c>
      <c r="AI14" s="146"/>
      <c r="AJ14" s="146"/>
      <c r="AK14" s="146" t="s">
        <v>540</v>
      </c>
      <c r="AL14" s="48"/>
      <c r="AM14" s="146" t="s">
        <v>540</v>
      </c>
      <c r="AN14" s="146" t="s">
        <v>540</v>
      </c>
      <c r="AO14" s="48" t="s">
        <v>565</v>
      </c>
      <c r="AP14" s="49" t="s">
        <v>561</v>
      </c>
      <c r="AQ14" s="49"/>
      <c r="AR14" s="49"/>
      <c r="AS14" s="51"/>
      <c r="AT14" s="49">
        <v>16</v>
      </c>
      <c r="AU14" s="49" t="s">
        <v>566</v>
      </c>
      <c r="AV14" s="48"/>
      <c r="AW14" s="49">
        <v>0</v>
      </c>
      <c r="AX14" s="49">
        <v>0</v>
      </c>
      <c r="AY14" s="49">
        <v>0</v>
      </c>
      <c r="AZ14" s="49">
        <v>0</v>
      </c>
      <c r="BA14" s="49">
        <v>0</v>
      </c>
      <c r="BB14" s="49">
        <v>0</v>
      </c>
      <c r="BC14" s="49">
        <v>0</v>
      </c>
      <c r="BD14" s="49">
        <v>0</v>
      </c>
      <c r="BE14" s="49">
        <v>0</v>
      </c>
      <c r="BF14" s="49">
        <v>0</v>
      </c>
      <c r="BG14" s="49">
        <v>0</v>
      </c>
      <c r="BH14" s="49">
        <v>0</v>
      </c>
      <c r="BI14" s="49"/>
      <c r="BJ14" s="49" t="s">
        <v>561</v>
      </c>
      <c r="BK14" s="49"/>
      <c r="BL14" s="49" t="s">
        <v>561</v>
      </c>
      <c r="BM14" s="49">
        <v>212.7</v>
      </c>
      <c r="BN14" s="49"/>
      <c r="BO14" s="49"/>
      <c r="BP14" s="49"/>
      <c r="BQ14" s="48"/>
      <c r="BR14" s="48"/>
      <c r="BS14" s="49"/>
      <c r="BT14" s="49" t="s">
        <v>567</v>
      </c>
      <c r="BU14" s="48" t="s">
        <v>589</v>
      </c>
      <c r="BV14" s="149" t="s">
        <v>633</v>
      </c>
      <c r="BW14" s="53" t="s">
        <v>527</v>
      </c>
    </row>
    <row r="15" spans="1:75" x14ac:dyDescent="0.15">
      <c r="A15" s="45">
        <v>10483</v>
      </c>
      <c r="B15" s="142">
        <v>42186</v>
      </c>
      <c r="C15" s="143" t="s">
        <v>573</v>
      </c>
      <c r="D15" s="144" t="s">
        <v>534</v>
      </c>
      <c r="E15" s="145"/>
      <c r="F15" s="48" t="s">
        <v>574</v>
      </c>
      <c r="G15" s="127">
        <v>42185</v>
      </c>
      <c r="H15" s="49" t="s">
        <v>560</v>
      </c>
      <c r="I15" s="49" t="s">
        <v>561</v>
      </c>
      <c r="J15" s="49"/>
      <c r="K15" s="48" t="s">
        <v>595</v>
      </c>
      <c r="L15" s="48" t="s">
        <v>596</v>
      </c>
      <c r="M15" s="146">
        <v>87.172727272727272</v>
      </c>
      <c r="N15" s="146">
        <v>36.163636363636364</v>
      </c>
      <c r="O15" s="48"/>
      <c r="P15" s="50"/>
      <c r="Q15" s="146"/>
      <c r="R15" s="151"/>
      <c r="S15" s="151"/>
      <c r="T15" s="151"/>
      <c r="U15" s="146"/>
      <c r="V15" s="48"/>
      <c r="W15" s="48"/>
      <c r="X15" s="48"/>
      <c r="Y15" s="48"/>
      <c r="Z15" s="48"/>
      <c r="AA15" s="48"/>
      <c r="AB15" s="48"/>
      <c r="AC15" s="48"/>
      <c r="AD15" s="48"/>
      <c r="AE15" s="48"/>
      <c r="AF15" s="48"/>
      <c r="AG15" s="48"/>
      <c r="AH15" s="48"/>
      <c r="AI15" s="48"/>
      <c r="AJ15" s="48"/>
      <c r="AK15" s="48"/>
      <c r="AL15" s="48"/>
      <c r="AM15" s="48"/>
      <c r="AN15" s="48"/>
      <c r="AO15" s="48" t="s">
        <v>579</v>
      </c>
      <c r="AP15" s="49" t="s">
        <v>576</v>
      </c>
      <c r="AQ15" s="49"/>
      <c r="AR15" s="49"/>
      <c r="AS15" s="51"/>
      <c r="AT15" s="49">
        <v>15</v>
      </c>
      <c r="AU15" s="49" t="s">
        <v>561</v>
      </c>
      <c r="AV15" s="48"/>
      <c r="AW15" s="49">
        <v>0</v>
      </c>
      <c r="AX15" s="49">
        <v>0</v>
      </c>
      <c r="AY15" s="49">
        <v>0</v>
      </c>
      <c r="AZ15" s="49">
        <v>0</v>
      </c>
      <c r="BA15" s="49">
        <v>0</v>
      </c>
      <c r="BB15" s="49">
        <v>0</v>
      </c>
      <c r="BC15" s="49">
        <v>0</v>
      </c>
      <c r="BD15" s="49">
        <v>0</v>
      </c>
      <c r="BE15" s="49">
        <v>0</v>
      </c>
      <c r="BF15" s="49">
        <v>0</v>
      </c>
      <c r="BG15" s="49">
        <v>0</v>
      </c>
      <c r="BH15" s="49">
        <v>0</v>
      </c>
      <c r="BI15" s="49"/>
      <c r="BJ15" s="49" t="s">
        <v>561</v>
      </c>
      <c r="BK15" s="49"/>
      <c r="BL15" s="49" t="s">
        <v>561</v>
      </c>
      <c r="BM15" s="49"/>
      <c r="BN15" s="49"/>
      <c r="BO15" s="49"/>
      <c r="BP15" s="49"/>
      <c r="BQ15" s="48" t="s">
        <v>597</v>
      </c>
      <c r="BR15" s="48" t="s">
        <v>598</v>
      </c>
      <c r="BS15" s="49">
        <v>30</v>
      </c>
      <c r="BT15" s="49" t="s">
        <v>567</v>
      </c>
      <c r="BU15" s="48"/>
      <c r="BV15" t="s">
        <v>599</v>
      </c>
      <c r="BW15" s="118" t="s">
        <v>527</v>
      </c>
    </row>
    <row r="16" spans="1:75" x14ac:dyDescent="0.15">
      <c r="A16" s="45">
        <v>9708</v>
      </c>
      <c r="B16" s="123">
        <v>42185</v>
      </c>
      <c r="C16" s="143" t="s">
        <v>533</v>
      </c>
      <c r="D16" s="144" t="s">
        <v>534</v>
      </c>
      <c r="E16" s="145"/>
      <c r="F16" s="48" t="s">
        <v>535</v>
      </c>
      <c r="G16" s="46">
        <v>42185</v>
      </c>
      <c r="H16" s="125" t="s">
        <v>507</v>
      </c>
      <c r="I16" s="125" t="s">
        <v>508</v>
      </c>
      <c r="J16" s="49"/>
      <c r="K16" s="48" t="s">
        <v>452</v>
      </c>
      <c r="L16" s="144" t="s">
        <v>626</v>
      </c>
      <c r="M16" s="146">
        <v>72.481818181818184</v>
      </c>
      <c r="N16" s="146">
        <v>38.236363636363635</v>
      </c>
      <c r="O16" s="48" t="s">
        <v>546</v>
      </c>
      <c r="P16" s="50">
        <v>1000</v>
      </c>
      <c r="Q16" s="146">
        <v>40</v>
      </c>
      <c r="R16" s="50">
        <v>1000</v>
      </c>
      <c r="S16" s="146">
        <v>40</v>
      </c>
      <c r="T16" s="50">
        <v>1000</v>
      </c>
      <c r="U16" s="146">
        <v>40</v>
      </c>
      <c r="V16" s="146" t="s">
        <v>540</v>
      </c>
      <c r="W16" s="146" t="s">
        <v>540</v>
      </c>
      <c r="X16" s="146"/>
      <c r="Y16" s="146"/>
      <c r="Z16" s="146"/>
      <c r="AA16" s="146"/>
      <c r="AB16" s="146"/>
      <c r="AC16" s="146"/>
      <c r="AD16" s="146" t="s">
        <v>540</v>
      </c>
      <c r="AE16" s="146" t="s">
        <v>540</v>
      </c>
      <c r="AF16" s="146"/>
      <c r="AG16" s="146"/>
      <c r="AH16" s="146" t="s">
        <v>540</v>
      </c>
      <c r="AI16" s="146"/>
      <c r="AJ16" s="146"/>
      <c r="AK16" s="146" t="s">
        <v>540</v>
      </c>
      <c r="AL16" s="48"/>
      <c r="AM16" s="146" t="s">
        <v>540</v>
      </c>
      <c r="AN16" s="146" t="s">
        <v>540</v>
      </c>
      <c r="AO16" s="48" t="s">
        <v>541</v>
      </c>
      <c r="AP16" s="49" t="s">
        <v>537</v>
      </c>
      <c r="AQ16" s="49"/>
      <c r="AR16" s="49"/>
      <c r="AS16" s="51"/>
      <c r="AT16" s="49">
        <v>22</v>
      </c>
      <c r="AU16" s="49" t="s">
        <v>537</v>
      </c>
      <c r="AV16" s="48"/>
      <c r="AW16" s="49">
        <v>0</v>
      </c>
      <c r="AX16" s="49">
        <v>0</v>
      </c>
      <c r="AY16" s="49">
        <v>0</v>
      </c>
      <c r="AZ16" s="49">
        <v>0</v>
      </c>
      <c r="BA16" s="49">
        <v>0</v>
      </c>
      <c r="BB16" s="49">
        <v>0</v>
      </c>
      <c r="BC16" s="49">
        <v>0</v>
      </c>
      <c r="BD16" s="49">
        <v>0</v>
      </c>
      <c r="BE16" s="49">
        <v>0</v>
      </c>
      <c r="BF16" s="49">
        <v>0</v>
      </c>
      <c r="BG16" s="49">
        <v>0</v>
      </c>
      <c r="BH16" s="49">
        <v>0</v>
      </c>
      <c r="BI16" s="49"/>
      <c r="BJ16" s="49" t="s">
        <v>537</v>
      </c>
      <c r="BK16" s="49"/>
      <c r="BL16" s="49" t="s">
        <v>537</v>
      </c>
      <c r="BM16" s="49"/>
      <c r="BN16" s="49"/>
      <c r="BO16" s="49"/>
      <c r="BP16" s="49"/>
      <c r="BQ16" s="52"/>
      <c r="BR16" s="48"/>
      <c r="BS16" s="49"/>
      <c r="BT16" s="49" t="s">
        <v>543</v>
      </c>
      <c r="BU16" s="48" t="s">
        <v>510</v>
      </c>
      <c r="BV16" s="149" t="s">
        <v>627</v>
      </c>
      <c r="BW16" s="118" t="s">
        <v>90</v>
      </c>
    </row>
    <row r="17" spans="1:75" x14ac:dyDescent="0.15">
      <c r="A17" s="45">
        <v>10701</v>
      </c>
      <c r="B17" s="142">
        <v>42186</v>
      </c>
      <c r="C17" s="143" t="s">
        <v>573</v>
      </c>
      <c r="D17" s="144" t="s">
        <v>534</v>
      </c>
      <c r="E17" s="145"/>
      <c r="F17" s="48" t="s">
        <v>574</v>
      </c>
      <c r="G17" s="127">
        <v>42185</v>
      </c>
      <c r="H17" s="49" t="s">
        <v>575</v>
      </c>
      <c r="I17" s="49" t="s">
        <v>576</v>
      </c>
      <c r="J17" s="49"/>
      <c r="K17" s="144" t="s">
        <v>600</v>
      </c>
      <c r="L17" s="144" t="s">
        <v>601</v>
      </c>
      <c r="M17" s="146">
        <v>108.29</v>
      </c>
      <c r="N17" s="146">
        <v>34.18181818181818</v>
      </c>
      <c r="O17" s="48"/>
      <c r="P17" s="50"/>
      <c r="Q17" s="146" t="s">
        <v>540</v>
      </c>
      <c r="R17" s="50"/>
      <c r="S17" s="146" t="s">
        <v>540</v>
      </c>
      <c r="T17" s="48"/>
      <c r="U17" s="146" t="s">
        <v>540</v>
      </c>
      <c r="V17" s="48"/>
      <c r="W17" s="48"/>
      <c r="X17" s="50"/>
      <c r="Y17" s="48"/>
      <c r="Z17" s="50"/>
      <c r="AA17" s="48"/>
      <c r="AB17" s="50"/>
      <c r="AC17" s="48"/>
      <c r="AD17" s="48"/>
      <c r="AE17" s="48"/>
      <c r="AF17" s="50"/>
      <c r="AG17" s="48"/>
      <c r="AH17" s="48"/>
      <c r="AI17" s="48"/>
      <c r="AJ17" s="48"/>
      <c r="AK17" s="48"/>
      <c r="AL17" s="48"/>
      <c r="AM17" s="48"/>
      <c r="AN17" s="48"/>
      <c r="AO17" s="48" t="s">
        <v>579</v>
      </c>
      <c r="AP17" s="49" t="s">
        <v>576</v>
      </c>
      <c r="AQ17" s="49"/>
      <c r="AR17" s="49"/>
      <c r="AS17" s="51"/>
      <c r="AT17" s="49">
        <v>10.199999999999999</v>
      </c>
      <c r="AU17" s="49" t="s">
        <v>602</v>
      </c>
      <c r="AV17" s="48"/>
      <c r="AW17" s="49">
        <v>0</v>
      </c>
      <c r="AX17" s="49">
        <v>0</v>
      </c>
      <c r="AY17" s="49">
        <v>15</v>
      </c>
      <c r="AZ17" s="49">
        <v>0</v>
      </c>
      <c r="BA17" s="49">
        <v>0</v>
      </c>
      <c r="BB17" s="49">
        <v>0</v>
      </c>
      <c r="BC17" s="49">
        <v>0</v>
      </c>
      <c r="BD17" s="49">
        <v>0</v>
      </c>
      <c r="BE17" s="49">
        <v>0</v>
      </c>
      <c r="BF17" s="49">
        <v>0</v>
      </c>
      <c r="BG17" s="49">
        <v>0</v>
      </c>
      <c r="BH17" s="49">
        <v>0</v>
      </c>
      <c r="BI17" s="49"/>
      <c r="BJ17" s="49" t="s">
        <v>576</v>
      </c>
      <c r="BK17" s="49"/>
      <c r="BL17" s="49" t="s">
        <v>576</v>
      </c>
      <c r="BM17" s="49"/>
      <c r="BN17" s="49"/>
      <c r="BO17" s="49"/>
      <c r="BP17" s="49"/>
      <c r="BQ17" s="52"/>
      <c r="BR17" s="52"/>
      <c r="BS17" s="49"/>
      <c r="BT17" s="49" t="s">
        <v>581</v>
      </c>
      <c r="BU17" s="144" t="s">
        <v>603</v>
      </c>
      <c r="BV17" s="149" t="s">
        <v>604</v>
      </c>
      <c r="BW17" t="s">
        <v>527</v>
      </c>
    </row>
    <row r="18" spans="1:75" x14ac:dyDescent="0.15">
      <c r="A18" s="45">
        <v>10052</v>
      </c>
      <c r="B18" s="142">
        <v>42186</v>
      </c>
      <c r="C18" s="143" t="s">
        <v>9</v>
      </c>
      <c r="D18" s="144" t="s">
        <v>534</v>
      </c>
      <c r="E18" s="145"/>
      <c r="F18" s="48" t="s">
        <v>71</v>
      </c>
      <c r="G18" s="127">
        <v>42184</v>
      </c>
      <c r="H18" s="125" t="s">
        <v>507</v>
      </c>
      <c r="I18" s="125" t="s">
        <v>508</v>
      </c>
      <c r="J18" s="49"/>
      <c r="K18" s="144" t="s">
        <v>605</v>
      </c>
      <c r="L18" s="144" t="s">
        <v>634</v>
      </c>
      <c r="M18" s="146">
        <v>93.836363636363629</v>
      </c>
      <c r="N18" s="146">
        <v>27.872727272727271</v>
      </c>
      <c r="O18" s="48" t="s">
        <v>93</v>
      </c>
      <c r="P18" s="50">
        <v>1000</v>
      </c>
      <c r="Q18" s="146">
        <v>28.536363636363635</v>
      </c>
      <c r="R18" s="150">
        <v>1000</v>
      </c>
      <c r="S18" s="146">
        <v>28.536363636363635</v>
      </c>
      <c r="T18" s="150">
        <v>1000</v>
      </c>
      <c r="U18" s="146">
        <v>28.536363636363635</v>
      </c>
      <c r="V18" s="48"/>
      <c r="W18" s="48"/>
      <c r="X18" s="50"/>
      <c r="Y18" s="48"/>
      <c r="Z18" s="50"/>
      <c r="AA18" s="48"/>
      <c r="AB18" s="50"/>
      <c r="AC18" s="48"/>
      <c r="AD18" s="48"/>
      <c r="AE18" s="48"/>
      <c r="AF18" s="50"/>
      <c r="AG18" s="48"/>
      <c r="AH18" s="48"/>
      <c r="AI18" s="48"/>
      <c r="AJ18" s="48"/>
      <c r="AK18" s="48"/>
      <c r="AL18" s="48"/>
      <c r="AM18" s="48"/>
      <c r="AN18" s="48"/>
      <c r="AO18" s="48" t="s">
        <v>82</v>
      </c>
      <c r="AP18" s="49" t="s">
        <v>4</v>
      </c>
      <c r="AQ18" s="49"/>
      <c r="AR18" s="49"/>
      <c r="AS18" s="51"/>
      <c r="AT18" s="49">
        <v>11.5</v>
      </c>
      <c r="AU18" s="49" t="s">
        <v>521</v>
      </c>
      <c r="AV18" s="48"/>
      <c r="AW18" s="49">
        <v>0</v>
      </c>
      <c r="AX18" s="49">
        <v>0</v>
      </c>
      <c r="AY18" s="49">
        <v>0</v>
      </c>
      <c r="AZ18" s="49">
        <v>0</v>
      </c>
      <c r="BA18" s="49">
        <v>0</v>
      </c>
      <c r="BB18" s="49">
        <v>0</v>
      </c>
      <c r="BC18" s="49">
        <v>0</v>
      </c>
      <c r="BD18" s="49">
        <v>0</v>
      </c>
      <c r="BE18" s="49">
        <v>0</v>
      </c>
      <c r="BF18" s="49">
        <v>0</v>
      </c>
      <c r="BG18" s="49">
        <v>0</v>
      </c>
      <c r="BH18" s="49">
        <v>0</v>
      </c>
      <c r="BI18" s="49"/>
      <c r="BJ18" s="49" t="s">
        <v>480</v>
      </c>
      <c r="BK18" s="49"/>
      <c r="BL18" s="49" t="s">
        <v>480</v>
      </c>
      <c r="BM18" s="49">
        <v>35.5</v>
      </c>
      <c r="BN18" s="49"/>
      <c r="BO18" s="49"/>
      <c r="BP18" s="49"/>
      <c r="BQ18" s="48"/>
      <c r="BR18" s="48"/>
      <c r="BS18" s="49"/>
      <c r="BT18" s="49" t="s">
        <v>486</v>
      </c>
      <c r="BU18" s="144" t="s">
        <v>606</v>
      </c>
      <c r="BV18" s="118" t="s">
        <v>607</v>
      </c>
      <c r="BW18" s="124" t="s">
        <v>90</v>
      </c>
    </row>
    <row r="19" spans="1:75" x14ac:dyDescent="0.15">
      <c r="A19" s="45">
        <v>9342</v>
      </c>
      <c r="B19" s="142">
        <v>42185</v>
      </c>
      <c r="C19" s="143" t="s">
        <v>533</v>
      </c>
      <c r="D19" s="144" t="s">
        <v>534</v>
      </c>
      <c r="E19" s="145"/>
      <c r="F19" s="48" t="s">
        <v>535</v>
      </c>
      <c r="G19" s="142">
        <v>41934</v>
      </c>
      <c r="H19" s="49" t="s">
        <v>507</v>
      </c>
      <c r="I19" s="49" t="s">
        <v>537</v>
      </c>
      <c r="J19" s="49"/>
      <c r="K19" s="48" t="s">
        <v>608</v>
      </c>
      <c r="L19" s="48" t="s">
        <v>609</v>
      </c>
      <c r="M19" s="146">
        <v>107</v>
      </c>
      <c r="N19" s="146">
        <v>44</v>
      </c>
      <c r="O19" s="48"/>
      <c r="P19" s="50"/>
      <c r="Q19" s="146" t="s">
        <v>540</v>
      </c>
      <c r="R19" s="154"/>
      <c r="S19" s="151" t="s">
        <v>540</v>
      </c>
      <c r="T19" s="147"/>
      <c r="U19" s="146" t="s">
        <v>540</v>
      </c>
      <c r="V19" s="48"/>
      <c r="W19" s="48"/>
      <c r="X19" s="50"/>
      <c r="Y19" s="48"/>
      <c r="Z19" s="50"/>
      <c r="AA19" s="48"/>
      <c r="AB19" s="50"/>
      <c r="AC19" s="48"/>
      <c r="AD19" s="48"/>
      <c r="AE19" s="48"/>
      <c r="AF19" s="50"/>
      <c r="AG19" s="48"/>
      <c r="AH19" s="48"/>
      <c r="AI19" s="48"/>
      <c r="AJ19" s="48"/>
      <c r="AK19" s="48"/>
      <c r="AL19" s="48"/>
      <c r="AM19" s="48"/>
      <c r="AN19" s="48"/>
      <c r="AO19" s="48" t="s">
        <v>541</v>
      </c>
      <c r="AP19" s="49" t="s">
        <v>537</v>
      </c>
      <c r="AQ19" s="49"/>
      <c r="AR19" s="49"/>
      <c r="AS19" s="51"/>
      <c r="AT19" s="49">
        <v>8</v>
      </c>
      <c r="AU19" s="49" t="s">
        <v>495</v>
      </c>
      <c r="AV19" s="48"/>
      <c r="AW19" s="49">
        <v>0</v>
      </c>
      <c r="AX19" s="49">
        <v>0</v>
      </c>
      <c r="AY19" s="49">
        <v>0</v>
      </c>
      <c r="AZ19" s="49">
        <v>0</v>
      </c>
      <c r="BA19" s="49">
        <v>0</v>
      </c>
      <c r="BB19" s="49">
        <v>0</v>
      </c>
      <c r="BC19" s="49">
        <v>0</v>
      </c>
      <c r="BD19" s="49">
        <v>0</v>
      </c>
      <c r="BE19" s="49">
        <v>0</v>
      </c>
      <c r="BF19" s="49">
        <v>0</v>
      </c>
      <c r="BG19" s="49">
        <v>0</v>
      </c>
      <c r="BH19" s="49">
        <v>0</v>
      </c>
      <c r="BI19" s="49"/>
      <c r="BJ19" s="49" t="s">
        <v>537</v>
      </c>
      <c r="BK19" s="49"/>
      <c r="BL19" s="49" t="s">
        <v>537</v>
      </c>
      <c r="BM19" s="49"/>
      <c r="BN19" s="49"/>
      <c r="BO19" s="49"/>
      <c r="BP19" s="49"/>
      <c r="BQ19" s="52"/>
      <c r="BR19" s="48"/>
      <c r="BS19" s="49"/>
      <c r="BT19" s="49" t="s">
        <v>543</v>
      </c>
      <c r="BU19" s="52" t="s">
        <v>610</v>
      </c>
      <c r="BV19" s="149" t="s">
        <v>611</v>
      </c>
      <c r="BW19" t="s">
        <v>56</v>
      </c>
    </row>
    <row r="20" spans="1:75" x14ac:dyDescent="0.15">
      <c r="A20" s="45">
        <v>10432</v>
      </c>
      <c r="B20" s="142">
        <v>42185</v>
      </c>
      <c r="C20" s="143" t="s">
        <v>533</v>
      </c>
      <c r="D20" s="144" t="s">
        <v>534</v>
      </c>
      <c r="E20" s="145"/>
      <c r="F20" s="48" t="s">
        <v>612</v>
      </c>
      <c r="G20" s="142">
        <v>42185</v>
      </c>
      <c r="H20" s="49" t="s">
        <v>536</v>
      </c>
      <c r="I20" s="49" t="s">
        <v>537</v>
      </c>
      <c r="J20" s="49"/>
      <c r="K20" s="48" t="s">
        <v>538</v>
      </c>
      <c r="L20" s="48" t="s">
        <v>539</v>
      </c>
      <c r="M20" s="146">
        <v>80.999999999999986</v>
      </c>
      <c r="N20" s="146">
        <v>36.709090909090911</v>
      </c>
      <c r="O20" s="48"/>
      <c r="P20" s="50"/>
      <c r="Q20" s="146" t="s">
        <v>540</v>
      </c>
      <c r="R20" s="50"/>
      <c r="S20" s="146" t="s">
        <v>540</v>
      </c>
      <c r="T20" s="50"/>
      <c r="U20" s="146" t="s">
        <v>540</v>
      </c>
      <c r="V20" s="48"/>
      <c r="W20" s="48"/>
      <c r="X20" s="48"/>
      <c r="Y20" s="48"/>
      <c r="Z20" s="50"/>
      <c r="AA20" s="48"/>
      <c r="AB20" s="50"/>
      <c r="AC20" s="48"/>
      <c r="AD20" s="48"/>
      <c r="AE20" s="146">
        <v>20.109090909090909</v>
      </c>
      <c r="AF20" s="146"/>
      <c r="AG20" s="146"/>
      <c r="AH20" s="48"/>
      <c r="AI20" s="48"/>
      <c r="AJ20" s="48"/>
      <c r="AK20" s="48"/>
      <c r="AL20" s="48"/>
      <c r="AM20" s="48"/>
      <c r="AN20" s="48"/>
      <c r="AO20" s="48" t="s">
        <v>613</v>
      </c>
      <c r="AP20" s="49" t="s">
        <v>537</v>
      </c>
      <c r="AQ20" s="49"/>
      <c r="AR20" s="49"/>
      <c r="AS20" s="51"/>
      <c r="AT20" s="49">
        <v>16.3</v>
      </c>
      <c r="AU20" s="49" t="s">
        <v>542</v>
      </c>
      <c r="AV20" s="48"/>
      <c r="AW20" s="49">
        <v>8</v>
      </c>
      <c r="AX20" s="49">
        <v>0</v>
      </c>
      <c r="AY20" s="49">
        <v>0</v>
      </c>
      <c r="AZ20" s="49">
        <v>0</v>
      </c>
      <c r="BA20" s="49">
        <v>0</v>
      </c>
      <c r="BB20" s="49">
        <v>0</v>
      </c>
      <c r="BC20" s="49">
        <v>0</v>
      </c>
      <c r="BD20" s="49">
        <v>0</v>
      </c>
      <c r="BE20" s="49">
        <v>0</v>
      </c>
      <c r="BF20" s="49">
        <v>0</v>
      </c>
      <c r="BG20" s="49">
        <v>0</v>
      </c>
      <c r="BH20" s="49">
        <v>0</v>
      </c>
      <c r="BI20" s="49"/>
      <c r="BJ20" s="49" t="s">
        <v>537</v>
      </c>
      <c r="BK20" s="49">
        <v>12</v>
      </c>
      <c r="BL20" s="49" t="s">
        <v>537</v>
      </c>
      <c r="BM20" s="49"/>
      <c r="BN20" s="49"/>
      <c r="BO20" s="49"/>
      <c r="BP20" s="49"/>
      <c r="BQ20" s="48"/>
      <c r="BR20" s="52"/>
      <c r="BS20" s="49"/>
      <c r="BT20" s="49" t="s">
        <v>543</v>
      </c>
      <c r="BU20" s="52"/>
      <c r="BV20" s="118" t="s">
        <v>79</v>
      </c>
      <c r="BW20" s="124" t="s">
        <v>527</v>
      </c>
    </row>
    <row r="21" spans="1:75" x14ac:dyDescent="0.15">
      <c r="A21" s="45">
        <v>10485</v>
      </c>
      <c r="B21" s="142">
        <v>42186</v>
      </c>
      <c r="C21" s="143" t="s">
        <v>533</v>
      </c>
      <c r="D21" s="144" t="s">
        <v>534</v>
      </c>
      <c r="E21" s="145"/>
      <c r="F21" s="48" t="s">
        <v>612</v>
      </c>
      <c r="G21" s="129">
        <v>42185</v>
      </c>
      <c r="H21" s="49" t="s">
        <v>536</v>
      </c>
      <c r="I21" s="49" t="s">
        <v>537</v>
      </c>
      <c r="J21" s="49"/>
      <c r="K21" s="48" t="s">
        <v>544</v>
      </c>
      <c r="L21" s="144" t="s">
        <v>545</v>
      </c>
      <c r="M21" s="146">
        <v>83</v>
      </c>
      <c r="N21" s="146">
        <v>30.154545454545453</v>
      </c>
      <c r="O21" s="48" t="s">
        <v>546</v>
      </c>
      <c r="P21" s="50">
        <v>300</v>
      </c>
      <c r="Q21" s="146">
        <v>33.590909090909093</v>
      </c>
      <c r="R21" s="50">
        <v>300</v>
      </c>
      <c r="S21" s="146">
        <v>33.590909090909093</v>
      </c>
      <c r="T21" s="50">
        <v>300</v>
      </c>
      <c r="U21" s="146">
        <v>33.590909090909093</v>
      </c>
      <c r="V21" s="48"/>
      <c r="W21" s="48"/>
      <c r="X21" s="48"/>
      <c r="Y21" s="48"/>
      <c r="Z21" s="48"/>
      <c r="AA21" s="48"/>
      <c r="AB21" s="48"/>
      <c r="AC21" s="48"/>
      <c r="AD21" s="48"/>
      <c r="AE21" s="146">
        <v>16.618181818181817</v>
      </c>
      <c r="AF21" s="146"/>
      <c r="AG21" s="146"/>
      <c r="AH21" s="48"/>
      <c r="AI21" s="48"/>
      <c r="AJ21" s="48"/>
      <c r="AK21" s="48"/>
      <c r="AL21" s="48"/>
      <c r="AM21" s="48"/>
      <c r="AN21" s="48"/>
      <c r="AO21" s="48" t="s">
        <v>613</v>
      </c>
      <c r="AP21" s="49" t="s">
        <v>537</v>
      </c>
      <c r="AQ21" s="49"/>
      <c r="AR21" s="49"/>
      <c r="AS21" s="51"/>
      <c r="AT21" s="49">
        <v>9.5</v>
      </c>
      <c r="AU21" s="49" t="s">
        <v>537</v>
      </c>
      <c r="AV21" s="48"/>
      <c r="AW21" s="49">
        <v>0</v>
      </c>
      <c r="AX21" s="49">
        <v>0</v>
      </c>
      <c r="AY21" s="49">
        <v>0</v>
      </c>
      <c r="AZ21" s="49">
        <v>0</v>
      </c>
      <c r="BA21" s="49">
        <v>0</v>
      </c>
      <c r="BB21" s="49">
        <v>0</v>
      </c>
      <c r="BC21" s="49">
        <v>0</v>
      </c>
      <c r="BD21" s="49">
        <v>0</v>
      </c>
      <c r="BE21" s="49">
        <v>0</v>
      </c>
      <c r="BF21" s="49">
        <v>0</v>
      </c>
      <c r="BG21" s="49">
        <v>0</v>
      </c>
      <c r="BH21" s="49">
        <v>0</v>
      </c>
      <c r="BI21" s="49"/>
      <c r="BJ21" s="49" t="s">
        <v>537</v>
      </c>
      <c r="BK21" s="49"/>
      <c r="BL21" s="49" t="s">
        <v>537</v>
      </c>
      <c r="BM21" s="49"/>
      <c r="BN21" s="49"/>
      <c r="BO21" s="49"/>
      <c r="BP21" s="49"/>
      <c r="BQ21" s="48"/>
      <c r="BR21" s="48"/>
      <c r="BS21" s="49"/>
      <c r="BT21" s="49" t="s">
        <v>543</v>
      </c>
      <c r="BU21" s="144" t="s">
        <v>510</v>
      </c>
      <c r="BV21" s="118" t="s">
        <v>79</v>
      </c>
      <c r="BW21" s="118" t="s">
        <v>527</v>
      </c>
    </row>
    <row r="22" spans="1:75" ht="16" x14ac:dyDescent="0.2">
      <c r="A22" s="45">
        <v>10664</v>
      </c>
      <c r="B22" s="123">
        <v>42186</v>
      </c>
      <c r="C22" s="143" t="s">
        <v>533</v>
      </c>
      <c r="D22" s="144" t="s">
        <v>534</v>
      </c>
      <c r="E22" s="145"/>
      <c r="F22" s="48" t="s">
        <v>612</v>
      </c>
      <c r="G22" s="46">
        <v>42185</v>
      </c>
      <c r="H22" s="49" t="s">
        <v>507</v>
      </c>
      <c r="I22" s="49" t="s">
        <v>508</v>
      </c>
      <c r="J22" s="49"/>
      <c r="K22" s="48" t="s">
        <v>548</v>
      </c>
      <c r="L22" s="144" t="s">
        <v>628</v>
      </c>
      <c r="M22" s="146">
        <v>90.6</v>
      </c>
      <c r="N22" s="146">
        <v>35.827272727272721</v>
      </c>
      <c r="O22" s="48"/>
      <c r="P22" s="50"/>
      <c r="Q22" s="146"/>
      <c r="R22" s="50"/>
      <c r="S22" s="146" t="s">
        <v>540</v>
      </c>
      <c r="T22" s="50"/>
      <c r="U22" s="146" t="s">
        <v>540</v>
      </c>
      <c r="V22" s="146" t="s">
        <v>540</v>
      </c>
      <c r="W22" s="146" t="s">
        <v>540</v>
      </c>
      <c r="X22" s="146"/>
      <c r="Y22" s="146"/>
      <c r="Z22" s="146"/>
      <c r="AA22" s="146"/>
      <c r="AB22" s="146"/>
      <c r="AC22" s="146"/>
      <c r="AD22" s="146" t="s">
        <v>540</v>
      </c>
      <c r="AE22" s="146">
        <v>20.236363636363635</v>
      </c>
      <c r="AF22" s="146"/>
      <c r="AG22" s="146"/>
      <c r="AH22" s="146" t="s">
        <v>540</v>
      </c>
      <c r="AI22" s="146"/>
      <c r="AJ22" s="146"/>
      <c r="AK22" s="146" t="s">
        <v>540</v>
      </c>
      <c r="AL22" s="48"/>
      <c r="AM22" s="146" t="s">
        <v>540</v>
      </c>
      <c r="AN22" s="146" t="s">
        <v>540</v>
      </c>
      <c r="AO22" s="48" t="s">
        <v>613</v>
      </c>
      <c r="AP22" s="49" t="s">
        <v>537</v>
      </c>
      <c r="AQ22" s="49"/>
      <c r="AR22" s="49"/>
      <c r="AS22" s="51"/>
      <c r="AT22" s="49">
        <v>17</v>
      </c>
      <c r="AU22" s="49" t="s">
        <v>547</v>
      </c>
      <c r="AV22" s="48"/>
      <c r="AW22" s="49">
        <v>0</v>
      </c>
      <c r="AX22" s="49">
        <v>0</v>
      </c>
      <c r="AY22" s="49">
        <v>0</v>
      </c>
      <c r="AZ22" s="49">
        <v>0</v>
      </c>
      <c r="BA22" s="49">
        <v>0</v>
      </c>
      <c r="BB22" s="49">
        <v>0</v>
      </c>
      <c r="BC22" s="49">
        <v>0</v>
      </c>
      <c r="BD22" s="49">
        <v>0</v>
      </c>
      <c r="BE22" s="49">
        <v>0</v>
      </c>
      <c r="BF22" s="49">
        <v>0</v>
      </c>
      <c r="BG22" s="49">
        <v>0</v>
      </c>
      <c r="BH22" s="49">
        <v>0</v>
      </c>
      <c r="BI22" s="49"/>
      <c r="BJ22" s="49" t="s">
        <v>537</v>
      </c>
      <c r="BK22" s="49"/>
      <c r="BL22" s="49" t="s">
        <v>537</v>
      </c>
      <c r="BM22" s="49"/>
      <c r="BN22" s="49"/>
      <c r="BO22" s="49"/>
      <c r="BP22" s="49"/>
      <c r="BQ22" s="148" t="s">
        <v>549</v>
      </c>
      <c r="BR22" s="148" t="s">
        <v>550</v>
      </c>
      <c r="BS22" s="49">
        <v>50</v>
      </c>
      <c r="BT22" s="49" t="s">
        <v>543</v>
      </c>
      <c r="BU22" s="48" t="s">
        <v>510</v>
      </c>
      <c r="BV22" s="149" t="s">
        <v>630</v>
      </c>
      <c r="BW22" t="s">
        <v>527</v>
      </c>
    </row>
    <row r="23" spans="1:75" x14ac:dyDescent="0.15">
      <c r="A23" s="45">
        <v>957</v>
      </c>
      <c r="B23" s="142">
        <v>42186</v>
      </c>
      <c r="C23" s="143" t="s">
        <v>533</v>
      </c>
      <c r="D23" s="144" t="s">
        <v>534</v>
      </c>
      <c r="E23" s="145"/>
      <c r="F23" s="48" t="s">
        <v>612</v>
      </c>
      <c r="G23" s="127">
        <v>42185</v>
      </c>
      <c r="H23" s="49" t="s">
        <v>536</v>
      </c>
      <c r="I23" s="49" t="s">
        <v>537</v>
      </c>
      <c r="J23" s="49"/>
      <c r="K23" s="48" t="s">
        <v>551</v>
      </c>
      <c r="L23" s="48" t="s">
        <v>552</v>
      </c>
      <c r="M23" s="146">
        <v>88.8</v>
      </c>
      <c r="N23" s="146">
        <v>32.409090909090907</v>
      </c>
      <c r="O23" s="48" t="s">
        <v>546</v>
      </c>
      <c r="P23" s="50">
        <v>1000</v>
      </c>
      <c r="Q23" s="146">
        <v>33.25454545454545</v>
      </c>
      <c r="R23" s="50">
        <v>1000</v>
      </c>
      <c r="S23" s="146">
        <v>33.25454545454545</v>
      </c>
      <c r="T23" s="50">
        <v>1000</v>
      </c>
      <c r="U23" s="146">
        <v>33.25454545454545</v>
      </c>
      <c r="V23" s="48"/>
      <c r="W23" s="48"/>
      <c r="X23" s="48"/>
      <c r="Y23" s="48"/>
      <c r="Z23" s="48"/>
      <c r="AA23" s="48"/>
      <c r="AB23" s="48"/>
      <c r="AC23" s="48"/>
      <c r="AD23" s="48"/>
      <c r="AE23" s="146">
        <v>18.072727272727271</v>
      </c>
      <c r="AF23" s="146"/>
      <c r="AG23" s="146"/>
      <c r="AH23" s="48"/>
      <c r="AI23" s="48"/>
      <c r="AJ23" s="48"/>
      <c r="AK23" s="48"/>
      <c r="AL23" s="48"/>
      <c r="AM23" s="48"/>
      <c r="AN23" s="48"/>
      <c r="AO23" s="48" t="s">
        <v>613</v>
      </c>
      <c r="AP23" s="49" t="s">
        <v>537</v>
      </c>
      <c r="AQ23" s="49"/>
      <c r="AR23" s="49"/>
      <c r="AS23" s="51"/>
      <c r="AT23" s="49">
        <v>11.6</v>
      </c>
      <c r="AU23" s="49" t="s">
        <v>537</v>
      </c>
      <c r="AV23" s="48"/>
      <c r="AW23" s="49">
        <v>0</v>
      </c>
      <c r="AX23" s="49">
        <v>0</v>
      </c>
      <c r="AY23" s="49">
        <v>0</v>
      </c>
      <c r="AZ23" s="49">
        <v>0</v>
      </c>
      <c r="BA23" s="49">
        <v>0</v>
      </c>
      <c r="BB23" s="49">
        <v>0</v>
      </c>
      <c r="BC23" s="49">
        <v>0</v>
      </c>
      <c r="BD23" s="49">
        <v>0</v>
      </c>
      <c r="BE23" s="49">
        <v>0</v>
      </c>
      <c r="BF23" s="49">
        <v>0</v>
      </c>
      <c r="BG23" s="49">
        <v>0</v>
      </c>
      <c r="BH23" s="49">
        <v>0</v>
      </c>
      <c r="BI23" s="49"/>
      <c r="BJ23" s="49" t="s">
        <v>537</v>
      </c>
      <c r="BK23" s="49"/>
      <c r="BL23" s="49" t="s">
        <v>537</v>
      </c>
      <c r="BM23" s="49"/>
      <c r="BN23" s="49"/>
      <c r="BO23" s="49"/>
      <c r="BP23" s="49"/>
      <c r="BQ23" s="52" t="s">
        <v>553</v>
      </c>
      <c r="BR23" s="48"/>
      <c r="BS23" s="49"/>
      <c r="BT23" s="49" t="s">
        <v>543</v>
      </c>
      <c r="BU23" s="48"/>
      <c r="BV23" s="149" t="s">
        <v>614</v>
      </c>
      <c r="BW23" s="53" t="s">
        <v>90</v>
      </c>
    </row>
    <row r="24" spans="1:75" x14ac:dyDescent="0.15">
      <c r="A24" s="45">
        <v>959</v>
      </c>
      <c r="B24" s="142">
        <v>42185</v>
      </c>
      <c r="C24" s="143" t="s">
        <v>517</v>
      </c>
      <c r="D24" s="144" t="s">
        <v>534</v>
      </c>
      <c r="E24" s="145"/>
      <c r="F24" s="48" t="s">
        <v>528</v>
      </c>
      <c r="G24" s="129">
        <v>41820</v>
      </c>
      <c r="H24" s="49" t="s">
        <v>520</v>
      </c>
      <c r="I24" s="49" t="s">
        <v>521</v>
      </c>
      <c r="J24" s="49"/>
      <c r="K24" s="48" t="s">
        <v>555</v>
      </c>
      <c r="L24" s="48" t="s">
        <v>556</v>
      </c>
      <c r="M24" s="146">
        <v>86.95</v>
      </c>
      <c r="N24" s="146">
        <v>33.26</v>
      </c>
      <c r="O24" s="48" t="s">
        <v>523</v>
      </c>
      <c r="P24" s="50">
        <v>300</v>
      </c>
      <c r="Q24" s="146">
        <v>35.89</v>
      </c>
      <c r="R24" s="152">
        <v>1000</v>
      </c>
      <c r="S24" s="146">
        <v>38.950000000000003</v>
      </c>
      <c r="T24" s="152">
        <v>2500</v>
      </c>
      <c r="U24" s="146">
        <v>39.869999999999997</v>
      </c>
      <c r="V24" s="48"/>
      <c r="W24" s="48"/>
      <c r="X24" s="48"/>
      <c r="Y24" s="48"/>
      <c r="Z24" s="48"/>
      <c r="AA24" s="48"/>
      <c r="AB24" s="48"/>
      <c r="AC24" s="48"/>
      <c r="AD24" s="48"/>
      <c r="AE24" s="146">
        <v>19.95</v>
      </c>
      <c r="AF24" s="146"/>
      <c r="AG24" s="146"/>
      <c r="AH24" s="48"/>
      <c r="AI24" s="48"/>
      <c r="AJ24" s="48"/>
      <c r="AK24" s="48"/>
      <c r="AL24" s="48"/>
      <c r="AM24" s="48"/>
      <c r="AN24" s="48"/>
      <c r="AO24" s="48" t="s">
        <v>529</v>
      </c>
      <c r="AP24" s="49" t="s">
        <v>521</v>
      </c>
      <c r="AQ24" s="49"/>
      <c r="AR24" s="49"/>
      <c r="AS24" s="51">
        <v>10</v>
      </c>
      <c r="AT24" s="49">
        <v>12</v>
      </c>
      <c r="AU24" s="49" t="s">
        <v>521</v>
      </c>
      <c r="AV24" s="48"/>
      <c r="AW24" s="49">
        <v>0</v>
      </c>
      <c r="AX24" s="49">
        <v>0</v>
      </c>
      <c r="AY24" s="49">
        <v>7</v>
      </c>
      <c r="AZ24" s="49">
        <v>0</v>
      </c>
      <c r="BA24" s="49">
        <v>0</v>
      </c>
      <c r="BB24" s="49">
        <v>0</v>
      </c>
      <c r="BC24" s="49">
        <v>0</v>
      </c>
      <c r="BD24" s="49">
        <v>0</v>
      </c>
      <c r="BE24" s="49">
        <v>0</v>
      </c>
      <c r="BF24" s="49">
        <v>0</v>
      </c>
      <c r="BG24" s="49">
        <v>0</v>
      </c>
      <c r="BH24" s="49">
        <v>0</v>
      </c>
      <c r="BI24" s="49"/>
      <c r="BJ24" s="49" t="s">
        <v>521</v>
      </c>
      <c r="BK24" s="49"/>
      <c r="BL24" s="49" t="s">
        <v>521</v>
      </c>
      <c r="BM24" s="49"/>
      <c r="BN24" s="49"/>
      <c r="BO24" s="49"/>
      <c r="BP24" s="49"/>
      <c r="BQ24" s="48"/>
      <c r="BR24" s="48"/>
      <c r="BS24" s="49"/>
      <c r="BT24" s="49" t="s">
        <v>557</v>
      </c>
      <c r="BU24" s="48"/>
      <c r="BV24" t="s">
        <v>79</v>
      </c>
      <c r="BW24" s="53" t="s">
        <v>56</v>
      </c>
    </row>
    <row r="25" spans="1:75" x14ac:dyDescent="0.15">
      <c r="A25" s="45">
        <v>961</v>
      </c>
      <c r="B25" s="142">
        <v>42185</v>
      </c>
      <c r="C25" s="143" t="s">
        <v>558</v>
      </c>
      <c r="D25" s="144" t="s">
        <v>534</v>
      </c>
      <c r="E25" s="145"/>
      <c r="F25" s="48" t="s">
        <v>615</v>
      </c>
      <c r="G25" s="127">
        <v>42185</v>
      </c>
      <c r="H25" s="49" t="s">
        <v>560</v>
      </c>
      <c r="I25" s="49" t="s">
        <v>561</v>
      </c>
      <c r="J25" s="49"/>
      <c r="K25" s="48" t="s">
        <v>562</v>
      </c>
      <c r="L25" s="48" t="s">
        <v>563</v>
      </c>
      <c r="M25" s="146">
        <v>88.8</v>
      </c>
      <c r="N25" s="146">
        <v>32.409090909090907</v>
      </c>
      <c r="O25" s="48" t="s">
        <v>564</v>
      </c>
      <c r="P25" s="50">
        <v>1000</v>
      </c>
      <c r="Q25" s="146">
        <v>33.25454545454545</v>
      </c>
      <c r="R25" s="50">
        <v>1000</v>
      </c>
      <c r="S25" s="146">
        <v>33.25454545454545</v>
      </c>
      <c r="T25" s="50">
        <v>1000</v>
      </c>
      <c r="U25" s="146">
        <v>33.25454545454545</v>
      </c>
      <c r="V25" s="48"/>
      <c r="W25" s="48"/>
      <c r="X25" s="48"/>
      <c r="Y25" s="48"/>
      <c r="Z25" s="48"/>
      <c r="AA25" s="48"/>
      <c r="AB25" s="48"/>
      <c r="AC25" s="48"/>
      <c r="AD25" s="48"/>
      <c r="AE25" s="146">
        <v>18.072727272727271</v>
      </c>
      <c r="AF25" s="146"/>
      <c r="AG25" s="146"/>
      <c r="AH25" s="48"/>
      <c r="AI25" s="48"/>
      <c r="AJ25" s="48"/>
      <c r="AK25" s="48"/>
      <c r="AL25" s="48"/>
      <c r="AM25" s="48"/>
      <c r="AN25" s="48"/>
      <c r="AO25" s="48" t="s">
        <v>616</v>
      </c>
      <c r="AP25" s="49" t="s">
        <v>561</v>
      </c>
      <c r="AQ25" s="49"/>
      <c r="AR25" s="49"/>
      <c r="AS25" s="51"/>
      <c r="AT25" s="49">
        <v>11.6</v>
      </c>
      <c r="AU25" s="49" t="s">
        <v>566</v>
      </c>
      <c r="AV25" s="48"/>
      <c r="AW25" s="49">
        <v>0</v>
      </c>
      <c r="AX25" s="49">
        <v>0</v>
      </c>
      <c r="AY25" s="49">
        <v>0</v>
      </c>
      <c r="AZ25" s="49">
        <v>0</v>
      </c>
      <c r="BA25" s="49">
        <v>0</v>
      </c>
      <c r="BB25" s="49">
        <v>0</v>
      </c>
      <c r="BC25" s="49">
        <v>0</v>
      </c>
      <c r="BD25" s="49">
        <v>0</v>
      </c>
      <c r="BE25" s="49">
        <v>0</v>
      </c>
      <c r="BF25" s="49">
        <v>0</v>
      </c>
      <c r="BG25" s="49">
        <v>0</v>
      </c>
      <c r="BH25" s="49">
        <v>0</v>
      </c>
      <c r="BI25" s="49"/>
      <c r="BJ25" s="49" t="s">
        <v>561</v>
      </c>
      <c r="BK25" s="49"/>
      <c r="BL25" s="49" t="s">
        <v>561</v>
      </c>
      <c r="BM25" s="49"/>
      <c r="BN25" s="49"/>
      <c r="BO25" s="49"/>
      <c r="BP25" s="49"/>
      <c r="BQ25" s="48"/>
      <c r="BR25" s="48"/>
      <c r="BS25" s="49"/>
      <c r="BT25" s="49" t="s">
        <v>567</v>
      </c>
      <c r="BU25" s="48"/>
      <c r="BV25" s="118" t="s">
        <v>617</v>
      </c>
      <c r="BW25" s="53" t="s">
        <v>90</v>
      </c>
    </row>
    <row r="26" spans="1:75" x14ac:dyDescent="0.15">
      <c r="A26" s="45">
        <v>10288</v>
      </c>
      <c r="B26" s="142">
        <v>42186</v>
      </c>
      <c r="C26" s="143" t="s">
        <v>517</v>
      </c>
      <c r="D26" s="144" t="s">
        <v>534</v>
      </c>
      <c r="E26" s="145"/>
      <c r="F26" s="48" t="s">
        <v>528</v>
      </c>
      <c r="G26" s="127">
        <v>42185</v>
      </c>
      <c r="H26" s="49" t="s">
        <v>520</v>
      </c>
      <c r="I26" s="49" t="s">
        <v>521</v>
      </c>
      <c r="J26" s="49"/>
      <c r="K26" s="48" t="s">
        <v>569</v>
      </c>
      <c r="L26" s="48" t="s">
        <v>618</v>
      </c>
      <c r="M26" s="146">
        <v>77.999999999999986</v>
      </c>
      <c r="N26" s="146">
        <v>37</v>
      </c>
      <c r="O26" s="48"/>
      <c r="P26" s="50"/>
      <c r="Q26" s="146" t="s">
        <v>540</v>
      </c>
      <c r="R26" s="50"/>
      <c r="S26" s="146" t="s">
        <v>540</v>
      </c>
      <c r="T26" s="50"/>
      <c r="U26" s="146" t="s">
        <v>540</v>
      </c>
      <c r="V26" s="48"/>
      <c r="W26" s="48"/>
      <c r="X26" s="50"/>
      <c r="Y26" s="48"/>
      <c r="Z26" s="50"/>
      <c r="AA26" s="48"/>
      <c r="AB26" s="50"/>
      <c r="AC26" s="48"/>
      <c r="AD26" s="48"/>
      <c r="AE26" s="146">
        <v>20.081818181818178</v>
      </c>
      <c r="AF26" s="146"/>
      <c r="AG26" s="146"/>
      <c r="AH26" s="48"/>
      <c r="AI26" s="48"/>
      <c r="AJ26" s="48"/>
      <c r="AK26" s="48"/>
      <c r="AL26" s="48"/>
      <c r="AM26" s="48"/>
      <c r="AN26" s="48"/>
      <c r="AO26" s="48" t="s">
        <v>529</v>
      </c>
      <c r="AP26" s="49" t="s">
        <v>521</v>
      </c>
      <c r="AQ26" s="49"/>
      <c r="AR26" s="49"/>
      <c r="AS26" s="51"/>
      <c r="AT26" s="49">
        <v>15</v>
      </c>
      <c r="AU26" s="49" t="s">
        <v>571</v>
      </c>
      <c r="AV26" s="48"/>
      <c r="AW26" s="49">
        <v>6</v>
      </c>
      <c r="AX26" s="49">
        <v>0</v>
      </c>
      <c r="AY26" s="49">
        <v>0</v>
      </c>
      <c r="AZ26" s="49">
        <v>0</v>
      </c>
      <c r="BA26" s="49">
        <v>0</v>
      </c>
      <c r="BB26" s="49">
        <v>0</v>
      </c>
      <c r="BC26" s="49">
        <v>0</v>
      </c>
      <c r="BD26" s="49">
        <v>0</v>
      </c>
      <c r="BE26" s="49">
        <v>0</v>
      </c>
      <c r="BF26" s="49">
        <v>0</v>
      </c>
      <c r="BG26" s="49">
        <v>0</v>
      </c>
      <c r="BH26" s="49">
        <v>0</v>
      </c>
      <c r="BI26" s="49"/>
      <c r="BJ26" s="49" t="s">
        <v>521</v>
      </c>
      <c r="BK26" s="49">
        <v>12</v>
      </c>
      <c r="BL26" s="49" t="s">
        <v>521</v>
      </c>
      <c r="BM26" s="49"/>
      <c r="BN26" s="49"/>
      <c r="BO26" s="49">
        <v>12</v>
      </c>
      <c r="BP26" s="49"/>
      <c r="BQ26" s="48"/>
      <c r="BR26" s="48"/>
      <c r="BS26" s="49"/>
      <c r="BT26" s="49" t="s">
        <v>557</v>
      </c>
      <c r="BU26" s="48"/>
      <c r="BV26" t="s">
        <v>619</v>
      </c>
      <c r="BW26" s="53" t="s">
        <v>527</v>
      </c>
    </row>
    <row r="27" spans="1:75" x14ac:dyDescent="0.15">
      <c r="A27" s="45">
        <v>8200</v>
      </c>
      <c r="B27" s="142">
        <v>42186</v>
      </c>
      <c r="C27" s="143" t="s">
        <v>573</v>
      </c>
      <c r="D27" s="144" t="s">
        <v>534</v>
      </c>
      <c r="E27" s="145"/>
      <c r="F27" s="48" t="s">
        <v>620</v>
      </c>
      <c r="G27" s="129">
        <v>42185</v>
      </c>
      <c r="H27" s="49" t="s">
        <v>575</v>
      </c>
      <c r="I27" s="49" t="s">
        <v>576</v>
      </c>
      <c r="J27" s="49"/>
      <c r="K27" s="48" t="s">
        <v>577</v>
      </c>
      <c r="L27" s="144" t="s">
        <v>578</v>
      </c>
      <c r="M27" s="146">
        <v>92</v>
      </c>
      <c r="N27" s="146">
        <v>32.172727272727272</v>
      </c>
      <c r="O27" s="48"/>
      <c r="P27" s="50"/>
      <c r="Q27" s="146" t="s">
        <v>540</v>
      </c>
      <c r="R27" s="50"/>
      <c r="S27" s="146" t="s">
        <v>540</v>
      </c>
      <c r="T27" s="50"/>
      <c r="U27" s="146" t="s">
        <v>540</v>
      </c>
      <c r="V27" s="48"/>
      <c r="W27" s="48"/>
      <c r="X27" s="48"/>
      <c r="Y27" s="48"/>
      <c r="Z27" s="48"/>
      <c r="AA27" s="48"/>
      <c r="AB27" s="48"/>
      <c r="AC27" s="48"/>
      <c r="AD27" s="48"/>
      <c r="AE27" s="146">
        <v>18.68181818181818</v>
      </c>
      <c r="AF27" s="146"/>
      <c r="AG27" s="146"/>
      <c r="AH27" s="48"/>
      <c r="AI27" s="48"/>
      <c r="AJ27" s="48"/>
      <c r="AK27" s="48"/>
      <c r="AL27" s="48"/>
      <c r="AM27" s="48"/>
      <c r="AN27" s="48"/>
      <c r="AO27" t="s">
        <v>621</v>
      </c>
      <c r="AP27" s="49" t="s">
        <v>576</v>
      </c>
      <c r="AQ27" s="49"/>
      <c r="AR27" s="49"/>
      <c r="AS27" s="51"/>
      <c r="AT27" s="49">
        <v>16</v>
      </c>
      <c r="AU27" s="125" t="s">
        <v>495</v>
      </c>
      <c r="AV27" s="48"/>
      <c r="AW27" s="49">
        <v>0</v>
      </c>
      <c r="AX27" s="49">
        <v>0</v>
      </c>
      <c r="AY27" s="49">
        <v>0</v>
      </c>
      <c r="AZ27" s="49">
        <v>0</v>
      </c>
      <c r="BA27" s="49">
        <v>0</v>
      </c>
      <c r="BB27" s="49">
        <v>0</v>
      </c>
      <c r="BC27" s="49">
        <v>0</v>
      </c>
      <c r="BD27" s="49">
        <v>0</v>
      </c>
      <c r="BE27" s="49">
        <v>0</v>
      </c>
      <c r="BF27" s="49">
        <v>0</v>
      </c>
      <c r="BG27" s="49">
        <v>0</v>
      </c>
      <c r="BH27" s="49">
        <v>0</v>
      </c>
      <c r="BI27" s="49"/>
      <c r="BJ27" s="49" t="s">
        <v>576</v>
      </c>
      <c r="BK27" s="49"/>
      <c r="BL27" s="49" t="s">
        <v>576</v>
      </c>
      <c r="BM27" s="49"/>
      <c r="BN27" s="49"/>
      <c r="BO27" s="49"/>
      <c r="BP27" s="49"/>
      <c r="BQ27" s="48" t="s">
        <v>580</v>
      </c>
      <c r="BR27" s="48" t="s">
        <v>50</v>
      </c>
      <c r="BS27" s="49">
        <v>50</v>
      </c>
      <c r="BT27" s="49" t="s">
        <v>581</v>
      </c>
      <c r="BU27" s="52" t="s">
        <v>582</v>
      </c>
      <c r="BV27" s="149" t="s">
        <v>622</v>
      </c>
      <c r="BW27" s="53" t="s">
        <v>90</v>
      </c>
    </row>
    <row r="28" spans="1:75" x14ac:dyDescent="0.15">
      <c r="A28" s="45">
        <v>987</v>
      </c>
      <c r="B28" s="142">
        <v>42187</v>
      </c>
      <c r="C28" s="143" t="s">
        <v>9</v>
      </c>
      <c r="D28" s="144" t="s">
        <v>534</v>
      </c>
      <c r="E28" s="145"/>
      <c r="F28" s="48" t="s">
        <v>11</v>
      </c>
      <c r="G28" s="127">
        <v>42185</v>
      </c>
      <c r="H28" s="49" t="s">
        <v>3</v>
      </c>
      <c r="I28" s="49" t="s">
        <v>4</v>
      </c>
      <c r="J28" s="49"/>
      <c r="K28" s="48" t="s">
        <v>57</v>
      </c>
      <c r="L28" s="48" t="s">
        <v>584</v>
      </c>
      <c r="M28" s="146">
        <v>102.73</v>
      </c>
      <c r="N28" s="146">
        <v>30.16</v>
      </c>
      <c r="O28" s="48"/>
      <c r="P28" s="50"/>
      <c r="Q28" s="146"/>
      <c r="R28" s="50"/>
      <c r="S28" s="146"/>
      <c r="T28" s="50"/>
      <c r="U28" s="146"/>
      <c r="V28" s="48"/>
      <c r="W28" s="48"/>
      <c r="X28" s="48"/>
      <c r="Y28" s="48"/>
      <c r="Z28" s="48"/>
      <c r="AA28" s="48"/>
      <c r="AB28" s="48"/>
      <c r="AC28" s="48"/>
      <c r="AD28" s="48"/>
      <c r="AE28" s="146">
        <v>18.77</v>
      </c>
      <c r="AF28" s="146"/>
      <c r="AG28" s="146"/>
      <c r="AH28" s="48"/>
      <c r="AI28" s="48"/>
      <c r="AJ28" s="48"/>
      <c r="AK28" s="48"/>
      <c r="AL28" s="48"/>
      <c r="AM28" s="48"/>
      <c r="AN28" s="48"/>
      <c r="AO28" s="48" t="s">
        <v>12</v>
      </c>
      <c r="AP28" s="49" t="s">
        <v>4</v>
      </c>
      <c r="AQ28" s="49"/>
      <c r="AR28" s="49"/>
      <c r="AS28" s="51"/>
      <c r="AT28" s="49">
        <v>0</v>
      </c>
      <c r="AU28" s="49" t="s">
        <v>4</v>
      </c>
      <c r="AV28" s="48"/>
      <c r="AW28" s="49">
        <v>0</v>
      </c>
      <c r="AX28" s="49">
        <v>0</v>
      </c>
      <c r="AY28" s="49">
        <v>0</v>
      </c>
      <c r="AZ28" s="49">
        <v>0</v>
      </c>
      <c r="BA28" s="49">
        <v>0</v>
      </c>
      <c r="BB28" s="49">
        <v>0</v>
      </c>
      <c r="BC28" s="49">
        <v>0</v>
      </c>
      <c r="BD28" s="49">
        <v>0</v>
      </c>
      <c r="BE28" s="49">
        <v>0</v>
      </c>
      <c r="BF28" s="49">
        <v>0</v>
      </c>
      <c r="BG28" s="49">
        <v>0</v>
      </c>
      <c r="BH28" s="49">
        <v>0</v>
      </c>
      <c r="BI28" s="49"/>
      <c r="BJ28" s="49" t="s">
        <v>4</v>
      </c>
      <c r="BK28" s="49"/>
      <c r="BL28" s="49" t="s">
        <v>4</v>
      </c>
      <c r="BM28" s="49"/>
      <c r="BN28" s="49"/>
      <c r="BO28" s="49"/>
      <c r="BP28" s="49"/>
      <c r="BQ28" s="48"/>
      <c r="BR28" s="48"/>
      <c r="BS28" s="49"/>
      <c r="BT28" s="49" t="s">
        <v>6</v>
      </c>
      <c r="BU28" s="48"/>
      <c r="BV28" s="118" t="s">
        <v>79</v>
      </c>
      <c r="BW28" s="124" t="s">
        <v>90</v>
      </c>
    </row>
    <row r="29" spans="1:75" x14ac:dyDescent="0.15">
      <c r="A29" s="45">
        <v>10576</v>
      </c>
      <c r="B29" s="142">
        <v>42186</v>
      </c>
      <c r="C29" s="143" t="s">
        <v>533</v>
      </c>
      <c r="D29" s="144" t="s">
        <v>534</v>
      </c>
      <c r="E29" s="145"/>
      <c r="F29" s="48" t="s">
        <v>612</v>
      </c>
      <c r="G29" s="129">
        <v>42185</v>
      </c>
      <c r="H29" s="49" t="s">
        <v>536</v>
      </c>
      <c r="I29" s="49" t="s">
        <v>537</v>
      </c>
      <c r="J29" s="49"/>
      <c r="K29" s="48" t="s">
        <v>585</v>
      </c>
      <c r="L29" s="48" t="s">
        <v>586</v>
      </c>
      <c r="M29" s="146">
        <v>82.554545454545448</v>
      </c>
      <c r="N29" s="146">
        <v>36.581818181818178</v>
      </c>
      <c r="O29" s="48" t="s">
        <v>546</v>
      </c>
      <c r="P29" s="50">
        <v>1000</v>
      </c>
      <c r="Q29" s="146">
        <v>39.036363636363632</v>
      </c>
      <c r="R29" s="50">
        <v>1000</v>
      </c>
      <c r="S29" s="146">
        <v>39.036363636363632</v>
      </c>
      <c r="T29" s="50">
        <v>1000</v>
      </c>
      <c r="U29" s="146">
        <v>39.036363636363632</v>
      </c>
      <c r="V29" s="48"/>
      <c r="W29" s="48"/>
      <c r="X29" s="48"/>
      <c r="Y29" s="48"/>
      <c r="Z29" s="50"/>
      <c r="AA29" s="48"/>
      <c r="AB29" s="50"/>
      <c r="AC29" s="48"/>
      <c r="AD29" s="48"/>
      <c r="AE29" s="146">
        <v>19.854545454545452</v>
      </c>
      <c r="AF29" s="146"/>
      <c r="AG29" s="146"/>
      <c r="AH29" s="48"/>
      <c r="AI29" s="48"/>
      <c r="AJ29" s="48"/>
      <c r="AK29" s="48"/>
      <c r="AL29" s="48"/>
      <c r="AM29" s="48"/>
      <c r="AN29" s="48"/>
      <c r="AO29" s="48" t="s">
        <v>613</v>
      </c>
      <c r="AP29" s="49" t="s">
        <v>537</v>
      </c>
      <c r="AQ29" s="49"/>
      <c r="AR29" s="49"/>
      <c r="AS29" s="51"/>
      <c r="AT29" s="49">
        <v>10</v>
      </c>
      <c r="AU29" s="49" t="s">
        <v>542</v>
      </c>
      <c r="AV29" s="48"/>
      <c r="AW29" s="49">
        <v>12</v>
      </c>
      <c r="AX29" s="49">
        <v>0</v>
      </c>
      <c r="AY29" s="49">
        <v>0</v>
      </c>
      <c r="AZ29" s="49">
        <v>0</v>
      </c>
      <c r="BA29" s="49">
        <v>0</v>
      </c>
      <c r="BB29" s="49">
        <v>0</v>
      </c>
      <c r="BC29" s="49">
        <v>0</v>
      </c>
      <c r="BD29" s="49">
        <v>0</v>
      </c>
      <c r="BE29" s="49">
        <v>0</v>
      </c>
      <c r="BF29" s="49">
        <v>0</v>
      </c>
      <c r="BG29" s="49">
        <v>0</v>
      </c>
      <c r="BH29" s="49">
        <v>0</v>
      </c>
      <c r="BI29" s="49"/>
      <c r="BJ29" s="49" t="s">
        <v>537</v>
      </c>
      <c r="BK29" s="49">
        <v>12</v>
      </c>
      <c r="BL29" s="49" t="s">
        <v>537</v>
      </c>
      <c r="BM29" s="49"/>
      <c r="BN29" s="49"/>
      <c r="BO29" s="49"/>
      <c r="BP29" s="49"/>
      <c r="BQ29" s="52"/>
      <c r="BR29" s="52"/>
      <c r="BS29" s="49"/>
      <c r="BT29" s="49" t="s">
        <v>543</v>
      </c>
      <c r="BU29" s="153"/>
      <c r="BV29" s="118" t="s">
        <v>79</v>
      </c>
      <c r="BW29" s="118" t="s">
        <v>527</v>
      </c>
    </row>
    <row r="30" spans="1:75" x14ac:dyDescent="0.15">
      <c r="A30" s="45">
        <v>10361</v>
      </c>
      <c r="B30" s="142">
        <v>42187</v>
      </c>
      <c r="C30" s="143" t="s">
        <v>517</v>
      </c>
      <c r="D30" s="144" t="s">
        <v>534</v>
      </c>
      <c r="E30" s="145"/>
      <c r="F30" s="48" t="s">
        <v>528</v>
      </c>
      <c r="G30" s="127">
        <v>42185</v>
      </c>
      <c r="H30" s="49" t="s">
        <v>520</v>
      </c>
      <c r="I30" s="49" t="s">
        <v>521</v>
      </c>
      <c r="J30" s="49"/>
      <c r="K30" s="48" t="s">
        <v>587</v>
      </c>
      <c r="L30" s="48" t="s">
        <v>588</v>
      </c>
      <c r="M30" s="146">
        <v>80.999999999999986</v>
      </c>
      <c r="N30" s="146">
        <v>36.709090909090911</v>
      </c>
      <c r="O30" s="48"/>
      <c r="P30" s="50"/>
      <c r="Q30" s="146" t="s">
        <v>540</v>
      </c>
      <c r="R30" s="50"/>
      <c r="S30" s="146" t="s">
        <v>540</v>
      </c>
      <c r="T30" s="50"/>
      <c r="U30" s="146" t="s">
        <v>540</v>
      </c>
      <c r="V30" s="48"/>
      <c r="W30" s="48"/>
      <c r="X30" s="48"/>
      <c r="Y30" s="48"/>
      <c r="Z30" s="50"/>
      <c r="AA30" s="48"/>
      <c r="AB30" s="50"/>
      <c r="AC30" s="48"/>
      <c r="AD30" s="48"/>
      <c r="AE30" s="146">
        <v>20.109090909090909</v>
      </c>
      <c r="AF30" s="146"/>
      <c r="AG30" s="146"/>
      <c r="AH30" s="48"/>
      <c r="AI30" s="48"/>
      <c r="AJ30" s="48"/>
      <c r="AK30" s="48"/>
      <c r="AL30" s="48"/>
      <c r="AM30" s="48"/>
      <c r="AN30" s="48"/>
      <c r="AO30" s="48" t="s">
        <v>529</v>
      </c>
      <c r="AP30" s="49" t="s">
        <v>521</v>
      </c>
      <c r="AQ30" s="49"/>
      <c r="AR30" s="49"/>
      <c r="AS30" s="51"/>
      <c r="AT30" s="49">
        <v>16.3</v>
      </c>
      <c r="AU30" s="49" t="s">
        <v>571</v>
      </c>
      <c r="AV30" s="48"/>
      <c r="AW30" s="49">
        <v>12</v>
      </c>
      <c r="AX30" s="49">
        <v>0</v>
      </c>
      <c r="AY30" s="49">
        <v>0</v>
      </c>
      <c r="AZ30" s="49">
        <v>0</v>
      </c>
      <c r="BA30" s="49">
        <v>0</v>
      </c>
      <c r="BB30" s="49">
        <v>0</v>
      </c>
      <c r="BC30" s="49">
        <v>0</v>
      </c>
      <c r="BD30" s="49">
        <v>0</v>
      </c>
      <c r="BE30" s="49">
        <v>0</v>
      </c>
      <c r="BF30" s="49">
        <v>0</v>
      </c>
      <c r="BG30" s="49">
        <v>0</v>
      </c>
      <c r="BH30" s="49">
        <v>0</v>
      </c>
      <c r="BI30" s="49"/>
      <c r="BJ30" s="49" t="s">
        <v>521</v>
      </c>
      <c r="BK30" s="49">
        <v>24</v>
      </c>
      <c r="BL30" s="49" t="s">
        <v>521</v>
      </c>
      <c r="BM30" s="49"/>
      <c r="BN30" s="49"/>
      <c r="BO30" s="49"/>
      <c r="BP30" s="49"/>
      <c r="BQ30" s="48"/>
      <c r="BR30" s="48"/>
      <c r="BS30" s="49"/>
      <c r="BT30" s="49" t="s">
        <v>557</v>
      </c>
      <c r="BU30" s="144" t="s">
        <v>589</v>
      </c>
      <c r="BV30" s="149" t="s">
        <v>623</v>
      </c>
      <c r="BW30" t="s">
        <v>527</v>
      </c>
    </row>
    <row r="31" spans="1:75" x14ac:dyDescent="0.15">
      <c r="A31" s="45">
        <v>1014</v>
      </c>
      <c r="B31" s="142">
        <v>42187</v>
      </c>
      <c r="C31" s="143" t="s">
        <v>558</v>
      </c>
      <c r="D31" s="144" t="s">
        <v>534</v>
      </c>
      <c r="E31" s="145"/>
      <c r="F31" s="48" t="s">
        <v>615</v>
      </c>
      <c r="G31" s="129">
        <v>42185</v>
      </c>
      <c r="H31" s="49" t="s">
        <v>560</v>
      </c>
      <c r="I31" s="49" t="s">
        <v>561</v>
      </c>
      <c r="J31" s="49"/>
      <c r="K31" s="48" t="s">
        <v>591</v>
      </c>
      <c r="L31" s="48" t="s">
        <v>592</v>
      </c>
      <c r="M31" s="146">
        <v>99.999999999999986</v>
      </c>
      <c r="N31" s="146">
        <v>34.972727272727269</v>
      </c>
      <c r="O31" s="48"/>
      <c r="P31" s="50"/>
      <c r="Q31" s="146"/>
      <c r="R31" s="50"/>
      <c r="S31" s="146"/>
      <c r="T31" s="50"/>
      <c r="U31" s="146"/>
      <c r="V31" s="48"/>
      <c r="W31" s="48"/>
      <c r="X31" s="50"/>
      <c r="Y31" s="48"/>
      <c r="Z31" s="50"/>
      <c r="AA31" s="48"/>
      <c r="AB31" s="50"/>
      <c r="AC31" s="48"/>
      <c r="AD31" s="48"/>
      <c r="AE31" s="146">
        <v>20.299999999999997</v>
      </c>
      <c r="AF31" s="146"/>
      <c r="AG31" s="146"/>
      <c r="AH31" s="48"/>
      <c r="AI31" s="48"/>
      <c r="AJ31" s="48"/>
      <c r="AK31" s="48"/>
      <c r="AL31" s="48"/>
      <c r="AM31" s="48"/>
      <c r="AN31" s="48"/>
      <c r="AO31" s="48" t="s">
        <v>616</v>
      </c>
      <c r="AP31" s="49" t="s">
        <v>561</v>
      </c>
      <c r="AQ31" s="49"/>
      <c r="AR31" s="49"/>
      <c r="AS31" s="51"/>
      <c r="AT31" s="49">
        <v>16</v>
      </c>
      <c r="AU31" s="49" t="s">
        <v>566</v>
      </c>
      <c r="AV31" s="48"/>
      <c r="AW31" s="49">
        <v>0</v>
      </c>
      <c r="AX31" s="49">
        <v>0</v>
      </c>
      <c r="AY31" s="49">
        <v>10</v>
      </c>
      <c r="AZ31" s="49">
        <v>0</v>
      </c>
      <c r="BA31" s="49">
        <v>0</v>
      </c>
      <c r="BB31" s="49">
        <v>0</v>
      </c>
      <c r="BC31" s="49">
        <v>0</v>
      </c>
      <c r="BD31" s="49">
        <v>0</v>
      </c>
      <c r="BE31" s="49">
        <v>0</v>
      </c>
      <c r="BF31" s="49">
        <v>0</v>
      </c>
      <c r="BG31" s="49">
        <v>0</v>
      </c>
      <c r="BH31" s="49">
        <v>0</v>
      </c>
      <c r="BI31" s="49"/>
      <c r="BJ31" s="49" t="s">
        <v>561</v>
      </c>
      <c r="BK31" s="49"/>
      <c r="BL31" s="49" t="s">
        <v>561</v>
      </c>
      <c r="BM31" s="49"/>
      <c r="BN31" s="49"/>
      <c r="BO31" s="49"/>
      <c r="BP31" s="49"/>
      <c r="BQ31" s="48"/>
      <c r="BR31" s="48"/>
      <c r="BS31" s="49"/>
      <c r="BT31" s="49" t="s">
        <v>567</v>
      </c>
      <c r="BU31" s="48"/>
      <c r="BV31" s="149" t="s">
        <v>624</v>
      </c>
      <c r="BW31" s="118" t="s">
        <v>90</v>
      </c>
    </row>
    <row r="32" spans="1:75" x14ac:dyDescent="0.15">
      <c r="A32" s="45">
        <v>10317</v>
      </c>
      <c r="B32" s="123">
        <v>42187</v>
      </c>
      <c r="C32" s="143" t="s">
        <v>558</v>
      </c>
      <c r="D32" s="144" t="s">
        <v>534</v>
      </c>
      <c r="E32" s="145"/>
      <c r="F32" s="48" t="s">
        <v>615</v>
      </c>
      <c r="G32" s="46">
        <v>41915</v>
      </c>
      <c r="H32" s="49" t="s">
        <v>560</v>
      </c>
      <c r="I32" s="49" t="s">
        <v>508</v>
      </c>
      <c r="J32" s="49"/>
      <c r="K32" s="48" t="s">
        <v>594</v>
      </c>
      <c r="L32" s="48" t="s">
        <v>631</v>
      </c>
      <c r="M32" s="146">
        <v>74</v>
      </c>
      <c r="N32" s="146">
        <v>29.990909090909092</v>
      </c>
      <c r="O32" s="48"/>
      <c r="P32" s="50"/>
      <c r="Q32" s="146"/>
      <c r="R32" s="50" t="s">
        <v>540</v>
      </c>
      <c r="S32" s="146" t="s">
        <v>540</v>
      </c>
      <c r="T32" s="48"/>
      <c r="U32" s="146" t="s">
        <v>540</v>
      </c>
      <c r="V32" s="146" t="s">
        <v>540</v>
      </c>
      <c r="W32" s="146" t="s">
        <v>540</v>
      </c>
      <c r="X32" s="146"/>
      <c r="Y32" s="146"/>
      <c r="Z32" s="146"/>
      <c r="AA32" s="146"/>
      <c r="AB32" s="146"/>
      <c r="AC32" s="146"/>
      <c r="AD32" s="146" t="s">
        <v>540</v>
      </c>
      <c r="AE32" s="146">
        <v>23.990909090909089</v>
      </c>
      <c r="AF32" s="146"/>
      <c r="AG32" s="146"/>
      <c r="AH32" s="146" t="s">
        <v>540</v>
      </c>
      <c r="AI32" s="146"/>
      <c r="AJ32" s="146"/>
      <c r="AK32" s="146" t="s">
        <v>540</v>
      </c>
      <c r="AL32" s="48"/>
      <c r="AM32" s="146" t="s">
        <v>540</v>
      </c>
      <c r="AN32" s="146" t="s">
        <v>540</v>
      </c>
      <c r="AO32" s="48" t="s">
        <v>616</v>
      </c>
      <c r="AP32" s="49" t="s">
        <v>561</v>
      </c>
      <c r="AQ32" s="49"/>
      <c r="AR32" s="49"/>
      <c r="AS32" s="51"/>
      <c r="AT32" s="49">
        <v>16</v>
      </c>
      <c r="AU32" s="49" t="s">
        <v>566</v>
      </c>
      <c r="AV32" s="48"/>
      <c r="AW32" s="49">
        <v>0</v>
      </c>
      <c r="AX32" s="49">
        <v>0</v>
      </c>
      <c r="AY32" s="49">
        <v>0</v>
      </c>
      <c r="AZ32" s="49">
        <v>0</v>
      </c>
      <c r="BA32" s="49">
        <v>0</v>
      </c>
      <c r="BB32" s="49">
        <v>0</v>
      </c>
      <c r="BC32" s="49">
        <v>0</v>
      </c>
      <c r="BD32" s="49">
        <v>0</v>
      </c>
      <c r="BE32" s="49">
        <v>0</v>
      </c>
      <c r="BF32" s="49">
        <v>0</v>
      </c>
      <c r="BG32" s="49">
        <v>0</v>
      </c>
      <c r="BH32" s="49">
        <v>0</v>
      </c>
      <c r="BI32" s="49"/>
      <c r="BJ32" s="49" t="s">
        <v>561</v>
      </c>
      <c r="BK32" s="49"/>
      <c r="BL32" s="49" t="s">
        <v>561</v>
      </c>
      <c r="BM32" s="49">
        <v>212.7</v>
      </c>
      <c r="BN32" s="49"/>
      <c r="BO32" s="49"/>
      <c r="BP32" s="49"/>
      <c r="BQ32" s="48"/>
      <c r="BR32" s="48"/>
      <c r="BS32" s="49"/>
      <c r="BT32" s="49" t="s">
        <v>567</v>
      </c>
      <c r="BU32" s="48" t="s">
        <v>589</v>
      </c>
      <c r="BV32" s="149" t="s">
        <v>632</v>
      </c>
      <c r="BW32" s="53" t="s">
        <v>527</v>
      </c>
    </row>
    <row r="33" spans="1:75" x14ac:dyDescent="0.15">
      <c r="A33" s="45">
        <v>10484</v>
      </c>
      <c r="B33" s="142">
        <v>42186</v>
      </c>
      <c r="C33" s="143" t="s">
        <v>573</v>
      </c>
      <c r="D33" s="144" t="s">
        <v>534</v>
      </c>
      <c r="E33" s="145"/>
      <c r="F33" s="48" t="s">
        <v>620</v>
      </c>
      <c r="G33" s="127">
        <v>42185</v>
      </c>
      <c r="H33" s="49" t="s">
        <v>560</v>
      </c>
      <c r="I33" s="49" t="s">
        <v>561</v>
      </c>
      <c r="J33" s="49"/>
      <c r="K33" s="48" t="s">
        <v>595</v>
      </c>
      <c r="L33" s="48" t="s">
        <v>596</v>
      </c>
      <c r="M33" s="146">
        <v>87.172727272727272</v>
      </c>
      <c r="N33" s="146">
        <v>36.163636363636364</v>
      </c>
      <c r="O33" s="48"/>
      <c r="P33" s="50"/>
      <c r="Q33" s="146"/>
      <c r="R33" s="50"/>
      <c r="S33" s="146"/>
      <c r="T33" s="50"/>
      <c r="U33" s="146"/>
      <c r="V33" s="48"/>
      <c r="W33" s="48"/>
      <c r="X33" s="48"/>
      <c r="Y33" s="48"/>
      <c r="Z33" s="48"/>
      <c r="AA33" s="48"/>
      <c r="AB33" s="48"/>
      <c r="AC33" s="48"/>
      <c r="AD33" s="48"/>
      <c r="AE33" s="146">
        <v>20.172727272727272</v>
      </c>
      <c r="AF33" s="146"/>
      <c r="AG33" s="146"/>
      <c r="AH33" s="48"/>
      <c r="AI33" s="48"/>
      <c r="AJ33" s="48"/>
      <c r="AK33" s="48"/>
      <c r="AL33" s="48"/>
      <c r="AM33" s="48"/>
      <c r="AN33" s="48"/>
      <c r="AO33" s="48" t="s">
        <v>621</v>
      </c>
      <c r="AP33" s="49" t="s">
        <v>576</v>
      </c>
      <c r="AQ33" s="49"/>
      <c r="AR33" s="49"/>
      <c r="AS33" s="51"/>
      <c r="AT33" s="49">
        <v>15</v>
      </c>
      <c r="AU33" s="49" t="s">
        <v>561</v>
      </c>
      <c r="AV33" s="48"/>
      <c r="AW33" s="49">
        <v>0</v>
      </c>
      <c r="AX33" s="49">
        <v>0</v>
      </c>
      <c r="AY33" s="49">
        <v>0</v>
      </c>
      <c r="AZ33" s="49">
        <v>0</v>
      </c>
      <c r="BA33" s="49">
        <v>0</v>
      </c>
      <c r="BB33" s="49">
        <v>0</v>
      </c>
      <c r="BC33" s="49">
        <v>0</v>
      </c>
      <c r="BD33" s="49">
        <v>0</v>
      </c>
      <c r="BE33" s="49">
        <v>0</v>
      </c>
      <c r="BF33" s="49">
        <v>0</v>
      </c>
      <c r="BG33" s="49">
        <v>0</v>
      </c>
      <c r="BH33" s="49">
        <v>0</v>
      </c>
      <c r="BI33" s="49"/>
      <c r="BJ33" s="49" t="s">
        <v>561</v>
      </c>
      <c r="BK33" s="49"/>
      <c r="BL33" s="49" t="s">
        <v>561</v>
      </c>
      <c r="BM33" s="49"/>
      <c r="BN33" s="49"/>
      <c r="BO33" s="49"/>
      <c r="BP33" s="49"/>
      <c r="BQ33" s="48" t="s">
        <v>597</v>
      </c>
      <c r="BR33" s="48" t="s">
        <v>598</v>
      </c>
      <c r="BS33" s="49">
        <v>30</v>
      </c>
      <c r="BT33" s="49" t="s">
        <v>567</v>
      </c>
      <c r="BU33" s="48"/>
      <c r="BV33" t="s">
        <v>599</v>
      </c>
      <c r="BW33" s="118" t="s">
        <v>527</v>
      </c>
    </row>
    <row r="34" spans="1:75" x14ac:dyDescent="0.15">
      <c r="A34" s="45">
        <v>9709</v>
      </c>
      <c r="B34" s="123">
        <v>42185</v>
      </c>
      <c r="C34" s="143" t="s">
        <v>533</v>
      </c>
      <c r="D34" s="144" t="s">
        <v>534</v>
      </c>
      <c r="E34" s="145"/>
      <c r="F34" s="48" t="s">
        <v>612</v>
      </c>
      <c r="G34" s="46">
        <v>42020</v>
      </c>
      <c r="H34" s="125" t="s">
        <v>507</v>
      </c>
      <c r="I34" s="125" t="s">
        <v>508</v>
      </c>
      <c r="J34" s="49"/>
      <c r="K34" s="48" t="s">
        <v>452</v>
      </c>
      <c r="L34" s="144" t="s">
        <v>626</v>
      </c>
      <c r="M34" s="146">
        <v>72</v>
      </c>
      <c r="N34" s="146">
        <v>38</v>
      </c>
      <c r="O34" s="48" t="s">
        <v>546</v>
      </c>
      <c r="P34" s="50">
        <v>1000</v>
      </c>
      <c r="Q34" s="146">
        <v>40</v>
      </c>
      <c r="R34" s="50">
        <v>1000</v>
      </c>
      <c r="S34" s="146">
        <v>40</v>
      </c>
      <c r="T34" s="50">
        <v>1000</v>
      </c>
      <c r="U34" s="146">
        <v>40</v>
      </c>
      <c r="V34" s="146" t="s">
        <v>540</v>
      </c>
      <c r="W34" s="146" t="s">
        <v>540</v>
      </c>
      <c r="X34" s="146"/>
      <c r="Y34" s="146"/>
      <c r="Z34" s="146"/>
      <c r="AA34" s="146"/>
      <c r="AB34" s="146"/>
      <c r="AC34" s="146"/>
      <c r="AD34" s="146" t="s">
        <v>540</v>
      </c>
      <c r="AE34" s="146">
        <v>31</v>
      </c>
      <c r="AF34" s="146"/>
      <c r="AG34" s="146"/>
      <c r="AH34" s="146" t="s">
        <v>540</v>
      </c>
      <c r="AI34" s="146"/>
      <c r="AJ34" s="146"/>
      <c r="AK34" s="146" t="s">
        <v>540</v>
      </c>
      <c r="AL34" s="48"/>
      <c r="AM34" s="146" t="s">
        <v>540</v>
      </c>
      <c r="AN34" s="146" t="s">
        <v>540</v>
      </c>
      <c r="AO34" s="48" t="s">
        <v>613</v>
      </c>
      <c r="AP34" s="49" t="s">
        <v>537</v>
      </c>
      <c r="AQ34" s="49"/>
      <c r="AR34" s="49"/>
      <c r="AS34" s="51"/>
      <c r="AT34" s="49">
        <v>22</v>
      </c>
      <c r="AU34" s="49" t="s">
        <v>537</v>
      </c>
      <c r="AV34" s="48"/>
      <c r="AW34" s="49">
        <v>0</v>
      </c>
      <c r="AX34" s="49">
        <v>0</v>
      </c>
      <c r="AY34" s="49">
        <v>0</v>
      </c>
      <c r="AZ34" s="49">
        <v>0</v>
      </c>
      <c r="BA34" s="49">
        <v>0</v>
      </c>
      <c r="BB34" s="49">
        <v>0</v>
      </c>
      <c r="BC34" s="49">
        <v>0</v>
      </c>
      <c r="BD34" s="49">
        <v>0</v>
      </c>
      <c r="BE34" s="49">
        <v>0</v>
      </c>
      <c r="BF34" s="49">
        <v>0</v>
      </c>
      <c r="BG34" s="49">
        <v>0</v>
      </c>
      <c r="BH34" s="49">
        <v>0</v>
      </c>
      <c r="BI34" s="49"/>
      <c r="BJ34" s="49" t="s">
        <v>537</v>
      </c>
      <c r="BK34" s="49"/>
      <c r="BL34" s="49" t="s">
        <v>537</v>
      </c>
      <c r="BM34" s="49"/>
      <c r="BN34" s="49"/>
      <c r="BO34" s="49"/>
      <c r="BP34" s="49"/>
      <c r="BQ34" s="52"/>
      <c r="BR34" s="48"/>
      <c r="BS34" s="49"/>
      <c r="BT34" s="49" t="s">
        <v>543</v>
      </c>
      <c r="BU34" s="48" t="s">
        <v>510</v>
      </c>
      <c r="BV34" t="s">
        <v>625</v>
      </c>
      <c r="BW34" s="118" t="s">
        <v>56</v>
      </c>
    </row>
    <row r="35" spans="1:75" x14ac:dyDescent="0.15">
      <c r="A35" s="45">
        <v>10702</v>
      </c>
      <c r="B35" s="142">
        <v>42186</v>
      </c>
      <c r="C35" s="143" t="s">
        <v>573</v>
      </c>
      <c r="D35" s="144" t="s">
        <v>534</v>
      </c>
      <c r="E35" s="145"/>
      <c r="F35" s="48" t="s">
        <v>620</v>
      </c>
      <c r="G35" s="127">
        <v>42185</v>
      </c>
      <c r="H35" s="49" t="s">
        <v>575</v>
      </c>
      <c r="I35" s="49" t="s">
        <v>576</v>
      </c>
      <c r="J35" s="49"/>
      <c r="K35" s="144" t="s">
        <v>600</v>
      </c>
      <c r="L35" s="144" t="s">
        <v>601</v>
      </c>
      <c r="M35" s="146">
        <v>108.29</v>
      </c>
      <c r="N35" s="146">
        <v>34.18181818181818</v>
      </c>
      <c r="O35" s="48"/>
      <c r="P35" s="50"/>
      <c r="Q35" s="146" t="s">
        <v>540</v>
      </c>
      <c r="R35" s="50"/>
      <c r="S35" s="146" t="s">
        <v>540</v>
      </c>
      <c r="T35" s="50"/>
      <c r="U35" s="146" t="s">
        <v>540</v>
      </c>
      <c r="V35" s="48"/>
      <c r="W35" s="48"/>
      <c r="X35" s="50"/>
      <c r="Y35" s="48"/>
      <c r="Z35" s="50"/>
      <c r="AA35" s="48"/>
      <c r="AB35" s="50"/>
      <c r="AC35" s="48"/>
      <c r="AD35" s="48"/>
      <c r="AE35" s="146">
        <v>20.454545454545453</v>
      </c>
      <c r="AF35" s="146"/>
      <c r="AG35" s="146"/>
      <c r="AH35" s="48"/>
      <c r="AI35" s="48"/>
      <c r="AJ35" s="48"/>
      <c r="AK35" s="48"/>
      <c r="AL35" s="48"/>
      <c r="AM35" s="48"/>
      <c r="AN35" s="48"/>
      <c r="AO35" s="48" t="s">
        <v>621</v>
      </c>
      <c r="AP35" s="49" t="s">
        <v>576</v>
      </c>
      <c r="AQ35" s="49"/>
      <c r="AR35" s="49"/>
      <c r="AS35" s="51"/>
      <c r="AT35" s="49">
        <v>10.199999999999999</v>
      </c>
      <c r="AU35" s="49" t="s">
        <v>602</v>
      </c>
      <c r="AV35" s="48"/>
      <c r="AW35" s="49">
        <v>0</v>
      </c>
      <c r="AX35" s="49">
        <v>0</v>
      </c>
      <c r="AY35" s="49">
        <v>15</v>
      </c>
      <c r="AZ35" s="49">
        <v>0</v>
      </c>
      <c r="BA35" s="49">
        <v>0</v>
      </c>
      <c r="BB35" s="49">
        <v>0</v>
      </c>
      <c r="BC35" s="49">
        <v>0</v>
      </c>
      <c r="BD35" s="49">
        <v>0</v>
      </c>
      <c r="BE35" s="49">
        <v>0</v>
      </c>
      <c r="BF35" s="49">
        <v>0</v>
      </c>
      <c r="BG35" s="49">
        <v>0</v>
      </c>
      <c r="BH35" s="49">
        <v>0</v>
      </c>
      <c r="BI35" s="49"/>
      <c r="BJ35" s="49" t="s">
        <v>576</v>
      </c>
      <c r="BK35" s="49"/>
      <c r="BL35" s="49" t="s">
        <v>576</v>
      </c>
      <c r="BM35" s="49"/>
      <c r="BN35" s="49"/>
      <c r="BO35" s="49"/>
      <c r="BP35" s="49"/>
      <c r="BQ35" s="52"/>
      <c r="BR35" s="52"/>
      <c r="BS35" s="49"/>
      <c r="BT35" s="49" t="s">
        <v>581</v>
      </c>
      <c r="BU35" s="144" t="s">
        <v>603</v>
      </c>
      <c r="BV35" s="149" t="s">
        <v>604</v>
      </c>
      <c r="BW35" t="s">
        <v>527</v>
      </c>
    </row>
  </sheetData>
  <sheetProtection algorithmName="SHA-512" hashValue="8PinwMKVdArET6pmYub19U/daWWOOvjV6KgHzOXZQ/k13MIG+zdQhDvKmoKnjPqE58QFPTGNo1q8nMi0EM1oSQ==" saltValue="j5+LBD9JWFa+CQVudnjchw==" spinCount="100000" sheet="1" objects="1" scenarios="1"/>
  <hyperlinks>
    <hyperlink ref="BV12" r:id="rId1" xr:uid="{E1C1311F-2790-0F47-A037-46ACAAEC9A0F}"/>
    <hyperlink ref="BV13" r:id="rId2" xr:uid="{B153BB1D-BA9B-4E4F-966E-3B2E2B02E29C}"/>
    <hyperlink ref="BV5" r:id="rId3" xr:uid="{816469B9-6A61-514C-BF9C-538094CE4764}"/>
    <hyperlink ref="BV9" r:id="rId4" xr:uid="{94D019F8-48FE-484D-B249-556D3150665A}"/>
    <hyperlink ref="BV17" r:id="rId5" xr:uid="{D6126AFD-FAC2-BE4F-991F-A4DD7A88B2B7}"/>
    <hyperlink ref="BV30" r:id="rId6" xr:uid="{C5682634-ECC5-4044-B98B-B14B669D6C36}"/>
    <hyperlink ref="BV31" r:id="rId7" xr:uid="{64215C03-60ED-B94B-A737-B78D79C23D77}"/>
    <hyperlink ref="BV23" r:id="rId8" xr:uid="{6DE89721-136D-A440-9310-0D9A29D9B0EF}"/>
    <hyperlink ref="BV27" r:id="rId9" xr:uid="{22663AD6-3C69-9E45-8309-7E8CCCC7FB1B}"/>
    <hyperlink ref="BV35" r:id="rId10" xr:uid="{CB879FE9-6BA4-F54A-A568-2E2EAA7DCE5C}"/>
    <hyperlink ref="BV19" r:id="rId11" xr:uid="{8F541A52-5221-3845-9FD7-554373E0FE0A}"/>
    <hyperlink ref="BV16" r:id="rId12" xr:uid="{88480A9D-EE27-AF4E-B6FC-83A68CC2ED37}"/>
    <hyperlink ref="BV4" r:id="rId13" xr:uid="{CE79220D-CCBF-E14B-B8E5-1A0FDFFED93F}"/>
    <hyperlink ref="BV22" r:id="rId14" xr:uid="{4C374398-D9B4-994C-AA81-52062CD47B1B}"/>
    <hyperlink ref="BV32" r:id="rId15" xr:uid="{8ADAC471-A3A7-2244-BA2D-C0FA2ADAC744}"/>
    <hyperlink ref="BV14" r:id="rId16" xr:uid="{5D983581-A49E-0841-8B13-4646810F0279}"/>
  </hyperlinks>
  <pageMargins left="0.75" right="0.75" top="1" bottom="1" header="0.5" footer="0.5"/>
  <pageSetup paperSize="10"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0645-4F79-B146-A0DD-2F4FEA1482F9}">
  <sheetPr codeName="Sheet14"/>
  <dimension ref="A1:BW30"/>
  <sheetViews>
    <sheetView topLeftCell="B1" zoomScale="110" zoomScaleNormal="110" workbookViewId="0">
      <selection activeCell="BM39" sqref="BM39:BM40"/>
    </sheetView>
  </sheetViews>
  <sheetFormatPr baseColWidth="10" defaultRowHeight="13" x14ac:dyDescent="0.15"/>
  <cols>
    <col min="11" max="11" width="17" bestFit="1" customWidth="1"/>
    <col min="12" max="12" width="19" bestFit="1" customWidth="1"/>
    <col min="41" max="41" width="13" bestFit="1" customWidth="1"/>
    <col min="65" max="65" width="11.6640625" customWidth="1"/>
    <col min="74" max="74" width="209.33203125" bestFit="1" customWidth="1"/>
  </cols>
  <sheetData>
    <row r="1" spans="1:75" ht="70" x14ac:dyDescent="0.15">
      <c r="A1" s="23" t="s">
        <v>343</v>
      </c>
      <c r="B1" s="23" t="s">
        <v>344</v>
      </c>
      <c r="C1" s="24" t="s">
        <v>345</v>
      </c>
      <c r="D1" s="25" t="s">
        <v>189</v>
      </c>
      <c r="E1" s="25" t="s">
        <v>190</v>
      </c>
      <c r="F1" s="25" t="s">
        <v>220</v>
      </c>
      <c r="G1" s="23" t="s">
        <v>221</v>
      </c>
      <c r="H1" s="26" t="s">
        <v>134</v>
      </c>
      <c r="I1" s="26" t="s">
        <v>229</v>
      </c>
      <c r="J1" s="26" t="s">
        <v>230</v>
      </c>
      <c r="K1" s="25" t="s">
        <v>231</v>
      </c>
      <c r="L1" s="27" t="s">
        <v>232</v>
      </c>
      <c r="M1" s="28" t="s">
        <v>233</v>
      </c>
      <c r="N1" s="29" t="s">
        <v>234</v>
      </c>
      <c r="O1" s="29" t="s">
        <v>235</v>
      </c>
      <c r="P1" s="29" t="s">
        <v>236</v>
      </c>
      <c r="Q1" s="29" t="s">
        <v>136</v>
      </c>
      <c r="R1" s="29" t="s">
        <v>137</v>
      </c>
      <c r="S1" s="29" t="s">
        <v>203</v>
      </c>
      <c r="T1" s="29" t="s">
        <v>204</v>
      </c>
      <c r="U1" s="29" t="s">
        <v>205</v>
      </c>
      <c r="V1" s="30" t="s">
        <v>206</v>
      </c>
      <c r="W1" s="31" t="s">
        <v>283</v>
      </c>
      <c r="X1" s="31" t="s">
        <v>207</v>
      </c>
      <c r="Y1" s="31" t="s">
        <v>292</v>
      </c>
      <c r="Z1" s="31" t="s">
        <v>397</v>
      </c>
      <c r="AA1" s="31" t="s">
        <v>398</v>
      </c>
      <c r="AB1" s="31" t="s">
        <v>399</v>
      </c>
      <c r="AC1" s="31" t="s">
        <v>400</v>
      </c>
      <c r="AD1" s="31" t="s">
        <v>401</v>
      </c>
      <c r="AE1" s="32" t="s">
        <v>402</v>
      </c>
      <c r="AF1" s="33" t="s">
        <v>208</v>
      </c>
      <c r="AG1" s="33" t="s">
        <v>209</v>
      </c>
      <c r="AH1" s="34" t="s">
        <v>272</v>
      </c>
      <c r="AI1" s="34" t="s">
        <v>273</v>
      </c>
      <c r="AJ1" s="34" t="s">
        <v>347</v>
      </c>
      <c r="AK1" s="34" t="s">
        <v>348</v>
      </c>
      <c r="AL1" s="34"/>
      <c r="AM1" s="34"/>
      <c r="AN1" s="34"/>
      <c r="AO1" s="35" t="s">
        <v>349</v>
      </c>
      <c r="AP1" s="36" t="s">
        <v>350</v>
      </c>
      <c r="AQ1" s="36" t="s">
        <v>238</v>
      </c>
      <c r="AR1" s="37" t="s">
        <v>158</v>
      </c>
      <c r="AS1" s="38" t="s">
        <v>159</v>
      </c>
      <c r="AT1" s="39" t="s">
        <v>160</v>
      </c>
      <c r="AU1" s="40" t="s">
        <v>161</v>
      </c>
      <c r="AV1" s="41" t="s">
        <v>162</v>
      </c>
      <c r="AW1" s="42" t="s">
        <v>163</v>
      </c>
      <c r="AX1" s="43" t="s">
        <v>164</v>
      </c>
      <c r="AY1" s="42" t="s">
        <v>257</v>
      </c>
      <c r="AZ1" s="43" t="s">
        <v>258</v>
      </c>
      <c r="BA1" s="42" t="s">
        <v>259</v>
      </c>
      <c r="BB1" s="43" t="s">
        <v>260</v>
      </c>
      <c r="BC1" s="42" t="s">
        <v>261</v>
      </c>
      <c r="BD1" s="44" t="s">
        <v>262</v>
      </c>
      <c r="BE1" s="120" t="s">
        <v>453</v>
      </c>
      <c r="BF1" s="121" t="s">
        <v>454</v>
      </c>
      <c r="BG1" s="42" t="s">
        <v>165</v>
      </c>
      <c r="BH1" s="44" t="s">
        <v>166</v>
      </c>
      <c r="BI1" s="26" t="s">
        <v>252</v>
      </c>
      <c r="BJ1" s="26" t="s">
        <v>253</v>
      </c>
      <c r="BK1" s="26" t="s">
        <v>254</v>
      </c>
      <c r="BL1" s="26" t="s">
        <v>193</v>
      </c>
      <c r="BM1" s="122" t="s">
        <v>455</v>
      </c>
      <c r="BN1" s="26" t="s">
        <v>456</v>
      </c>
      <c r="BO1" s="26" t="s">
        <v>457</v>
      </c>
      <c r="BP1" s="26" t="s">
        <v>458</v>
      </c>
      <c r="BQ1" s="24" t="s">
        <v>324</v>
      </c>
      <c r="BR1" s="24" t="s">
        <v>354</v>
      </c>
      <c r="BS1" s="26" t="s">
        <v>355</v>
      </c>
      <c r="BT1" s="26" t="s">
        <v>170</v>
      </c>
      <c r="BU1" s="24" t="s">
        <v>171</v>
      </c>
      <c r="BV1" s="26" t="s">
        <v>214</v>
      </c>
      <c r="BW1" s="23" t="s">
        <v>215</v>
      </c>
    </row>
    <row r="2" spans="1:75" x14ac:dyDescent="0.15">
      <c r="A2" s="45">
        <v>8799</v>
      </c>
      <c r="B2" s="123">
        <v>41864</v>
      </c>
      <c r="C2" s="47" t="s">
        <v>459</v>
      </c>
      <c r="D2" s="48" t="s">
        <v>460</v>
      </c>
      <c r="E2" s="48"/>
      <c r="F2" s="48" t="s">
        <v>461</v>
      </c>
      <c r="G2" s="123">
        <v>41851</v>
      </c>
      <c r="H2" s="49" t="s">
        <v>462</v>
      </c>
      <c r="I2" s="49" t="s">
        <v>508</v>
      </c>
      <c r="J2" s="49"/>
      <c r="K2" s="48" t="s">
        <v>464</v>
      </c>
      <c r="L2" s="48" t="s">
        <v>526</v>
      </c>
      <c r="M2" s="48">
        <v>83</v>
      </c>
      <c r="N2" s="48">
        <v>37.799999999999997</v>
      </c>
      <c r="O2" s="48"/>
      <c r="P2" s="50"/>
      <c r="Q2" s="48"/>
      <c r="R2" s="50"/>
      <c r="S2" s="48"/>
      <c r="T2" s="50"/>
      <c r="U2" s="48"/>
      <c r="V2" s="48"/>
      <c r="W2" s="48"/>
      <c r="X2" s="48"/>
      <c r="Y2" s="48"/>
      <c r="Z2" s="50"/>
      <c r="AA2" s="48"/>
      <c r="AB2" s="50"/>
      <c r="AC2" s="48"/>
      <c r="AD2" s="48"/>
      <c r="AE2" s="48"/>
      <c r="AF2" s="50"/>
      <c r="AG2" s="48"/>
      <c r="AH2" s="48"/>
      <c r="AI2" s="48"/>
      <c r="AJ2" s="48"/>
      <c r="AK2" s="48"/>
      <c r="AL2" s="48"/>
      <c r="AM2" s="48"/>
      <c r="AN2" s="48"/>
      <c r="AO2" s="48" t="s">
        <v>465</v>
      </c>
      <c r="AP2" s="49" t="s">
        <v>463</v>
      </c>
      <c r="AQ2" s="49"/>
      <c r="AR2" s="49"/>
      <c r="AS2" s="51"/>
      <c r="AT2" s="49">
        <v>20</v>
      </c>
      <c r="AU2" s="49" t="s">
        <v>466</v>
      </c>
      <c r="AV2" s="48"/>
      <c r="AW2" s="49">
        <v>0</v>
      </c>
      <c r="AX2" s="49">
        <v>0</v>
      </c>
      <c r="AY2" s="49">
        <v>0</v>
      </c>
      <c r="AZ2" s="49">
        <v>0</v>
      </c>
      <c r="BA2" s="49">
        <v>0</v>
      </c>
      <c r="BB2" s="49">
        <v>0</v>
      </c>
      <c r="BC2" s="49">
        <v>0</v>
      </c>
      <c r="BD2" s="49">
        <v>0</v>
      </c>
      <c r="BE2" s="49">
        <v>0</v>
      </c>
      <c r="BF2" s="49">
        <v>0</v>
      </c>
      <c r="BG2" s="49">
        <v>0</v>
      </c>
      <c r="BH2" s="49">
        <v>0</v>
      </c>
      <c r="BI2" s="49"/>
      <c r="BJ2" s="49" t="s">
        <v>463</v>
      </c>
      <c r="BK2" s="49">
        <v>24</v>
      </c>
      <c r="BL2" s="49" t="s">
        <v>463</v>
      </c>
      <c r="BM2" s="49"/>
      <c r="BN2" s="49"/>
      <c r="BO2" s="49"/>
      <c r="BP2" s="49"/>
      <c r="BQ2" s="52"/>
      <c r="BR2" s="52"/>
      <c r="BS2" s="49"/>
      <c r="BT2" s="49" t="s">
        <v>467</v>
      </c>
      <c r="BU2" s="52"/>
      <c r="BV2" s="118" t="s">
        <v>79</v>
      </c>
      <c r="BW2" s="124" t="s">
        <v>527</v>
      </c>
    </row>
    <row r="3" spans="1:75" x14ac:dyDescent="0.15">
      <c r="A3" s="45">
        <v>956</v>
      </c>
      <c r="B3" s="123">
        <v>41865</v>
      </c>
      <c r="C3" s="47" t="s">
        <v>459</v>
      </c>
      <c r="D3" s="48" t="s">
        <v>460</v>
      </c>
      <c r="E3" s="48"/>
      <c r="F3" s="48" t="s">
        <v>461</v>
      </c>
      <c r="G3" s="127">
        <v>41865</v>
      </c>
      <c r="H3" s="49" t="s">
        <v>462</v>
      </c>
      <c r="I3" s="49" t="s">
        <v>463</v>
      </c>
      <c r="J3" s="49"/>
      <c r="K3" s="48" t="s">
        <v>468</v>
      </c>
      <c r="L3" s="48" t="s">
        <v>469</v>
      </c>
      <c r="M3" s="48">
        <v>83</v>
      </c>
      <c r="N3" s="48">
        <v>39</v>
      </c>
      <c r="O3" s="48" t="s">
        <v>470</v>
      </c>
      <c r="P3" s="50">
        <v>300</v>
      </c>
      <c r="Q3" s="48">
        <v>43.45</v>
      </c>
      <c r="R3" s="50">
        <v>1000</v>
      </c>
      <c r="S3" s="48">
        <v>43.45</v>
      </c>
      <c r="T3" s="50">
        <v>2500</v>
      </c>
      <c r="U3" s="48">
        <v>43.45</v>
      </c>
      <c r="V3" s="48"/>
      <c r="W3" s="48"/>
      <c r="X3" s="48"/>
      <c r="Y3" s="48"/>
      <c r="Z3" s="48"/>
      <c r="AA3" s="48"/>
      <c r="AB3" s="48"/>
      <c r="AC3" s="48"/>
      <c r="AD3" s="48"/>
      <c r="AE3" s="48"/>
      <c r="AF3" s="50"/>
      <c r="AG3" s="48"/>
      <c r="AH3" s="48"/>
      <c r="AI3" s="48"/>
      <c r="AJ3" s="48"/>
      <c r="AK3" s="48"/>
      <c r="AL3" s="48"/>
      <c r="AM3" s="48"/>
      <c r="AN3" s="48"/>
      <c r="AO3" s="48" t="s">
        <v>465</v>
      </c>
      <c r="AP3" s="49" t="s">
        <v>463</v>
      </c>
      <c r="AQ3" s="49"/>
      <c r="AR3" s="49"/>
      <c r="AS3" s="51"/>
      <c r="AT3" s="49">
        <v>9.5</v>
      </c>
      <c r="AU3" s="49" t="s">
        <v>463</v>
      </c>
      <c r="AV3" s="48"/>
      <c r="AW3" s="49">
        <v>0</v>
      </c>
      <c r="AX3" s="49">
        <v>0</v>
      </c>
      <c r="AY3" s="49">
        <v>0</v>
      </c>
      <c r="AZ3" s="49">
        <v>25</v>
      </c>
      <c r="BA3" s="49">
        <v>0</v>
      </c>
      <c r="BB3" s="49">
        <v>0</v>
      </c>
      <c r="BC3" s="49">
        <v>0</v>
      </c>
      <c r="BD3" s="49">
        <v>0</v>
      </c>
      <c r="BE3" s="49">
        <v>0</v>
      </c>
      <c r="BF3" s="49">
        <v>0</v>
      </c>
      <c r="BG3" s="49">
        <v>0</v>
      </c>
      <c r="BH3" s="49">
        <v>0</v>
      </c>
      <c r="BI3" s="128"/>
      <c r="BJ3" s="49" t="s">
        <v>463</v>
      </c>
      <c r="BK3" s="49">
        <v>24</v>
      </c>
      <c r="BL3" s="49" t="s">
        <v>463</v>
      </c>
      <c r="BM3" s="49"/>
      <c r="BN3" s="49"/>
      <c r="BO3" s="49"/>
      <c r="BP3" s="49"/>
      <c r="BQ3" s="48"/>
      <c r="BR3" s="48"/>
      <c r="BS3" s="49"/>
      <c r="BT3" s="49" t="s">
        <v>467</v>
      </c>
      <c r="BU3" s="48"/>
      <c r="BV3" s="118" t="s">
        <v>79</v>
      </c>
      <c r="BW3" s="124" t="s">
        <v>90</v>
      </c>
    </row>
    <row r="4" spans="1:75" x14ac:dyDescent="0.15">
      <c r="A4" s="45">
        <v>6222</v>
      </c>
      <c r="B4" s="123">
        <v>41829</v>
      </c>
      <c r="C4" s="47" t="s">
        <v>459</v>
      </c>
      <c r="D4" s="48" t="s">
        <v>460</v>
      </c>
      <c r="E4" s="48"/>
      <c r="F4" s="48" t="s">
        <v>461</v>
      </c>
      <c r="G4" s="46">
        <v>41698</v>
      </c>
      <c r="H4" s="49" t="s">
        <v>462</v>
      </c>
      <c r="I4" s="49" t="s">
        <v>471</v>
      </c>
      <c r="J4" s="49"/>
      <c r="K4" s="48" t="s">
        <v>472</v>
      </c>
      <c r="L4" s="48" t="s">
        <v>473</v>
      </c>
      <c r="M4" s="48">
        <v>90.6</v>
      </c>
      <c r="N4" s="48">
        <v>47.8</v>
      </c>
      <c r="O4" s="48" t="s">
        <v>470</v>
      </c>
      <c r="P4" s="50">
        <v>1000</v>
      </c>
      <c r="Q4" s="48">
        <v>50</v>
      </c>
      <c r="R4" s="126">
        <v>1000</v>
      </c>
      <c r="S4" s="126">
        <v>50</v>
      </c>
      <c r="T4" s="126">
        <v>1000</v>
      </c>
      <c r="U4" s="126">
        <v>50</v>
      </c>
      <c r="V4" s="48"/>
      <c r="W4" s="48"/>
      <c r="X4" s="48"/>
      <c r="Y4" s="48"/>
      <c r="Z4" s="48"/>
      <c r="AA4" s="48"/>
      <c r="AB4" s="48"/>
      <c r="AC4" s="48"/>
      <c r="AD4" s="48"/>
      <c r="AE4" s="48"/>
      <c r="AF4" s="50"/>
      <c r="AG4" s="48"/>
      <c r="AH4" s="48"/>
      <c r="AI4" s="48"/>
      <c r="AJ4" s="48"/>
      <c r="AK4" s="48"/>
      <c r="AL4" s="48"/>
      <c r="AM4" s="48"/>
      <c r="AN4" s="48"/>
      <c r="AO4" s="48" t="s">
        <v>465</v>
      </c>
      <c r="AP4" s="49" t="s">
        <v>463</v>
      </c>
      <c r="AQ4" s="49"/>
      <c r="AR4" s="49"/>
      <c r="AS4" s="51">
        <v>5</v>
      </c>
      <c r="AT4" s="49">
        <v>15</v>
      </c>
      <c r="AU4" s="49" t="s">
        <v>463</v>
      </c>
      <c r="AV4" s="48"/>
      <c r="AW4" s="49">
        <v>0</v>
      </c>
      <c r="AX4" s="49">
        <v>0</v>
      </c>
      <c r="AY4" s="49">
        <v>24</v>
      </c>
      <c r="AZ4" s="49">
        <v>0</v>
      </c>
      <c r="BA4" s="49">
        <v>0</v>
      </c>
      <c r="BB4" s="49">
        <v>0</v>
      </c>
      <c r="BC4" s="49">
        <v>0</v>
      </c>
      <c r="BD4" s="49">
        <v>0</v>
      </c>
      <c r="BE4" s="49">
        <v>0</v>
      </c>
      <c r="BF4" s="49">
        <v>0</v>
      </c>
      <c r="BG4" s="49">
        <v>0</v>
      </c>
      <c r="BH4" s="49">
        <v>0</v>
      </c>
      <c r="BI4" s="49"/>
      <c r="BJ4" s="49" t="s">
        <v>463</v>
      </c>
      <c r="BK4" s="49"/>
      <c r="BL4" s="49" t="s">
        <v>463</v>
      </c>
      <c r="BM4" s="49"/>
      <c r="BN4" s="49"/>
      <c r="BO4" s="49"/>
      <c r="BP4" s="49"/>
      <c r="BQ4" s="52"/>
      <c r="BR4" s="48"/>
      <c r="BS4" s="49"/>
      <c r="BT4" s="49" t="s">
        <v>467</v>
      </c>
      <c r="BU4" s="52" t="s">
        <v>474</v>
      </c>
      <c r="BV4" t="s">
        <v>475</v>
      </c>
      <c r="BW4" s="124" t="s">
        <v>56</v>
      </c>
    </row>
    <row r="5" spans="1:75" x14ac:dyDescent="0.15">
      <c r="A5" s="45">
        <v>958</v>
      </c>
      <c r="B5" s="123">
        <v>41864</v>
      </c>
      <c r="C5" s="47" t="s">
        <v>476</v>
      </c>
      <c r="D5" s="48" t="s">
        <v>477</v>
      </c>
      <c r="E5" s="48"/>
      <c r="F5" s="48" t="s">
        <v>478</v>
      </c>
      <c r="G5" s="127">
        <v>41847</v>
      </c>
      <c r="H5" s="49" t="s">
        <v>479</v>
      </c>
      <c r="I5" s="49" t="s">
        <v>480</v>
      </c>
      <c r="J5" s="49"/>
      <c r="K5" s="48" t="s">
        <v>481</v>
      </c>
      <c r="L5" s="48" t="s">
        <v>482</v>
      </c>
      <c r="M5" s="48">
        <v>80.95</v>
      </c>
      <c r="N5" s="48">
        <v>40.9</v>
      </c>
      <c r="O5" s="48" t="s">
        <v>483</v>
      </c>
      <c r="P5" s="50">
        <v>1000</v>
      </c>
      <c r="Q5" s="48">
        <v>44.4</v>
      </c>
      <c r="R5" s="126">
        <v>1000</v>
      </c>
      <c r="S5" s="48">
        <v>44.4</v>
      </c>
      <c r="T5" s="126">
        <v>1000</v>
      </c>
      <c r="U5" s="48">
        <v>44.4</v>
      </c>
      <c r="V5" s="48"/>
      <c r="W5" s="48"/>
      <c r="X5" s="48"/>
      <c r="Y5" s="48"/>
      <c r="Z5" s="48"/>
      <c r="AA5" s="48"/>
      <c r="AB5" s="48"/>
      <c r="AC5" s="48"/>
      <c r="AD5" s="48"/>
      <c r="AE5" s="48"/>
      <c r="AF5" s="50"/>
      <c r="AG5" s="48"/>
      <c r="AH5" s="48"/>
      <c r="AI5" s="48"/>
      <c r="AJ5" s="48"/>
      <c r="AK5" s="48"/>
      <c r="AL5" s="48"/>
      <c r="AM5" s="48"/>
      <c r="AN5" s="48"/>
      <c r="AO5" s="48" t="s">
        <v>484</v>
      </c>
      <c r="AP5" s="49" t="s">
        <v>480</v>
      </c>
      <c r="AQ5" s="49"/>
      <c r="AR5" s="49"/>
      <c r="AS5" s="51"/>
      <c r="AT5" s="49">
        <v>11.6</v>
      </c>
      <c r="AU5" s="49" t="s">
        <v>480</v>
      </c>
      <c r="AV5" s="48"/>
      <c r="AW5" s="49">
        <v>0</v>
      </c>
      <c r="AX5" s="49">
        <v>0</v>
      </c>
      <c r="AY5" s="49">
        <v>0</v>
      </c>
      <c r="AZ5" s="49">
        <v>20</v>
      </c>
      <c r="BA5" s="49">
        <v>0</v>
      </c>
      <c r="BB5" s="49">
        <v>0</v>
      </c>
      <c r="BC5" s="49">
        <v>0</v>
      </c>
      <c r="BD5" s="49">
        <v>0</v>
      </c>
      <c r="BE5" s="49">
        <v>0</v>
      </c>
      <c r="BF5" s="49">
        <v>0</v>
      </c>
      <c r="BG5" s="49">
        <v>0</v>
      </c>
      <c r="BH5" s="49">
        <v>0</v>
      </c>
      <c r="BI5" s="49"/>
      <c r="BJ5" s="49" t="s">
        <v>480</v>
      </c>
      <c r="BK5" s="49"/>
      <c r="BL5" s="49" t="s">
        <v>480</v>
      </c>
      <c r="BM5" s="49"/>
      <c r="BN5" s="49"/>
      <c r="BO5" s="49"/>
      <c r="BP5" s="49"/>
      <c r="BQ5" s="48" t="s">
        <v>485</v>
      </c>
      <c r="BR5" s="48"/>
      <c r="BS5" s="49"/>
      <c r="BT5" s="49" t="s">
        <v>486</v>
      </c>
      <c r="BU5" s="48"/>
      <c r="BV5" t="s">
        <v>487</v>
      </c>
      <c r="BW5" s="53" t="s">
        <v>90</v>
      </c>
    </row>
    <row r="6" spans="1:75" x14ac:dyDescent="0.15">
      <c r="A6" s="45">
        <v>960</v>
      </c>
      <c r="B6" s="123">
        <v>41829</v>
      </c>
      <c r="C6" s="47" t="s">
        <v>459</v>
      </c>
      <c r="D6" s="48" t="s">
        <v>460</v>
      </c>
      <c r="E6" s="48"/>
      <c r="F6" s="48" t="s">
        <v>461</v>
      </c>
      <c r="G6" s="54">
        <v>41820</v>
      </c>
      <c r="H6" s="49" t="s">
        <v>462</v>
      </c>
      <c r="I6" s="49" t="s">
        <v>463</v>
      </c>
      <c r="J6" s="49"/>
      <c r="K6" s="48" t="s">
        <v>488</v>
      </c>
      <c r="L6" s="48" t="s">
        <v>489</v>
      </c>
      <c r="M6" s="48">
        <v>86.95</v>
      </c>
      <c r="N6" s="48">
        <v>33.26</v>
      </c>
      <c r="O6" s="48" t="s">
        <v>470</v>
      </c>
      <c r="P6" s="50">
        <v>300</v>
      </c>
      <c r="Q6" s="48">
        <v>35.89</v>
      </c>
      <c r="R6" s="50">
        <v>1000</v>
      </c>
      <c r="S6" s="48">
        <v>38.950000000000003</v>
      </c>
      <c r="T6" s="50">
        <v>2500</v>
      </c>
      <c r="U6" s="48">
        <v>39.869999999999997</v>
      </c>
      <c r="V6" s="48"/>
      <c r="W6" s="48"/>
      <c r="X6" s="48"/>
      <c r="Y6" s="48"/>
      <c r="Z6" s="48"/>
      <c r="AA6" s="48"/>
      <c r="AB6" s="48"/>
      <c r="AC6" s="48"/>
      <c r="AD6" s="48"/>
      <c r="AE6" s="48"/>
      <c r="AF6" s="50"/>
      <c r="AG6" s="48"/>
      <c r="AH6" s="48"/>
      <c r="AI6" s="48"/>
      <c r="AJ6" s="48"/>
      <c r="AK6" s="48"/>
      <c r="AL6" s="48"/>
      <c r="AM6" s="48"/>
      <c r="AN6" s="48"/>
      <c r="AO6" s="48" t="s">
        <v>465</v>
      </c>
      <c r="AP6" s="49" t="s">
        <v>463</v>
      </c>
      <c r="AQ6" s="49"/>
      <c r="AR6" s="49"/>
      <c r="AS6" s="51">
        <v>10</v>
      </c>
      <c r="AT6" s="49">
        <v>12</v>
      </c>
      <c r="AU6" s="49" t="s">
        <v>463</v>
      </c>
      <c r="AV6" s="48"/>
      <c r="AW6" s="49">
        <v>0</v>
      </c>
      <c r="AX6" s="49">
        <v>0</v>
      </c>
      <c r="AY6" s="49">
        <v>7</v>
      </c>
      <c r="AZ6" s="49">
        <v>0</v>
      </c>
      <c r="BA6" s="49">
        <v>0</v>
      </c>
      <c r="BB6" s="49">
        <v>0</v>
      </c>
      <c r="BC6" s="49">
        <v>0</v>
      </c>
      <c r="BD6" s="49">
        <v>0</v>
      </c>
      <c r="BE6" s="49">
        <v>0</v>
      </c>
      <c r="BF6" s="49">
        <v>0</v>
      </c>
      <c r="BG6" s="49">
        <v>0</v>
      </c>
      <c r="BH6" s="49">
        <v>0</v>
      </c>
      <c r="BI6" s="49"/>
      <c r="BJ6" s="49" t="s">
        <v>463</v>
      </c>
      <c r="BK6" s="49"/>
      <c r="BL6" s="49" t="s">
        <v>463</v>
      </c>
      <c r="BM6" s="49"/>
      <c r="BN6" s="49"/>
      <c r="BO6" s="49"/>
      <c r="BP6" s="49"/>
      <c r="BQ6" s="48"/>
      <c r="BR6" s="48"/>
      <c r="BS6" s="49"/>
      <c r="BT6" s="49" t="s">
        <v>467</v>
      </c>
      <c r="BU6" s="48"/>
      <c r="BV6" t="s">
        <v>79</v>
      </c>
      <c r="BW6" s="124" t="s">
        <v>90</v>
      </c>
    </row>
    <row r="7" spans="1:75" x14ac:dyDescent="0.15">
      <c r="A7" s="45">
        <v>962</v>
      </c>
      <c r="B7" s="123">
        <v>41864</v>
      </c>
      <c r="C7" s="47" t="s">
        <v>476</v>
      </c>
      <c r="D7" s="48" t="s">
        <v>477</v>
      </c>
      <c r="E7" s="48"/>
      <c r="F7" s="48" t="s">
        <v>478</v>
      </c>
      <c r="G7" s="127">
        <v>41846</v>
      </c>
      <c r="H7" s="49" t="s">
        <v>479</v>
      </c>
      <c r="I7" s="49" t="s">
        <v>480</v>
      </c>
      <c r="J7" s="49"/>
      <c r="K7" s="48" t="s">
        <v>490</v>
      </c>
      <c r="L7" s="48" t="s">
        <v>482</v>
      </c>
      <c r="M7" s="48">
        <v>80.95</v>
      </c>
      <c r="N7" s="48">
        <v>42.65</v>
      </c>
      <c r="O7" s="48" t="s">
        <v>483</v>
      </c>
      <c r="P7" s="50">
        <v>1000</v>
      </c>
      <c r="Q7" s="48">
        <v>46.25</v>
      </c>
      <c r="R7" s="126">
        <v>1000</v>
      </c>
      <c r="S7" s="48">
        <v>46.25</v>
      </c>
      <c r="T7" s="126">
        <v>1000</v>
      </c>
      <c r="U7" s="48">
        <v>46.25</v>
      </c>
      <c r="V7" s="48"/>
      <c r="W7" s="48"/>
      <c r="X7" s="48"/>
      <c r="Y7" s="48"/>
      <c r="Z7" s="48"/>
      <c r="AA7" s="48"/>
      <c r="AB7" s="48"/>
      <c r="AC7" s="48"/>
      <c r="AD7" s="48"/>
      <c r="AE7" s="48"/>
      <c r="AF7" s="50"/>
      <c r="AG7" s="48"/>
      <c r="AH7" s="48"/>
      <c r="AI7" s="48"/>
      <c r="AJ7" s="48"/>
      <c r="AK7" s="48"/>
      <c r="AL7" s="48"/>
      <c r="AM7" s="48"/>
      <c r="AN7" s="48"/>
      <c r="AO7" s="48" t="s">
        <v>484</v>
      </c>
      <c r="AP7" s="49" t="s">
        <v>480</v>
      </c>
      <c r="AQ7" s="49"/>
      <c r="AR7" s="49"/>
      <c r="AS7" s="51"/>
      <c r="AT7" s="49">
        <v>11.6</v>
      </c>
      <c r="AU7" s="49" t="s">
        <v>491</v>
      </c>
      <c r="AV7" s="48"/>
      <c r="AW7" s="49">
        <v>0</v>
      </c>
      <c r="AX7" s="49">
        <v>0</v>
      </c>
      <c r="AY7" s="49">
        <v>0</v>
      </c>
      <c r="AZ7" s="49">
        <v>0</v>
      </c>
      <c r="BA7" s="49">
        <v>0</v>
      </c>
      <c r="BB7" s="49">
        <v>25</v>
      </c>
      <c r="BC7" s="49">
        <v>0</v>
      </c>
      <c r="BD7" s="49">
        <v>0</v>
      </c>
      <c r="BE7" s="49">
        <v>0</v>
      </c>
      <c r="BF7" s="49">
        <v>0</v>
      </c>
      <c r="BG7" s="49">
        <v>0</v>
      </c>
      <c r="BH7" s="49">
        <v>0</v>
      </c>
      <c r="BI7" s="49"/>
      <c r="BJ7" s="49" t="s">
        <v>480</v>
      </c>
      <c r="BK7" s="49"/>
      <c r="BL7" s="49" t="s">
        <v>480</v>
      </c>
      <c r="BM7" s="49"/>
      <c r="BN7" s="49"/>
      <c r="BO7" s="49"/>
      <c r="BP7" s="49"/>
      <c r="BQ7" s="48"/>
      <c r="BR7" s="48"/>
      <c r="BS7" s="49"/>
      <c r="BT7" s="49" t="s">
        <v>486</v>
      </c>
      <c r="BU7" s="48"/>
      <c r="BV7" s="118" t="s">
        <v>79</v>
      </c>
      <c r="BW7" s="53" t="s">
        <v>90</v>
      </c>
    </row>
    <row r="8" spans="1:75" x14ac:dyDescent="0.15">
      <c r="A8" s="45">
        <v>3301</v>
      </c>
      <c r="B8" s="123">
        <v>41864</v>
      </c>
      <c r="C8" s="47" t="s">
        <v>459</v>
      </c>
      <c r="D8" s="48" t="s">
        <v>460</v>
      </c>
      <c r="E8" s="48"/>
      <c r="F8" s="48" t="s">
        <v>461</v>
      </c>
      <c r="G8" s="127">
        <v>41859</v>
      </c>
      <c r="H8" s="49" t="s">
        <v>462</v>
      </c>
      <c r="I8" s="49" t="s">
        <v>463</v>
      </c>
      <c r="J8" s="49"/>
      <c r="K8" s="48" t="s">
        <v>492</v>
      </c>
      <c r="L8" s="48" t="s">
        <v>515</v>
      </c>
      <c r="M8" s="48">
        <v>89.6</v>
      </c>
      <c r="N8" s="48">
        <v>42.27</v>
      </c>
      <c r="O8" s="48" t="s">
        <v>470</v>
      </c>
      <c r="P8" s="50">
        <v>1000</v>
      </c>
      <c r="Q8" s="48">
        <v>45.43</v>
      </c>
      <c r="R8" s="126">
        <v>1000</v>
      </c>
      <c r="S8" s="48">
        <v>45.43</v>
      </c>
      <c r="T8" s="126">
        <v>1000</v>
      </c>
      <c r="U8" s="48">
        <v>45.43</v>
      </c>
      <c r="V8" s="48"/>
      <c r="W8" s="48"/>
      <c r="X8" s="50"/>
      <c r="Y8" s="48"/>
      <c r="Z8" s="50"/>
      <c r="AA8" s="48"/>
      <c r="AB8" s="50"/>
      <c r="AC8" s="48"/>
      <c r="AD8" s="48"/>
      <c r="AE8" s="48"/>
      <c r="AF8" s="50"/>
      <c r="AG8" s="48"/>
      <c r="AH8" s="48"/>
      <c r="AI8" s="48"/>
      <c r="AJ8" s="48"/>
      <c r="AK8" s="48"/>
      <c r="AL8" s="48"/>
      <c r="AM8" s="48"/>
      <c r="AN8" s="48"/>
      <c r="AO8" s="48" t="s">
        <v>465</v>
      </c>
      <c r="AP8" s="49" t="s">
        <v>463</v>
      </c>
      <c r="AQ8" s="49"/>
      <c r="AR8" s="49"/>
      <c r="AS8" s="51"/>
      <c r="AT8" s="49">
        <v>15</v>
      </c>
      <c r="AU8" s="49" t="s">
        <v>466</v>
      </c>
      <c r="AV8" s="48"/>
      <c r="AW8" s="49">
        <v>0</v>
      </c>
      <c r="AX8" s="49">
        <v>20</v>
      </c>
      <c r="AY8" s="49">
        <v>0</v>
      </c>
      <c r="AZ8" s="49">
        <v>0</v>
      </c>
      <c r="BA8" s="49">
        <v>0</v>
      </c>
      <c r="BB8" s="49">
        <v>0</v>
      </c>
      <c r="BC8" s="49">
        <v>0</v>
      </c>
      <c r="BD8" s="49">
        <v>0</v>
      </c>
      <c r="BE8" s="49">
        <v>0</v>
      </c>
      <c r="BF8" s="49">
        <v>0</v>
      </c>
      <c r="BG8" s="49">
        <v>0</v>
      </c>
      <c r="BH8" s="49">
        <v>0</v>
      </c>
      <c r="BI8" s="49"/>
      <c r="BJ8" s="49" t="s">
        <v>463</v>
      </c>
      <c r="BK8" s="49">
        <v>12</v>
      </c>
      <c r="BL8" s="49" t="s">
        <v>463</v>
      </c>
      <c r="BM8" s="49"/>
      <c r="BN8" s="49"/>
      <c r="BO8" s="49"/>
      <c r="BP8" s="49"/>
      <c r="BQ8" s="52" t="s">
        <v>109</v>
      </c>
      <c r="BR8" s="52" t="s">
        <v>50</v>
      </c>
      <c r="BS8" s="49">
        <v>50</v>
      </c>
      <c r="BT8" s="49" t="s">
        <v>467</v>
      </c>
      <c r="BU8" s="48"/>
      <c r="BV8" t="s">
        <v>79</v>
      </c>
      <c r="BW8" s="124" t="s">
        <v>90</v>
      </c>
    </row>
    <row r="9" spans="1:75" x14ac:dyDescent="0.15">
      <c r="A9" s="45">
        <v>980</v>
      </c>
      <c r="B9" s="123">
        <v>41865</v>
      </c>
      <c r="C9" s="47" t="s">
        <v>459</v>
      </c>
      <c r="D9" s="48" t="s">
        <v>460</v>
      </c>
      <c r="E9" s="48"/>
      <c r="F9" s="48" t="s">
        <v>461</v>
      </c>
      <c r="G9" s="127">
        <v>41851</v>
      </c>
      <c r="H9" s="49" t="s">
        <v>462</v>
      </c>
      <c r="I9" s="49" t="s">
        <v>463</v>
      </c>
      <c r="J9" s="49"/>
      <c r="K9" s="48" t="s">
        <v>493</v>
      </c>
      <c r="L9" s="48" t="s">
        <v>494</v>
      </c>
      <c r="M9" s="48">
        <v>88</v>
      </c>
      <c r="N9" s="48">
        <v>39</v>
      </c>
      <c r="O9" s="48" t="s">
        <v>470</v>
      </c>
      <c r="P9" s="50">
        <v>1000</v>
      </c>
      <c r="Q9" s="48">
        <v>39.5</v>
      </c>
      <c r="R9" s="126">
        <v>1000</v>
      </c>
      <c r="S9" s="48">
        <v>39.5</v>
      </c>
      <c r="T9" s="126">
        <v>1000</v>
      </c>
      <c r="U9" s="48">
        <v>39.5</v>
      </c>
      <c r="V9" s="48"/>
      <c r="W9" s="48"/>
      <c r="X9" s="48"/>
      <c r="Y9" s="48"/>
      <c r="Z9" s="48"/>
      <c r="AA9" s="48"/>
      <c r="AB9" s="48"/>
      <c r="AC9" s="48"/>
      <c r="AD9" s="48"/>
      <c r="AE9" s="48"/>
      <c r="AF9" s="50"/>
      <c r="AG9" s="48"/>
      <c r="AH9" s="48"/>
      <c r="AI9" s="48"/>
      <c r="AJ9" s="48"/>
      <c r="AK9" s="48"/>
      <c r="AL9" s="48"/>
      <c r="AM9" s="48"/>
      <c r="AN9" s="48"/>
      <c r="AO9" s="48" t="s">
        <v>465</v>
      </c>
      <c r="AP9" s="49" t="s">
        <v>463</v>
      </c>
      <c r="AQ9" s="49"/>
      <c r="AR9" s="49"/>
      <c r="AS9" s="51"/>
      <c r="AT9" s="49">
        <v>16</v>
      </c>
      <c r="AU9" s="125" t="s">
        <v>495</v>
      </c>
      <c r="AV9" s="48"/>
      <c r="AW9" s="49">
        <v>0</v>
      </c>
      <c r="AX9" s="49">
        <v>0</v>
      </c>
      <c r="AY9" s="49">
        <v>15</v>
      </c>
      <c r="AZ9" s="49">
        <v>0</v>
      </c>
      <c r="BA9" s="49">
        <v>0</v>
      </c>
      <c r="BB9" s="49">
        <v>0</v>
      </c>
      <c r="BC9" s="49">
        <v>0</v>
      </c>
      <c r="BD9" s="49">
        <v>0</v>
      </c>
      <c r="BE9" s="49">
        <v>0</v>
      </c>
      <c r="BF9" s="49">
        <v>0</v>
      </c>
      <c r="BG9" s="49">
        <v>0</v>
      </c>
      <c r="BH9" s="49">
        <v>0</v>
      </c>
      <c r="BI9" s="49"/>
      <c r="BJ9" s="49" t="s">
        <v>463</v>
      </c>
      <c r="BK9" s="49"/>
      <c r="BL9" s="49" t="s">
        <v>463</v>
      </c>
      <c r="BM9" s="49"/>
      <c r="BN9" s="49"/>
      <c r="BO9" s="49"/>
      <c r="BP9" s="49"/>
      <c r="BQ9" s="48" t="s">
        <v>496</v>
      </c>
      <c r="BR9" s="48"/>
      <c r="BS9" s="49"/>
      <c r="BT9" s="49" t="s">
        <v>467</v>
      </c>
      <c r="BU9" s="48"/>
      <c r="BV9" s="118" t="s">
        <v>79</v>
      </c>
      <c r="BW9" s="124" t="s">
        <v>90</v>
      </c>
    </row>
    <row r="10" spans="1:75" x14ac:dyDescent="0.15">
      <c r="A10" s="45">
        <v>988</v>
      </c>
      <c r="B10" s="123">
        <v>41829</v>
      </c>
      <c r="C10" s="47" t="s">
        <v>476</v>
      </c>
      <c r="D10" s="48" t="s">
        <v>477</v>
      </c>
      <c r="E10" s="48"/>
      <c r="F10" s="48" t="s">
        <v>478</v>
      </c>
      <c r="G10" s="46">
        <v>41820</v>
      </c>
      <c r="H10" s="49" t="s">
        <v>479</v>
      </c>
      <c r="I10" s="49" t="s">
        <v>480</v>
      </c>
      <c r="J10" s="49"/>
      <c r="K10" s="48" t="s">
        <v>497</v>
      </c>
      <c r="L10" s="48" t="s">
        <v>498</v>
      </c>
      <c r="M10" s="48">
        <v>96.97</v>
      </c>
      <c r="N10" s="48">
        <v>36.57</v>
      </c>
      <c r="O10" s="48" t="s">
        <v>483</v>
      </c>
      <c r="P10" s="50">
        <v>600</v>
      </c>
      <c r="Q10" s="48">
        <v>36.57</v>
      </c>
      <c r="R10" s="126">
        <v>600</v>
      </c>
      <c r="S10" s="126">
        <v>36.57</v>
      </c>
      <c r="T10" s="126">
        <v>600</v>
      </c>
      <c r="U10" s="126">
        <v>36.57</v>
      </c>
      <c r="V10" s="48"/>
      <c r="W10" s="48"/>
      <c r="X10" s="48"/>
      <c r="Y10" s="48"/>
      <c r="Z10" s="48"/>
      <c r="AA10" s="48"/>
      <c r="AB10" s="48"/>
      <c r="AC10" s="48"/>
      <c r="AD10" s="48"/>
      <c r="AE10" s="48"/>
      <c r="AF10" s="50"/>
      <c r="AG10" s="48"/>
      <c r="AH10" s="48"/>
      <c r="AI10" s="48"/>
      <c r="AJ10" s="48"/>
      <c r="AK10" s="48"/>
      <c r="AL10" s="48"/>
      <c r="AM10" s="48"/>
      <c r="AN10" s="48"/>
      <c r="AO10" s="48" t="s">
        <v>484</v>
      </c>
      <c r="AP10" s="49" t="s">
        <v>480</v>
      </c>
      <c r="AQ10" s="49"/>
      <c r="AR10" s="49"/>
      <c r="AS10" s="51"/>
      <c r="AT10" s="49">
        <v>6.8</v>
      </c>
      <c r="AU10" s="49" t="s">
        <v>480</v>
      </c>
      <c r="AV10" s="48"/>
      <c r="AW10" s="49">
        <v>0</v>
      </c>
      <c r="AX10" s="49">
        <v>0</v>
      </c>
      <c r="AY10" s="49">
        <v>0</v>
      </c>
      <c r="AZ10" s="49">
        <v>0</v>
      </c>
      <c r="BA10" s="49">
        <v>0</v>
      </c>
      <c r="BB10" s="49">
        <v>0</v>
      </c>
      <c r="BC10" s="49">
        <v>0</v>
      </c>
      <c r="BD10" s="49">
        <v>0</v>
      </c>
      <c r="BE10" s="49">
        <v>0</v>
      </c>
      <c r="BF10" s="49">
        <v>0</v>
      </c>
      <c r="BG10" s="49">
        <v>0</v>
      </c>
      <c r="BH10" s="49">
        <v>0</v>
      </c>
      <c r="BI10" s="49"/>
      <c r="BJ10" s="49" t="s">
        <v>463</v>
      </c>
      <c r="BK10" s="49">
        <v>12</v>
      </c>
      <c r="BL10" s="49" t="s">
        <v>480</v>
      </c>
      <c r="BM10" s="49"/>
      <c r="BN10" s="49"/>
      <c r="BO10" s="49"/>
      <c r="BP10" s="49"/>
      <c r="BQ10" s="48"/>
      <c r="BR10" s="48"/>
      <c r="BS10" s="49"/>
      <c r="BT10" s="49" t="s">
        <v>486</v>
      </c>
      <c r="BU10" s="48"/>
      <c r="BV10" s="118" t="s">
        <v>79</v>
      </c>
      <c r="BW10" s="124" t="s">
        <v>90</v>
      </c>
    </row>
    <row r="11" spans="1:75" x14ac:dyDescent="0.15">
      <c r="A11" s="45">
        <v>4203</v>
      </c>
      <c r="B11" s="123">
        <v>41828</v>
      </c>
      <c r="C11" s="47" t="s">
        <v>459</v>
      </c>
      <c r="D11" s="48" t="s">
        <v>460</v>
      </c>
      <c r="E11" s="48"/>
      <c r="F11" s="48" t="s">
        <v>461</v>
      </c>
      <c r="G11" s="54">
        <v>41820</v>
      </c>
      <c r="H11" s="49" t="s">
        <v>462</v>
      </c>
      <c r="I11" s="49" t="s">
        <v>471</v>
      </c>
      <c r="J11" s="49"/>
      <c r="K11" s="48" t="s">
        <v>499</v>
      </c>
      <c r="L11" s="48" t="s">
        <v>0</v>
      </c>
      <c r="M11" s="48">
        <v>82.12</v>
      </c>
      <c r="N11" s="48">
        <v>36.380000000000003</v>
      </c>
      <c r="O11" s="48" t="s">
        <v>470</v>
      </c>
      <c r="P11" s="50">
        <v>1000</v>
      </c>
      <c r="Q11" s="48">
        <v>38.840000000000003</v>
      </c>
      <c r="R11" s="126">
        <v>1000</v>
      </c>
      <c r="S11" s="126">
        <v>38.840000000000003</v>
      </c>
      <c r="T11" s="126">
        <v>1000</v>
      </c>
      <c r="U11" s="126">
        <v>38.840000000000003</v>
      </c>
      <c r="V11" s="48"/>
      <c r="W11" s="48"/>
      <c r="X11" s="48"/>
      <c r="Y11" s="48"/>
      <c r="Z11" s="50"/>
      <c r="AA11" s="48"/>
      <c r="AB11" s="50"/>
      <c r="AC11" s="48"/>
      <c r="AD11" s="48"/>
      <c r="AE11" s="48"/>
      <c r="AF11" s="50"/>
      <c r="AG11" s="48"/>
      <c r="AH11" s="48"/>
      <c r="AI11" s="48"/>
      <c r="AJ11" s="48"/>
      <c r="AK11" s="48"/>
      <c r="AL11" s="48"/>
      <c r="AM11" s="48"/>
      <c r="AN11" s="48"/>
      <c r="AO11" s="48" t="s">
        <v>465</v>
      </c>
      <c r="AP11" s="49" t="s">
        <v>463</v>
      </c>
      <c r="AQ11" s="49"/>
      <c r="AR11" s="49"/>
      <c r="AS11" s="51">
        <v>10</v>
      </c>
      <c r="AT11" s="49">
        <v>20</v>
      </c>
      <c r="AU11" s="49" t="s">
        <v>466</v>
      </c>
      <c r="AV11" s="48"/>
      <c r="AW11" s="49">
        <v>0</v>
      </c>
      <c r="AX11" s="49">
        <v>12</v>
      </c>
      <c r="AY11" s="49">
        <v>0</v>
      </c>
      <c r="AZ11" s="49">
        <v>0</v>
      </c>
      <c r="BA11" s="49">
        <v>0</v>
      </c>
      <c r="BB11" s="49">
        <v>0</v>
      </c>
      <c r="BC11" s="49">
        <v>0</v>
      </c>
      <c r="BD11" s="49">
        <v>0</v>
      </c>
      <c r="BE11" s="49">
        <v>0</v>
      </c>
      <c r="BF11" s="49">
        <v>0</v>
      </c>
      <c r="BG11" s="49">
        <v>0</v>
      </c>
      <c r="BH11" s="49">
        <v>0</v>
      </c>
      <c r="BI11" s="49"/>
      <c r="BJ11" s="49" t="s">
        <v>463</v>
      </c>
      <c r="BK11" s="49">
        <v>24</v>
      </c>
      <c r="BL11" s="49" t="s">
        <v>463</v>
      </c>
      <c r="BM11" s="49"/>
      <c r="BN11" s="49"/>
      <c r="BO11" s="49"/>
      <c r="BP11" s="49"/>
      <c r="BQ11" s="52"/>
      <c r="BR11" s="52"/>
      <c r="BS11" s="49"/>
      <c r="BT11" s="49" t="s">
        <v>467</v>
      </c>
      <c r="BU11" s="52" t="s">
        <v>500</v>
      </c>
      <c r="BV11" s="118" t="s">
        <v>79</v>
      </c>
      <c r="BW11" s="118" t="s">
        <v>90</v>
      </c>
    </row>
    <row r="12" spans="1:75" x14ac:dyDescent="0.15">
      <c r="A12" s="45">
        <v>3783</v>
      </c>
      <c r="B12" s="123">
        <v>41829</v>
      </c>
      <c r="C12" s="47" t="s">
        <v>459</v>
      </c>
      <c r="D12" s="48" t="s">
        <v>460</v>
      </c>
      <c r="E12" s="48"/>
      <c r="F12" s="48" t="s">
        <v>461</v>
      </c>
      <c r="G12" s="46">
        <v>41823</v>
      </c>
      <c r="H12" s="49" t="s">
        <v>462</v>
      </c>
      <c r="I12" s="49" t="s">
        <v>463</v>
      </c>
      <c r="J12" s="49"/>
      <c r="K12" s="48" t="s">
        <v>501</v>
      </c>
      <c r="L12" s="48" t="s">
        <v>502</v>
      </c>
      <c r="M12" s="48">
        <v>83</v>
      </c>
      <c r="N12" s="48">
        <v>37.799999999999997</v>
      </c>
      <c r="O12" s="48"/>
      <c r="P12" s="50"/>
      <c r="Q12" s="48"/>
      <c r="R12" s="50"/>
      <c r="S12" s="48"/>
      <c r="T12" s="50"/>
      <c r="U12" s="48"/>
      <c r="V12" s="48"/>
      <c r="W12" s="48"/>
      <c r="X12" s="48"/>
      <c r="Y12" s="48"/>
      <c r="Z12" s="50"/>
      <c r="AA12" s="48"/>
      <c r="AB12" s="50"/>
      <c r="AC12" s="48"/>
      <c r="AD12" s="48"/>
      <c r="AE12" s="48"/>
      <c r="AF12" s="50"/>
      <c r="AG12" s="48"/>
      <c r="AH12" s="48"/>
      <c r="AI12" s="48"/>
      <c r="AJ12" s="48"/>
      <c r="AK12" s="48"/>
      <c r="AL12" s="48"/>
      <c r="AM12" s="48"/>
      <c r="AN12" s="48"/>
      <c r="AO12" s="48" t="s">
        <v>465</v>
      </c>
      <c r="AP12" s="49" t="s">
        <v>463</v>
      </c>
      <c r="AQ12" s="49"/>
      <c r="AR12" s="49"/>
      <c r="AS12" s="51"/>
      <c r="AT12" s="49">
        <v>16.3</v>
      </c>
      <c r="AU12" s="49" t="s">
        <v>466</v>
      </c>
      <c r="AV12" s="48"/>
      <c r="AW12" s="49">
        <v>0</v>
      </c>
      <c r="AX12" s="49">
        <v>0</v>
      </c>
      <c r="AY12" s="49">
        <v>0</v>
      </c>
      <c r="AZ12" s="49">
        <v>17</v>
      </c>
      <c r="BA12" s="49">
        <v>0</v>
      </c>
      <c r="BB12" s="49">
        <v>0</v>
      </c>
      <c r="BC12" s="49">
        <v>0</v>
      </c>
      <c r="BD12" s="49">
        <v>0</v>
      </c>
      <c r="BE12" s="49">
        <v>0</v>
      </c>
      <c r="BF12" s="49">
        <v>0</v>
      </c>
      <c r="BG12" s="49">
        <v>0</v>
      </c>
      <c r="BH12" s="49">
        <v>0</v>
      </c>
      <c r="BI12" s="49"/>
      <c r="BJ12" s="49" t="s">
        <v>463</v>
      </c>
      <c r="BK12" s="49">
        <v>12</v>
      </c>
      <c r="BL12" s="49" t="s">
        <v>463</v>
      </c>
      <c r="BM12" s="49"/>
      <c r="BN12" s="49"/>
      <c r="BO12" s="49"/>
      <c r="BP12" s="49"/>
      <c r="BQ12" s="48"/>
      <c r="BR12" s="48"/>
      <c r="BS12" s="49"/>
      <c r="BT12" s="49" t="s">
        <v>467</v>
      </c>
      <c r="BU12" s="48"/>
      <c r="BV12" t="s">
        <v>61</v>
      </c>
      <c r="BW12" s="118" t="s">
        <v>90</v>
      </c>
    </row>
    <row r="13" spans="1:75" x14ac:dyDescent="0.15">
      <c r="A13" s="45">
        <v>3587</v>
      </c>
      <c r="B13" s="123">
        <v>41865</v>
      </c>
      <c r="C13" s="47" t="s">
        <v>517</v>
      </c>
      <c r="D13" s="48" t="s">
        <v>518</v>
      </c>
      <c r="E13" s="48"/>
      <c r="F13" s="48" t="s">
        <v>519</v>
      </c>
      <c r="G13" s="127">
        <v>41858</v>
      </c>
      <c r="H13" s="49" t="s">
        <v>520</v>
      </c>
      <c r="I13" s="49" t="s">
        <v>521</v>
      </c>
      <c r="J13" s="49"/>
      <c r="K13" s="48" t="s">
        <v>522</v>
      </c>
      <c r="L13" s="48" t="s">
        <v>503</v>
      </c>
      <c r="M13" s="48">
        <v>81.680000000000007</v>
      </c>
      <c r="N13" s="48">
        <v>37.99</v>
      </c>
      <c r="O13" s="48" t="s">
        <v>523</v>
      </c>
      <c r="P13" s="50">
        <v>1000</v>
      </c>
      <c r="Q13" s="48">
        <v>42.61</v>
      </c>
      <c r="R13" s="126">
        <v>1000</v>
      </c>
      <c r="S13" s="48">
        <v>42.61</v>
      </c>
      <c r="T13" s="126">
        <v>1000</v>
      </c>
      <c r="U13" s="48">
        <v>42.61</v>
      </c>
      <c r="V13" s="48"/>
      <c r="W13" s="48"/>
      <c r="X13" s="48"/>
      <c r="Y13" s="48"/>
      <c r="Z13" s="48"/>
      <c r="AA13" s="48"/>
      <c r="AB13" s="48"/>
      <c r="AC13" s="48"/>
      <c r="AD13" s="48"/>
      <c r="AE13" s="48"/>
      <c r="AF13" s="48"/>
      <c r="AG13" s="48"/>
      <c r="AH13" s="48"/>
      <c r="AI13" s="48"/>
      <c r="AJ13" s="48"/>
      <c r="AK13" s="48"/>
      <c r="AL13" s="48"/>
      <c r="AM13" s="48"/>
      <c r="AN13" s="48"/>
      <c r="AO13" s="48" t="s">
        <v>524</v>
      </c>
      <c r="AP13" s="49" t="s">
        <v>521</v>
      </c>
      <c r="AQ13" s="49"/>
      <c r="AR13" s="49"/>
      <c r="AS13" s="51"/>
      <c r="AT13" s="49">
        <v>10</v>
      </c>
      <c r="AU13" s="49" t="s">
        <v>463</v>
      </c>
      <c r="AV13" s="48"/>
      <c r="AW13" s="49">
        <v>0</v>
      </c>
      <c r="AX13" s="49">
        <v>0</v>
      </c>
      <c r="AY13" s="49">
        <v>0</v>
      </c>
      <c r="AZ13" s="49">
        <v>18</v>
      </c>
      <c r="BA13" s="49">
        <v>0</v>
      </c>
      <c r="BB13" s="49">
        <v>0</v>
      </c>
      <c r="BC13" s="49">
        <v>0</v>
      </c>
      <c r="BD13" s="49">
        <v>0</v>
      </c>
      <c r="BE13" s="49">
        <v>0</v>
      </c>
      <c r="BF13" s="49">
        <v>0</v>
      </c>
      <c r="BG13" s="49">
        <v>0</v>
      </c>
      <c r="BH13" s="49">
        <v>0</v>
      </c>
      <c r="BI13" s="49"/>
      <c r="BJ13" s="49" t="s">
        <v>463</v>
      </c>
      <c r="BK13" s="49">
        <v>24</v>
      </c>
      <c r="BL13" s="49" t="s">
        <v>463</v>
      </c>
      <c r="BM13" s="49"/>
      <c r="BN13" s="49"/>
      <c r="BO13" s="49"/>
      <c r="BP13" s="49"/>
      <c r="BQ13" s="130" t="s">
        <v>525</v>
      </c>
      <c r="BR13" s="52" t="s">
        <v>504</v>
      </c>
      <c r="BS13" s="49">
        <v>50</v>
      </c>
      <c r="BT13" s="49" t="s">
        <v>467</v>
      </c>
      <c r="BU13" s="48"/>
      <c r="BV13" t="s">
        <v>475</v>
      </c>
      <c r="BW13" s="124" t="s">
        <v>90</v>
      </c>
    </row>
    <row r="14" spans="1:75" x14ac:dyDescent="0.15">
      <c r="A14" s="45">
        <v>1016</v>
      </c>
      <c r="B14" s="123">
        <v>41865</v>
      </c>
      <c r="C14" s="47" t="s">
        <v>476</v>
      </c>
      <c r="D14" s="48" t="s">
        <v>477</v>
      </c>
      <c r="E14" s="48"/>
      <c r="F14" s="48" t="s">
        <v>478</v>
      </c>
      <c r="G14" s="129">
        <v>41844</v>
      </c>
      <c r="H14" s="49" t="s">
        <v>479</v>
      </c>
      <c r="I14" s="49" t="s">
        <v>480</v>
      </c>
      <c r="J14" s="49"/>
      <c r="K14" s="48" t="s">
        <v>505</v>
      </c>
      <c r="L14" s="48" t="s">
        <v>506</v>
      </c>
      <c r="M14" s="48">
        <v>84.95</v>
      </c>
      <c r="N14" s="48">
        <v>37.65</v>
      </c>
      <c r="O14" s="48" t="s">
        <v>483</v>
      </c>
      <c r="P14" s="50">
        <v>1000</v>
      </c>
      <c r="Q14" s="48">
        <v>39.950000000000003</v>
      </c>
      <c r="R14" s="126">
        <v>1000</v>
      </c>
      <c r="S14" s="48">
        <v>39.950000000000003</v>
      </c>
      <c r="T14" s="126">
        <v>1000</v>
      </c>
      <c r="U14" s="48">
        <v>39.950000000000003</v>
      </c>
      <c r="V14" s="48"/>
      <c r="W14" s="48"/>
      <c r="X14" s="50"/>
      <c r="Y14" s="48"/>
      <c r="Z14" s="50"/>
      <c r="AA14" s="48"/>
      <c r="AB14" s="50"/>
      <c r="AC14" s="48"/>
      <c r="AD14" s="48"/>
      <c r="AE14" s="48"/>
      <c r="AF14" s="50"/>
      <c r="AG14" s="48"/>
      <c r="AH14" s="48"/>
      <c r="AI14" s="48"/>
      <c r="AJ14" s="48"/>
      <c r="AK14" s="48"/>
      <c r="AL14" s="48"/>
      <c r="AM14" s="48"/>
      <c r="AN14" s="48"/>
      <c r="AO14" s="48" t="s">
        <v>484</v>
      </c>
      <c r="AP14" s="49" t="s">
        <v>480</v>
      </c>
      <c r="AQ14" s="49"/>
      <c r="AR14" s="49"/>
      <c r="AS14" s="51"/>
      <c r="AT14" s="49">
        <v>16</v>
      </c>
      <c r="AU14" s="49" t="s">
        <v>491</v>
      </c>
      <c r="AV14" s="48"/>
      <c r="AW14" s="49">
        <v>0</v>
      </c>
      <c r="AX14" s="49">
        <v>0</v>
      </c>
      <c r="AY14" s="49">
        <v>10</v>
      </c>
      <c r="AZ14" s="49">
        <v>0</v>
      </c>
      <c r="BA14" s="49">
        <v>0</v>
      </c>
      <c r="BB14" s="49">
        <v>0</v>
      </c>
      <c r="BC14" s="49">
        <v>0</v>
      </c>
      <c r="BD14" s="49">
        <v>0</v>
      </c>
      <c r="BE14" s="49">
        <v>0</v>
      </c>
      <c r="BF14" s="49">
        <v>0</v>
      </c>
      <c r="BG14" s="49">
        <v>0</v>
      </c>
      <c r="BH14" s="49">
        <v>0</v>
      </c>
      <c r="BI14" s="49"/>
      <c r="BJ14" s="49" t="s">
        <v>480</v>
      </c>
      <c r="BK14" s="49"/>
      <c r="BL14" s="49" t="s">
        <v>480</v>
      </c>
      <c r="BM14" s="49"/>
      <c r="BN14" s="49"/>
      <c r="BO14" s="49"/>
      <c r="BP14" s="49"/>
      <c r="BQ14" s="48"/>
      <c r="BR14" s="48"/>
      <c r="BS14" s="49"/>
      <c r="BT14" s="49" t="s">
        <v>486</v>
      </c>
      <c r="BU14" s="48"/>
      <c r="BV14" t="s">
        <v>516</v>
      </c>
      <c r="BW14" s="118" t="s">
        <v>90</v>
      </c>
    </row>
    <row r="15" spans="1:75" x14ac:dyDescent="0.15">
      <c r="A15" s="45">
        <v>8426</v>
      </c>
      <c r="B15" s="123">
        <v>41829</v>
      </c>
      <c r="C15" s="47" t="s">
        <v>459</v>
      </c>
      <c r="D15" s="48" t="s">
        <v>460</v>
      </c>
      <c r="E15" s="48"/>
      <c r="F15" s="48" t="s">
        <v>461</v>
      </c>
      <c r="G15" s="46">
        <v>41787</v>
      </c>
      <c r="H15" s="49" t="s">
        <v>507</v>
      </c>
      <c r="I15" s="49" t="s">
        <v>508</v>
      </c>
      <c r="J15" s="49"/>
      <c r="K15" s="48" t="s">
        <v>452</v>
      </c>
      <c r="L15" s="48" t="s">
        <v>509</v>
      </c>
      <c r="M15" s="48">
        <v>90.6</v>
      </c>
      <c r="N15" s="48">
        <v>47.8</v>
      </c>
      <c r="O15" s="48" t="s">
        <v>470</v>
      </c>
      <c r="P15" s="50">
        <v>1000</v>
      </c>
      <c r="Q15" s="48">
        <v>50</v>
      </c>
      <c r="R15" s="126">
        <v>1000</v>
      </c>
      <c r="S15" s="126">
        <v>50</v>
      </c>
      <c r="T15" s="126">
        <v>1000</v>
      </c>
      <c r="U15" s="126">
        <v>50</v>
      </c>
      <c r="V15" s="48"/>
      <c r="W15" s="48"/>
      <c r="X15" s="48"/>
      <c r="Y15" s="48"/>
      <c r="Z15" s="48"/>
      <c r="AA15" s="48"/>
      <c r="AB15" s="48"/>
      <c r="AC15" s="48"/>
      <c r="AD15" s="48"/>
      <c r="AE15" s="48"/>
      <c r="AF15" s="50"/>
      <c r="AG15" s="48"/>
      <c r="AH15" s="48"/>
      <c r="AI15" s="48"/>
      <c r="AJ15" s="48"/>
      <c r="AK15" s="48"/>
      <c r="AL15" s="48"/>
      <c r="AM15" s="48"/>
      <c r="AN15" s="48"/>
      <c r="AO15" s="48" t="s">
        <v>465</v>
      </c>
      <c r="AP15" s="49" t="s">
        <v>463</v>
      </c>
      <c r="AQ15" s="49"/>
      <c r="AR15" s="49"/>
      <c r="AS15" s="51">
        <v>5</v>
      </c>
      <c r="AT15" s="49">
        <v>20</v>
      </c>
      <c r="AU15" s="49" t="s">
        <v>463</v>
      </c>
      <c r="AV15" s="48"/>
      <c r="AW15" s="49">
        <v>0</v>
      </c>
      <c r="AX15" s="49">
        <v>0</v>
      </c>
      <c r="AY15" s="49">
        <v>5</v>
      </c>
      <c r="AZ15" s="49">
        <v>0</v>
      </c>
      <c r="BA15" s="49">
        <v>0</v>
      </c>
      <c r="BB15" s="49">
        <v>0</v>
      </c>
      <c r="BC15" s="49">
        <v>0</v>
      </c>
      <c r="BD15" s="49">
        <v>0</v>
      </c>
      <c r="BE15" s="49">
        <v>0</v>
      </c>
      <c r="BF15" s="49">
        <v>0</v>
      </c>
      <c r="BG15" s="49">
        <v>0</v>
      </c>
      <c r="BH15" s="49">
        <v>0</v>
      </c>
      <c r="BI15" s="49"/>
      <c r="BJ15" s="49" t="s">
        <v>463</v>
      </c>
      <c r="BK15" s="49"/>
      <c r="BL15" s="49" t="s">
        <v>463</v>
      </c>
      <c r="BM15" s="49"/>
      <c r="BN15" s="49"/>
      <c r="BO15" s="49"/>
      <c r="BP15" s="49"/>
      <c r="BQ15" s="52"/>
      <c r="BR15" s="48"/>
      <c r="BS15" s="49"/>
      <c r="BT15" s="49" t="s">
        <v>467</v>
      </c>
      <c r="BU15" s="48" t="s">
        <v>510</v>
      </c>
      <c r="BV15" t="s">
        <v>79</v>
      </c>
      <c r="BW15" t="s">
        <v>56</v>
      </c>
    </row>
    <row r="16" spans="1:75" x14ac:dyDescent="0.15">
      <c r="A16" s="45">
        <v>8798</v>
      </c>
      <c r="B16" s="123">
        <v>41864</v>
      </c>
      <c r="C16" s="47" t="s">
        <v>459</v>
      </c>
      <c r="D16" s="48" t="s">
        <v>460</v>
      </c>
      <c r="E16" s="48"/>
      <c r="F16" s="48" t="s">
        <v>511</v>
      </c>
      <c r="G16" s="123">
        <v>41851</v>
      </c>
      <c r="H16" s="49" t="s">
        <v>462</v>
      </c>
      <c r="I16" s="49" t="s">
        <v>508</v>
      </c>
      <c r="J16" s="49"/>
      <c r="K16" s="48" t="s">
        <v>464</v>
      </c>
      <c r="L16" s="48" t="s">
        <v>526</v>
      </c>
      <c r="M16" s="48">
        <v>83</v>
      </c>
      <c r="N16" s="48">
        <v>37.799999999999997</v>
      </c>
      <c r="O16" s="48"/>
      <c r="P16" s="50"/>
      <c r="Q16" s="48"/>
      <c r="R16" s="50"/>
      <c r="S16" s="48"/>
      <c r="T16" s="50"/>
      <c r="U16" s="48"/>
      <c r="V16" s="48"/>
      <c r="W16" s="48"/>
      <c r="X16" s="48"/>
      <c r="Y16" s="48"/>
      <c r="Z16" s="50"/>
      <c r="AA16" s="48"/>
      <c r="AB16" s="50"/>
      <c r="AC16" s="48"/>
      <c r="AD16" s="48"/>
      <c r="AE16" s="48">
        <v>21.9</v>
      </c>
      <c r="AF16" s="50"/>
      <c r="AG16" s="48"/>
      <c r="AH16" s="48"/>
      <c r="AI16" s="48"/>
      <c r="AJ16" s="48"/>
      <c r="AK16" s="48"/>
      <c r="AL16" s="48"/>
      <c r="AM16" s="48"/>
      <c r="AN16" s="48"/>
      <c r="AO16" s="48" t="s">
        <v>512</v>
      </c>
      <c r="AP16" s="49" t="s">
        <v>463</v>
      </c>
      <c r="AQ16" s="49"/>
      <c r="AR16" s="49"/>
      <c r="AS16" s="51"/>
      <c r="AT16" s="49">
        <v>20</v>
      </c>
      <c r="AU16" s="49" t="s">
        <v>466</v>
      </c>
      <c r="AV16" s="48"/>
      <c r="AW16" s="49">
        <v>0</v>
      </c>
      <c r="AX16" s="49">
        <v>0</v>
      </c>
      <c r="AY16" s="49">
        <v>0</v>
      </c>
      <c r="AZ16" s="49">
        <v>0</v>
      </c>
      <c r="BA16" s="49">
        <v>0</v>
      </c>
      <c r="BB16" s="49">
        <v>0</v>
      </c>
      <c r="BC16" s="49">
        <v>0</v>
      </c>
      <c r="BD16" s="49">
        <v>0</v>
      </c>
      <c r="BE16" s="49">
        <v>0</v>
      </c>
      <c r="BF16" s="49">
        <v>0</v>
      </c>
      <c r="BG16" s="49">
        <v>0</v>
      </c>
      <c r="BH16" s="49">
        <v>0</v>
      </c>
      <c r="BI16" s="49"/>
      <c r="BJ16" s="49" t="s">
        <v>463</v>
      </c>
      <c r="BK16" s="49">
        <v>24</v>
      </c>
      <c r="BL16" s="49" t="s">
        <v>463</v>
      </c>
      <c r="BM16" s="49"/>
      <c r="BN16" s="49"/>
      <c r="BO16" s="49"/>
      <c r="BP16" s="49"/>
      <c r="BQ16" s="52"/>
      <c r="BR16" s="52"/>
      <c r="BS16" s="49"/>
      <c r="BT16" s="49" t="s">
        <v>467</v>
      </c>
      <c r="BU16" s="52"/>
      <c r="BV16" s="118" t="s">
        <v>79</v>
      </c>
      <c r="BW16" s="124" t="s">
        <v>527</v>
      </c>
    </row>
    <row r="17" spans="1:75" x14ac:dyDescent="0.15">
      <c r="A17" s="45">
        <v>955</v>
      </c>
      <c r="B17" s="123">
        <v>41865</v>
      </c>
      <c r="C17" s="47" t="s">
        <v>459</v>
      </c>
      <c r="D17" s="48" t="s">
        <v>460</v>
      </c>
      <c r="E17" s="48"/>
      <c r="F17" s="48" t="s">
        <v>511</v>
      </c>
      <c r="G17" s="127">
        <v>41865</v>
      </c>
      <c r="H17" s="49" t="s">
        <v>462</v>
      </c>
      <c r="I17" s="49" t="s">
        <v>463</v>
      </c>
      <c r="J17" s="49"/>
      <c r="K17" s="48" t="s">
        <v>468</v>
      </c>
      <c r="L17" s="48" t="s">
        <v>469</v>
      </c>
      <c r="M17" s="48">
        <v>83</v>
      </c>
      <c r="N17" s="48">
        <v>39</v>
      </c>
      <c r="O17" s="48" t="s">
        <v>470</v>
      </c>
      <c r="P17" s="50">
        <v>300</v>
      </c>
      <c r="Q17" s="48">
        <v>43.45</v>
      </c>
      <c r="R17" s="50">
        <v>1000</v>
      </c>
      <c r="S17" s="48">
        <v>43.45</v>
      </c>
      <c r="T17" s="50">
        <v>2500</v>
      </c>
      <c r="U17" s="48">
        <v>43.45</v>
      </c>
      <c r="V17" s="48"/>
      <c r="W17" s="48"/>
      <c r="X17" s="48"/>
      <c r="Y17" s="48"/>
      <c r="Z17" s="48"/>
      <c r="AA17" s="48"/>
      <c r="AB17" s="48"/>
      <c r="AC17" s="48"/>
      <c r="AD17" s="48"/>
      <c r="AE17" s="48">
        <v>21.5</v>
      </c>
      <c r="AF17" s="50"/>
      <c r="AG17" s="48"/>
      <c r="AH17" s="48"/>
      <c r="AI17" s="48"/>
      <c r="AJ17" s="48"/>
      <c r="AK17" s="48"/>
      <c r="AL17" s="48"/>
      <c r="AM17" s="48"/>
      <c r="AN17" s="48"/>
      <c r="AO17" s="48" t="s">
        <v>512</v>
      </c>
      <c r="AP17" s="49" t="s">
        <v>463</v>
      </c>
      <c r="AQ17" s="49"/>
      <c r="AR17" s="49"/>
      <c r="AS17" s="51"/>
      <c r="AT17" s="49">
        <v>9.5</v>
      </c>
      <c r="AU17" s="49" t="s">
        <v>463</v>
      </c>
      <c r="AV17" s="48"/>
      <c r="AW17" s="49">
        <v>0</v>
      </c>
      <c r="AX17" s="49">
        <v>0</v>
      </c>
      <c r="AY17" s="49">
        <v>0</v>
      </c>
      <c r="AZ17" s="49">
        <v>25</v>
      </c>
      <c r="BA17" s="49">
        <v>0</v>
      </c>
      <c r="BB17" s="49">
        <v>0</v>
      </c>
      <c r="BC17" s="49">
        <v>0</v>
      </c>
      <c r="BD17" s="49">
        <v>0</v>
      </c>
      <c r="BE17" s="49">
        <v>0</v>
      </c>
      <c r="BF17" s="49">
        <v>0</v>
      </c>
      <c r="BG17" s="49">
        <v>0</v>
      </c>
      <c r="BH17" s="49">
        <v>0</v>
      </c>
      <c r="BI17" s="128"/>
      <c r="BJ17" s="49" t="s">
        <v>463</v>
      </c>
      <c r="BK17" s="49">
        <v>24</v>
      </c>
      <c r="BL17" s="49" t="s">
        <v>463</v>
      </c>
      <c r="BM17" s="49"/>
      <c r="BN17" s="49"/>
      <c r="BO17" s="49"/>
      <c r="BP17" s="49"/>
      <c r="BQ17" s="48"/>
      <c r="BR17" s="48"/>
      <c r="BS17" s="49"/>
      <c r="BT17" s="49" t="s">
        <v>467</v>
      </c>
      <c r="BU17" s="48"/>
      <c r="BV17" s="118" t="s">
        <v>79</v>
      </c>
      <c r="BW17" s="124" t="s">
        <v>90</v>
      </c>
    </row>
    <row r="18" spans="1:75" x14ac:dyDescent="0.15">
      <c r="A18" s="45">
        <v>6223</v>
      </c>
      <c r="B18" s="123">
        <v>41829</v>
      </c>
      <c r="C18" s="47" t="s">
        <v>459</v>
      </c>
      <c r="D18" s="48" t="s">
        <v>460</v>
      </c>
      <c r="E18" s="48"/>
      <c r="F18" s="48" t="s">
        <v>511</v>
      </c>
      <c r="G18" s="46">
        <v>41698</v>
      </c>
      <c r="H18" s="49" t="s">
        <v>462</v>
      </c>
      <c r="I18" s="49" t="s">
        <v>471</v>
      </c>
      <c r="J18" s="49"/>
      <c r="K18" s="48" t="s">
        <v>472</v>
      </c>
      <c r="L18" s="48" t="s">
        <v>473</v>
      </c>
      <c r="M18" s="48">
        <v>90.6</v>
      </c>
      <c r="N18" s="48">
        <v>47.8</v>
      </c>
      <c r="O18" s="48" t="s">
        <v>470</v>
      </c>
      <c r="P18" s="50">
        <v>1000</v>
      </c>
      <c r="Q18" s="48">
        <v>50</v>
      </c>
      <c r="R18" s="126">
        <v>1000</v>
      </c>
      <c r="S18" s="126">
        <v>50</v>
      </c>
      <c r="T18" s="126">
        <v>1000</v>
      </c>
      <c r="U18" s="126">
        <v>50</v>
      </c>
      <c r="V18" s="48"/>
      <c r="W18" s="48"/>
      <c r="X18" s="48"/>
      <c r="Y18" s="48"/>
      <c r="Z18" s="48"/>
      <c r="AA18" s="48"/>
      <c r="AB18" s="48"/>
      <c r="AC18" s="48"/>
      <c r="AD18" s="48"/>
      <c r="AE18" s="48">
        <v>39.200000000000003</v>
      </c>
      <c r="AF18" s="50"/>
      <c r="AG18" s="48"/>
      <c r="AH18" s="48"/>
      <c r="AI18" s="48"/>
      <c r="AJ18" s="48"/>
      <c r="AK18" s="48"/>
      <c r="AL18" s="48"/>
      <c r="AM18" s="48"/>
      <c r="AN18" s="48"/>
      <c r="AO18" s="48" t="s">
        <v>512</v>
      </c>
      <c r="AP18" s="49" t="s">
        <v>463</v>
      </c>
      <c r="AQ18" s="49"/>
      <c r="AR18" s="49"/>
      <c r="AS18" s="51">
        <v>5</v>
      </c>
      <c r="AT18" s="49">
        <v>15</v>
      </c>
      <c r="AU18" s="49" t="s">
        <v>463</v>
      </c>
      <c r="AV18" s="48"/>
      <c r="AW18" s="49">
        <v>0</v>
      </c>
      <c r="AX18" s="49">
        <v>0</v>
      </c>
      <c r="AY18" s="49">
        <v>24</v>
      </c>
      <c r="AZ18" s="49">
        <v>0</v>
      </c>
      <c r="BA18" s="49">
        <v>0</v>
      </c>
      <c r="BB18" s="49">
        <v>0</v>
      </c>
      <c r="BC18" s="49">
        <v>0</v>
      </c>
      <c r="BD18" s="49">
        <v>0</v>
      </c>
      <c r="BE18" s="49">
        <v>0</v>
      </c>
      <c r="BF18" s="49">
        <v>0</v>
      </c>
      <c r="BG18" s="49">
        <v>0</v>
      </c>
      <c r="BH18" s="49">
        <v>0</v>
      </c>
      <c r="BI18" s="49"/>
      <c r="BJ18" s="49" t="s">
        <v>463</v>
      </c>
      <c r="BK18" s="49"/>
      <c r="BL18" s="49" t="s">
        <v>463</v>
      </c>
      <c r="BM18" s="49"/>
      <c r="BN18" s="49"/>
      <c r="BO18" s="49"/>
      <c r="BP18" s="49"/>
      <c r="BQ18" s="52"/>
      <c r="BR18" s="48"/>
      <c r="BS18" s="49"/>
      <c r="BT18" s="49" t="s">
        <v>467</v>
      </c>
      <c r="BU18" s="52" t="s">
        <v>474</v>
      </c>
      <c r="BV18" t="s">
        <v>475</v>
      </c>
      <c r="BW18" s="124" t="s">
        <v>56</v>
      </c>
    </row>
    <row r="19" spans="1:75" x14ac:dyDescent="0.15">
      <c r="A19" s="45">
        <v>957</v>
      </c>
      <c r="B19" s="123">
        <v>41864</v>
      </c>
      <c r="C19" s="47" t="s">
        <v>476</v>
      </c>
      <c r="D19" s="48" t="s">
        <v>477</v>
      </c>
      <c r="E19" s="48"/>
      <c r="F19" s="48" t="s">
        <v>513</v>
      </c>
      <c r="G19" s="127">
        <v>41847</v>
      </c>
      <c r="H19" s="49" t="s">
        <v>479</v>
      </c>
      <c r="I19" s="49" t="s">
        <v>480</v>
      </c>
      <c r="J19" s="49"/>
      <c r="K19" s="48" t="s">
        <v>481</v>
      </c>
      <c r="L19" s="48" t="s">
        <v>482</v>
      </c>
      <c r="M19" s="48">
        <v>80.95</v>
      </c>
      <c r="N19" s="48">
        <v>40.9</v>
      </c>
      <c r="O19" s="48" t="s">
        <v>483</v>
      </c>
      <c r="P19" s="50">
        <v>1000</v>
      </c>
      <c r="Q19" s="48">
        <v>44.4</v>
      </c>
      <c r="R19" s="126">
        <v>1000</v>
      </c>
      <c r="S19" s="48">
        <v>44.4</v>
      </c>
      <c r="T19" s="126">
        <v>1000</v>
      </c>
      <c r="U19" s="48">
        <v>44.4</v>
      </c>
      <c r="V19" s="48"/>
      <c r="W19" s="48"/>
      <c r="X19" s="48"/>
      <c r="Y19" s="48"/>
      <c r="Z19" s="48"/>
      <c r="AA19" s="48"/>
      <c r="AB19" s="48"/>
      <c r="AC19" s="48"/>
      <c r="AD19" s="48"/>
      <c r="AE19" s="48">
        <v>22.49</v>
      </c>
      <c r="AF19" s="50"/>
      <c r="AG19" s="48"/>
      <c r="AH19" s="48"/>
      <c r="AI19" s="48"/>
      <c r="AJ19" s="48"/>
      <c r="AK19" s="48"/>
      <c r="AL19" s="48"/>
      <c r="AM19" s="48"/>
      <c r="AN19" s="48"/>
      <c r="AO19" s="48" t="s">
        <v>514</v>
      </c>
      <c r="AP19" s="49" t="s">
        <v>480</v>
      </c>
      <c r="AQ19" s="49"/>
      <c r="AR19" s="49"/>
      <c r="AS19" s="51"/>
      <c r="AT19" s="49">
        <v>11.6</v>
      </c>
      <c r="AU19" s="49" t="s">
        <v>480</v>
      </c>
      <c r="AV19" s="48"/>
      <c r="AW19" s="49">
        <v>0</v>
      </c>
      <c r="AX19" s="49">
        <v>0</v>
      </c>
      <c r="AY19" s="49">
        <v>0</v>
      </c>
      <c r="AZ19" s="49">
        <v>20</v>
      </c>
      <c r="BA19" s="49">
        <v>0</v>
      </c>
      <c r="BB19" s="49">
        <v>0</v>
      </c>
      <c r="BC19" s="49">
        <v>0</v>
      </c>
      <c r="BD19" s="49">
        <v>0</v>
      </c>
      <c r="BE19" s="49">
        <v>0</v>
      </c>
      <c r="BF19" s="49">
        <v>0</v>
      </c>
      <c r="BG19" s="49">
        <v>0</v>
      </c>
      <c r="BH19" s="49">
        <v>0</v>
      </c>
      <c r="BI19" s="49"/>
      <c r="BJ19" s="49" t="s">
        <v>480</v>
      </c>
      <c r="BK19" s="49"/>
      <c r="BL19" s="49" t="s">
        <v>480</v>
      </c>
      <c r="BM19" s="49"/>
      <c r="BN19" s="49"/>
      <c r="BO19" s="49"/>
      <c r="BP19" s="49"/>
      <c r="BQ19" s="48" t="s">
        <v>485</v>
      </c>
      <c r="BR19" s="48"/>
      <c r="BS19" s="49"/>
      <c r="BT19" s="49" t="s">
        <v>486</v>
      </c>
      <c r="BU19" s="48"/>
      <c r="BV19" t="s">
        <v>487</v>
      </c>
      <c r="BW19" s="53" t="s">
        <v>90</v>
      </c>
    </row>
    <row r="20" spans="1:75" x14ac:dyDescent="0.15">
      <c r="A20" s="45">
        <v>959</v>
      </c>
      <c r="B20" s="123">
        <v>41829</v>
      </c>
      <c r="C20" s="47" t="s">
        <v>459</v>
      </c>
      <c r="D20" s="48" t="s">
        <v>460</v>
      </c>
      <c r="E20" s="48"/>
      <c r="F20" s="48" t="s">
        <v>511</v>
      </c>
      <c r="G20" s="54">
        <v>41820</v>
      </c>
      <c r="H20" s="49" t="s">
        <v>462</v>
      </c>
      <c r="I20" s="49" t="s">
        <v>463</v>
      </c>
      <c r="J20" s="49"/>
      <c r="K20" s="48" t="s">
        <v>488</v>
      </c>
      <c r="L20" s="48" t="s">
        <v>489</v>
      </c>
      <c r="M20" s="48">
        <v>86.95</v>
      </c>
      <c r="N20" s="48">
        <v>33.26</v>
      </c>
      <c r="O20" s="48" t="s">
        <v>470</v>
      </c>
      <c r="P20" s="50">
        <v>300</v>
      </c>
      <c r="Q20" s="48">
        <v>35.89</v>
      </c>
      <c r="R20" s="50">
        <v>1000</v>
      </c>
      <c r="S20" s="48">
        <v>38.950000000000003</v>
      </c>
      <c r="T20" s="50">
        <v>2500</v>
      </c>
      <c r="U20" s="48">
        <v>39.869999999999997</v>
      </c>
      <c r="V20" s="48"/>
      <c r="W20" s="48"/>
      <c r="X20" s="48"/>
      <c r="Y20" s="48"/>
      <c r="Z20" s="48"/>
      <c r="AA20" s="48"/>
      <c r="AB20" s="48"/>
      <c r="AC20" s="48"/>
      <c r="AD20" s="48"/>
      <c r="AE20" s="48">
        <v>19.95</v>
      </c>
      <c r="AF20" s="50"/>
      <c r="AG20" s="48"/>
      <c r="AH20" s="48"/>
      <c r="AI20" s="48"/>
      <c r="AJ20" s="48"/>
      <c r="AK20" s="48"/>
      <c r="AL20" s="48"/>
      <c r="AM20" s="48"/>
      <c r="AN20" s="48"/>
      <c r="AO20" s="48" t="s">
        <v>512</v>
      </c>
      <c r="AP20" s="49" t="s">
        <v>463</v>
      </c>
      <c r="AQ20" s="49"/>
      <c r="AR20" s="49"/>
      <c r="AS20" s="51">
        <v>10</v>
      </c>
      <c r="AT20" s="49">
        <v>12</v>
      </c>
      <c r="AU20" s="49" t="s">
        <v>463</v>
      </c>
      <c r="AV20" s="48"/>
      <c r="AW20" s="49">
        <v>0</v>
      </c>
      <c r="AX20" s="49">
        <v>0</v>
      </c>
      <c r="AY20" s="49">
        <v>7</v>
      </c>
      <c r="AZ20" s="49">
        <v>0</v>
      </c>
      <c r="BA20" s="49">
        <v>0</v>
      </c>
      <c r="BB20" s="49">
        <v>0</v>
      </c>
      <c r="BC20" s="49">
        <v>0</v>
      </c>
      <c r="BD20" s="49">
        <v>0</v>
      </c>
      <c r="BE20" s="49">
        <v>0</v>
      </c>
      <c r="BF20" s="49">
        <v>0</v>
      </c>
      <c r="BG20" s="49">
        <v>0</v>
      </c>
      <c r="BH20" s="49">
        <v>0</v>
      </c>
      <c r="BI20" s="49"/>
      <c r="BJ20" s="49" t="s">
        <v>463</v>
      </c>
      <c r="BK20" s="49"/>
      <c r="BL20" s="49" t="s">
        <v>463</v>
      </c>
      <c r="BM20" s="49"/>
      <c r="BN20" s="49"/>
      <c r="BO20" s="49"/>
      <c r="BP20" s="49"/>
      <c r="BQ20" s="48"/>
      <c r="BR20" s="48"/>
      <c r="BS20" s="49"/>
      <c r="BT20" s="49" t="s">
        <v>467</v>
      </c>
      <c r="BU20" s="48"/>
      <c r="BV20" t="s">
        <v>79</v>
      </c>
      <c r="BW20" s="124" t="s">
        <v>90</v>
      </c>
    </row>
    <row r="21" spans="1:75" x14ac:dyDescent="0.15">
      <c r="A21" s="45">
        <v>961</v>
      </c>
      <c r="B21" s="123">
        <v>41864</v>
      </c>
      <c r="C21" s="47" t="s">
        <v>476</v>
      </c>
      <c r="D21" s="48" t="s">
        <v>477</v>
      </c>
      <c r="E21" s="48"/>
      <c r="F21" s="48" t="s">
        <v>513</v>
      </c>
      <c r="G21" s="127">
        <v>41846</v>
      </c>
      <c r="H21" s="49" t="s">
        <v>479</v>
      </c>
      <c r="I21" s="49" t="s">
        <v>480</v>
      </c>
      <c r="J21" s="49"/>
      <c r="K21" s="48" t="s">
        <v>490</v>
      </c>
      <c r="L21" s="48" t="s">
        <v>482</v>
      </c>
      <c r="M21" s="48">
        <v>80.95</v>
      </c>
      <c r="N21" s="48">
        <v>42.65</v>
      </c>
      <c r="O21" s="48" t="s">
        <v>483</v>
      </c>
      <c r="P21" s="50">
        <v>1000</v>
      </c>
      <c r="Q21" s="48">
        <v>46.25</v>
      </c>
      <c r="R21" s="126">
        <v>1000</v>
      </c>
      <c r="S21" s="48">
        <v>46.25</v>
      </c>
      <c r="T21" s="126">
        <v>1000</v>
      </c>
      <c r="U21" s="48">
        <v>46.25</v>
      </c>
      <c r="V21" s="48"/>
      <c r="W21" s="48"/>
      <c r="X21" s="48"/>
      <c r="Y21" s="48"/>
      <c r="Z21" s="48"/>
      <c r="AA21" s="48"/>
      <c r="AB21" s="48"/>
      <c r="AC21" s="48"/>
      <c r="AD21" s="48"/>
      <c r="AE21" s="48">
        <v>23.45</v>
      </c>
      <c r="AF21" s="50"/>
      <c r="AG21" s="48"/>
      <c r="AH21" s="48"/>
      <c r="AI21" s="48"/>
      <c r="AJ21" s="48"/>
      <c r="AK21" s="48"/>
      <c r="AL21" s="48"/>
      <c r="AM21" s="48"/>
      <c r="AN21" s="48"/>
      <c r="AO21" s="48" t="s">
        <v>514</v>
      </c>
      <c r="AP21" s="49" t="s">
        <v>480</v>
      </c>
      <c r="AQ21" s="49"/>
      <c r="AR21" s="49"/>
      <c r="AS21" s="51"/>
      <c r="AT21" s="49">
        <v>11.6</v>
      </c>
      <c r="AU21" s="49" t="s">
        <v>491</v>
      </c>
      <c r="AV21" s="48"/>
      <c r="AW21" s="49">
        <v>0</v>
      </c>
      <c r="AX21" s="49">
        <v>0</v>
      </c>
      <c r="AY21" s="49">
        <v>0</v>
      </c>
      <c r="AZ21" s="49">
        <v>0</v>
      </c>
      <c r="BA21" s="49">
        <v>0</v>
      </c>
      <c r="BB21" s="49">
        <v>25</v>
      </c>
      <c r="BC21" s="49">
        <v>0</v>
      </c>
      <c r="BD21" s="49">
        <v>0</v>
      </c>
      <c r="BE21" s="49">
        <v>0</v>
      </c>
      <c r="BF21" s="49">
        <v>0</v>
      </c>
      <c r="BG21" s="49">
        <v>0</v>
      </c>
      <c r="BH21" s="49">
        <v>0</v>
      </c>
      <c r="BI21" s="49"/>
      <c r="BJ21" s="49" t="s">
        <v>480</v>
      </c>
      <c r="BK21" s="49"/>
      <c r="BL21" s="49" t="s">
        <v>480</v>
      </c>
      <c r="BM21" s="49"/>
      <c r="BN21" s="49"/>
      <c r="BO21" s="49"/>
      <c r="BP21" s="49"/>
      <c r="BQ21" s="48"/>
      <c r="BR21" s="48"/>
      <c r="BS21" s="49"/>
      <c r="BT21" s="49" t="s">
        <v>486</v>
      </c>
      <c r="BU21" s="48"/>
      <c r="BV21" s="118" t="s">
        <v>79</v>
      </c>
      <c r="BW21" s="53" t="s">
        <v>90</v>
      </c>
    </row>
    <row r="22" spans="1:75" x14ac:dyDescent="0.15">
      <c r="A22" s="45">
        <v>3300</v>
      </c>
      <c r="B22" s="123">
        <v>41864</v>
      </c>
      <c r="C22" s="47" t="s">
        <v>459</v>
      </c>
      <c r="D22" s="48" t="s">
        <v>460</v>
      </c>
      <c r="E22" s="48"/>
      <c r="F22" s="48" t="s">
        <v>511</v>
      </c>
      <c r="G22" s="127">
        <v>41859</v>
      </c>
      <c r="H22" s="49" t="s">
        <v>462</v>
      </c>
      <c r="I22" s="49" t="s">
        <v>463</v>
      </c>
      <c r="J22" s="49"/>
      <c r="K22" s="48" t="s">
        <v>492</v>
      </c>
      <c r="L22" s="48" t="s">
        <v>515</v>
      </c>
      <c r="M22" s="48">
        <v>89.6</v>
      </c>
      <c r="N22" s="48">
        <v>42.27</v>
      </c>
      <c r="O22" s="48" t="s">
        <v>470</v>
      </c>
      <c r="P22" s="50">
        <v>1000</v>
      </c>
      <c r="Q22" s="48">
        <v>45.43</v>
      </c>
      <c r="R22" s="126">
        <v>1000</v>
      </c>
      <c r="S22" s="48">
        <v>45.43</v>
      </c>
      <c r="T22" s="126">
        <v>1000</v>
      </c>
      <c r="U22" s="48">
        <v>45.43</v>
      </c>
      <c r="V22" s="48"/>
      <c r="W22" s="48"/>
      <c r="X22" s="50"/>
      <c r="Y22" s="48"/>
      <c r="Z22" s="50"/>
      <c r="AA22" s="48"/>
      <c r="AB22" s="50"/>
      <c r="AC22" s="48"/>
      <c r="AD22" s="48"/>
      <c r="AE22" s="48">
        <v>16.91</v>
      </c>
      <c r="AF22" s="50"/>
      <c r="AG22" s="48"/>
      <c r="AH22" s="48"/>
      <c r="AI22" s="48"/>
      <c r="AJ22" s="48"/>
      <c r="AK22" s="48"/>
      <c r="AL22" s="48"/>
      <c r="AM22" s="48"/>
      <c r="AN22" s="48"/>
      <c r="AO22" s="48" t="s">
        <v>512</v>
      </c>
      <c r="AP22" s="49" t="s">
        <v>463</v>
      </c>
      <c r="AQ22" s="49"/>
      <c r="AR22" s="49"/>
      <c r="AS22" s="51"/>
      <c r="AT22" s="49">
        <v>15</v>
      </c>
      <c r="AU22" s="49" t="s">
        <v>466</v>
      </c>
      <c r="AV22" s="48"/>
      <c r="AW22" s="49">
        <v>0</v>
      </c>
      <c r="AX22" s="49">
        <v>20</v>
      </c>
      <c r="AY22" s="49">
        <v>0</v>
      </c>
      <c r="AZ22" s="49">
        <v>0</v>
      </c>
      <c r="BA22" s="49">
        <v>0</v>
      </c>
      <c r="BB22" s="49">
        <v>0</v>
      </c>
      <c r="BC22" s="49">
        <v>0</v>
      </c>
      <c r="BD22" s="49">
        <v>0</v>
      </c>
      <c r="BE22" s="49">
        <v>0</v>
      </c>
      <c r="BF22" s="49">
        <v>0</v>
      </c>
      <c r="BG22" s="49">
        <v>0</v>
      </c>
      <c r="BH22" s="49">
        <v>0</v>
      </c>
      <c r="BI22" s="49"/>
      <c r="BJ22" s="49" t="s">
        <v>463</v>
      </c>
      <c r="BK22" s="49">
        <v>12</v>
      </c>
      <c r="BL22" s="49" t="s">
        <v>463</v>
      </c>
      <c r="BM22" s="49"/>
      <c r="BN22" s="49"/>
      <c r="BO22" s="49"/>
      <c r="BP22" s="49"/>
      <c r="BQ22" s="52" t="s">
        <v>109</v>
      </c>
      <c r="BR22" s="52" t="s">
        <v>50</v>
      </c>
      <c r="BS22" s="49">
        <v>50</v>
      </c>
      <c r="BT22" s="49" t="s">
        <v>467</v>
      </c>
      <c r="BU22" s="48"/>
      <c r="BV22" t="s">
        <v>79</v>
      </c>
      <c r="BW22" s="124" t="s">
        <v>90</v>
      </c>
    </row>
    <row r="23" spans="1:75" x14ac:dyDescent="0.15">
      <c r="A23" s="45">
        <v>975</v>
      </c>
      <c r="B23" s="123">
        <v>41865</v>
      </c>
      <c r="C23" s="47" t="s">
        <v>459</v>
      </c>
      <c r="D23" s="48" t="s">
        <v>460</v>
      </c>
      <c r="E23" s="48"/>
      <c r="F23" s="48" t="s">
        <v>511</v>
      </c>
      <c r="G23" s="127">
        <v>41851</v>
      </c>
      <c r="H23" s="49" t="s">
        <v>462</v>
      </c>
      <c r="I23" s="49" t="s">
        <v>463</v>
      </c>
      <c r="J23" s="49"/>
      <c r="K23" s="48" t="s">
        <v>493</v>
      </c>
      <c r="L23" s="48" t="s">
        <v>494</v>
      </c>
      <c r="M23" s="48">
        <v>88</v>
      </c>
      <c r="N23" s="48">
        <v>39</v>
      </c>
      <c r="O23" s="48" t="s">
        <v>470</v>
      </c>
      <c r="P23" s="50">
        <v>1000</v>
      </c>
      <c r="Q23" s="48">
        <v>39.5</v>
      </c>
      <c r="R23" s="126">
        <v>1000</v>
      </c>
      <c r="S23" s="48">
        <v>39.5</v>
      </c>
      <c r="T23" s="126">
        <v>1000</v>
      </c>
      <c r="U23" s="48">
        <v>39.5</v>
      </c>
      <c r="V23" s="48"/>
      <c r="W23" s="48"/>
      <c r="X23" s="48"/>
      <c r="Y23" s="48"/>
      <c r="Z23" s="48"/>
      <c r="AA23" s="48"/>
      <c r="AB23" s="48"/>
      <c r="AC23" s="48"/>
      <c r="AD23" s="48"/>
      <c r="AE23" s="48">
        <v>20</v>
      </c>
      <c r="AF23" s="50"/>
      <c r="AG23" s="48"/>
      <c r="AH23" s="48"/>
      <c r="AI23" s="48"/>
      <c r="AJ23" s="48"/>
      <c r="AK23" s="48"/>
      <c r="AL23" s="48"/>
      <c r="AM23" s="48"/>
      <c r="AN23" s="48"/>
      <c r="AO23" s="48" t="s">
        <v>512</v>
      </c>
      <c r="AP23" s="49" t="s">
        <v>463</v>
      </c>
      <c r="AQ23" s="49"/>
      <c r="AR23" s="49"/>
      <c r="AS23" s="51"/>
      <c r="AT23" s="49">
        <v>16</v>
      </c>
      <c r="AU23" s="125" t="s">
        <v>495</v>
      </c>
      <c r="AV23" s="48"/>
      <c r="AW23" s="49">
        <v>0</v>
      </c>
      <c r="AX23" s="49">
        <v>0</v>
      </c>
      <c r="AY23" s="49">
        <v>15</v>
      </c>
      <c r="AZ23" s="49">
        <v>0</v>
      </c>
      <c r="BA23" s="49">
        <v>0</v>
      </c>
      <c r="BB23" s="49">
        <v>0</v>
      </c>
      <c r="BC23" s="49">
        <v>0</v>
      </c>
      <c r="BD23" s="49">
        <v>0</v>
      </c>
      <c r="BE23" s="49">
        <v>0</v>
      </c>
      <c r="BF23" s="49">
        <v>0</v>
      </c>
      <c r="BG23" s="49">
        <v>0</v>
      </c>
      <c r="BH23" s="49">
        <v>0</v>
      </c>
      <c r="BI23" s="49"/>
      <c r="BJ23" s="49" t="s">
        <v>463</v>
      </c>
      <c r="BK23" s="49"/>
      <c r="BL23" s="49" t="s">
        <v>463</v>
      </c>
      <c r="BM23" s="49"/>
      <c r="BN23" s="49"/>
      <c r="BO23" s="49"/>
      <c r="BP23" s="49"/>
      <c r="BQ23" s="48" t="s">
        <v>496</v>
      </c>
      <c r="BR23" s="48"/>
      <c r="BS23" s="49"/>
      <c r="BT23" s="49" t="s">
        <v>467</v>
      </c>
      <c r="BU23" s="48"/>
      <c r="BV23" s="118" t="s">
        <v>79</v>
      </c>
      <c r="BW23" s="124" t="s">
        <v>90</v>
      </c>
    </row>
    <row r="24" spans="1:75" x14ac:dyDescent="0.15">
      <c r="A24" s="45">
        <v>985</v>
      </c>
      <c r="B24" s="123">
        <v>41829</v>
      </c>
      <c r="C24" s="47" t="s">
        <v>476</v>
      </c>
      <c r="D24" s="48" t="s">
        <v>477</v>
      </c>
      <c r="E24" s="48"/>
      <c r="F24" s="48" t="s">
        <v>513</v>
      </c>
      <c r="G24" s="46">
        <v>41820</v>
      </c>
      <c r="H24" s="49" t="s">
        <v>479</v>
      </c>
      <c r="I24" s="49" t="s">
        <v>480</v>
      </c>
      <c r="J24" s="49"/>
      <c r="K24" s="48" t="s">
        <v>497</v>
      </c>
      <c r="L24" s="48" t="s">
        <v>498</v>
      </c>
      <c r="M24" s="48">
        <v>104.87</v>
      </c>
      <c r="N24" s="48">
        <v>36.270000000000003</v>
      </c>
      <c r="O24" s="48" t="s">
        <v>483</v>
      </c>
      <c r="P24" s="50">
        <v>600</v>
      </c>
      <c r="Q24" s="48">
        <v>36.270000000000003</v>
      </c>
      <c r="R24" s="126">
        <v>600</v>
      </c>
      <c r="S24" s="126">
        <v>36.270000000000003</v>
      </c>
      <c r="T24" s="126">
        <v>600</v>
      </c>
      <c r="U24" s="126">
        <v>36.270000000000003</v>
      </c>
      <c r="V24" s="48"/>
      <c r="W24" s="48"/>
      <c r="X24" s="48"/>
      <c r="Y24" s="48"/>
      <c r="Z24" s="48"/>
      <c r="AA24" s="48"/>
      <c r="AB24" s="48"/>
      <c r="AC24" s="48"/>
      <c r="AD24" s="48"/>
      <c r="AE24" s="48">
        <v>22.57</v>
      </c>
      <c r="AF24" s="50"/>
      <c r="AG24" s="48"/>
      <c r="AH24" s="48"/>
      <c r="AI24" s="48"/>
      <c r="AJ24" s="48"/>
      <c r="AK24" s="48"/>
      <c r="AL24" s="48"/>
      <c r="AM24" s="48"/>
      <c r="AN24" s="48"/>
      <c r="AO24" s="48" t="s">
        <v>514</v>
      </c>
      <c r="AP24" s="49" t="s">
        <v>480</v>
      </c>
      <c r="AQ24" s="49"/>
      <c r="AR24" s="49"/>
      <c r="AS24" s="51"/>
      <c r="AT24" s="49">
        <v>6.8</v>
      </c>
      <c r="AU24" s="49" t="s">
        <v>480</v>
      </c>
      <c r="AV24" s="48"/>
      <c r="AW24" s="49">
        <v>0</v>
      </c>
      <c r="AX24" s="49">
        <v>0</v>
      </c>
      <c r="AY24" s="49">
        <v>0</v>
      </c>
      <c r="AZ24" s="49">
        <v>0</v>
      </c>
      <c r="BA24" s="49">
        <v>0</v>
      </c>
      <c r="BB24" s="49">
        <v>0</v>
      </c>
      <c r="BC24" s="49">
        <v>0</v>
      </c>
      <c r="BD24" s="49">
        <v>0</v>
      </c>
      <c r="BE24" s="49">
        <v>0</v>
      </c>
      <c r="BF24" s="49">
        <v>0</v>
      </c>
      <c r="BG24" s="49">
        <v>0</v>
      </c>
      <c r="BH24" s="49">
        <v>0</v>
      </c>
      <c r="BI24" s="49"/>
      <c r="BJ24" s="49" t="s">
        <v>463</v>
      </c>
      <c r="BK24" s="49">
        <v>12</v>
      </c>
      <c r="BL24" s="49" t="s">
        <v>480</v>
      </c>
      <c r="BM24" s="49"/>
      <c r="BN24" s="49"/>
      <c r="BO24" s="49"/>
      <c r="BP24" s="49"/>
      <c r="BQ24" s="48"/>
      <c r="BR24" s="48"/>
      <c r="BS24" s="49"/>
      <c r="BT24" s="49" t="s">
        <v>486</v>
      </c>
      <c r="BU24" s="48"/>
      <c r="BV24" s="118" t="s">
        <v>79</v>
      </c>
      <c r="BW24" s="124" t="s">
        <v>90</v>
      </c>
    </row>
    <row r="25" spans="1:75" x14ac:dyDescent="0.15">
      <c r="A25" s="45">
        <v>4204</v>
      </c>
      <c r="B25" s="123">
        <v>41828</v>
      </c>
      <c r="C25" s="47" t="s">
        <v>459</v>
      </c>
      <c r="D25" s="48" t="s">
        <v>460</v>
      </c>
      <c r="E25" s="48"/>
      <c r="F25" s="48" t="s">
        <v>511</v>
      </c>
      <c r="G25" s="54">
        <v>41820</v>
      </c>
      <c r="H25" s="49" t="s">
        <v>462</v>
      </c>
      <c r="I25" s="49" t="s">
        <v>471</v>
      </c>
      <c r="J25" s="49"/>
      <c r="K25" s="48" t="s">
        <v>499</v>
      </c>
      <c r="L25" s="48" t="s">
        <v>0</v>
      </c>
      <c r="M25" s="48">
        <v>82.12</v>
      </c>
      <c r="N25" s="48">
        <v>36.380000000000003</v>
      </c>
      <c r="O25" s="48" t="s">
        <v>470</v>
      </c>
      <c r="P25" s="50">
        <v>1000</v>
      </c>
      <c r="Q25" s="48">
        <v>38.840000000000003</v>
      </c>
      <c r="R25" s="126">
        <v>1000</v>
      </c>
      <c r="S25" s="126">
        <v>38.840000000000003</v>
      </c>
      <c r="T25" s="126">
        <v>1000</v>
      </c>
      <c r="U25" s="126">
        <v>38.840000000000003</v>
      </c>
      <c r="V25" s="48"/>
      <c r="W25" s="48"/>
      <c r="X25" s="48"/>
      <c r="Y25" s="48"/>
      <c r="Z25" s="50"/>
      <c r="AA25" s="48"/>
      <c r="AB25" s="50"/>
      <c r="AC25" s="48"/>
      <c r="AD25" s="48"/>
      <c r="AE25" s="48">
        <v>19.059999999999999</v>
      </c>
      <c r="AF25" s="50"/>
      <c r="AG25" s="48"/>
      <c r="AH25" s="48"/>
      <c r="AI25" s="48"/>
      <c r="AJ25" s="48"/>
      <c r="AK25" s="48"/>
      <c r="AL25" s="48"/>
      <c r="AM25" s="48"/>
      <c r="AN25" s="48"/>
      <c r="AO25" s="48" t="s">
        <v>512</v>
      </c>
      <c r="AP25" s="49" t="s">
        <v>463</v>
      </c>
      <c r="AQ25" s="49"/>
      <c r="AR25" s="49"/>
      <c r="AS25" s="51">
        <v>10</v>
      </c>
      <c r="AT25" s="49">
        <v>20</v>
      </c>
      <c r="AU25" s="49" t="s">
        <v>466</v>
      </c>
      <c r="AV25" s="48"/>
      <c r="AW25" s="49">
        <v>0</v>
      </c>
      <c r="AX25" s="49">
        <v>12</v>
      </c>
      <c r="AY25" s="49">
        <v>0</v>
      </c>
      <c r="AZ25" s="49">
        <v>0</v>
      </c>
      <c r="BA25" s="49">
        <v>0</v>
      </c>
      <c r="BB25" s="49">
        <v>0</v>
      </c>
      <c r="BC25" s="49">
        <v>0</v>
      </c>
      <c r="BD25" s="49">
        <v>0</v>
      </c>
      <c r="BE25" s="49">
        <v>0</v>
      </c>
      <c r="BF25" s="49">
        <v>0</v>
      </c>
      <c r="BG25" s="49">
        <v>0</v>
      </c>
      <c r="BH25" s="49">
        <v>0</v>
      </c>
      <c r="BI25" s="49"/>
      <c r="BJ25" s="49" t="s">
        <v>463</v>
      </c>
      <c r="BK25" s="49">
        <v>24</v>
      </c>
      <c r="BL25" s="49" t="s">
        <v>463</v>
      </c>
      <c r="BM25" s="49"/>
      <c r="BN25" s="49"/>
      <c r="BO25" s="49"/>
      <c r="BP25" s="49"/>
      <c r="BQ25" s="52"/>
      <c r="BR25" s="52"/>
      <c r="BS25" s="49"/>
      <c r="BT25" s="49" t="s">
        <v>467</v>
      </c>
      <c r="BU25" s="52" t="s">
        <v>500</v>
      </c>
      <c r="BV25" s="118" t="s">
        <v>79</v>
      </c>
      <c r="BW25" s="118" t="s">
        <v>90</v>
      </c>
    </row>
    <row r="26" spans="1:75" x14ac:dyDescent="0.15">
      <c r="A26" s="45">
        <v>3782</v>
      </c>
      <c r="B26" s="123">
        <v>41829</v>
      </c>
      <c r="C26" s="47" t="s">
        <v>459</v>
      </c>
      <c r="D26" s="48" t="s">
        <v>460</v>
      </c>
      <c r="E26" s="48"/>
      <c r="F26" s="48" t="s">
        <v>511</v>
      </c>
      <c r="G26" s="46">
        <v>41823</v>
      </c>
      <c r="H26" s="49" t="s">
        <v>462</v>
      </c>
      <c r="I26" s="49" t="s">
        <v>463</v>
      </c>
      <c r="J26" s="49"/>
      <c r="K26" s="48" t="s">
        <v>501</v>
      </c>
      <c r="L26" s="48" t="s">
        <v>502</v>
      </c>
      <c r="M26" s="48">
        <v>83</v>
      </c>
      <c r="N26" s="48">
        <v>37.799999999999997</v>
      </c>
      <c r="O26" s="48"/>
      <c r="P26" s="50"/>
      <c r="Q26" s="48"/>
      <c r="R26" s="50"/>
      <c r="S26" s="48"/>
      <c r="T26" s="50"/>
      <c r="U26" s="48"/>
      <c r="V26" s="48"/>
      <c r="W26" s="48"/>
      <c r="X26" s="48"/>
      <c r="Y26" s="48"/>
      <c r="Z26" s="50"/>
      <c r="AA26" s="48"/>
      <c r="AB26" s="50"/>
      <c r="AC26" s="48"/>
      <c r="AD26" s="48"/>
      <c r="AE26" s="48">
        <v>21.9</v>
      </c>
      <c r="AF26" s="50"/>
      <c r="AG26" s="48"/>
      <c r="AH26" s="48"/>
      <c r="AI26" s="48"/>
      <c r="AJ26" s="48"/>
      <c r="AK26" s="48"/>
      <c r="AL26" s="48"/>
      <c r="AM26" s="48"/>
      <c r="AN26" s="48"/>
      <c r="AO26" s="48" t="s">
        <v>512</v>
      </c>
      <c r="AP26" s="49" t="s">
        <v>463</v>
      </c>
      <c r="AQ26" s="49"/>
      <c r="AR26" s="49"/>
      <c r="AS26" s="51"/>
      <c r="AT26" s="49">
        <v>16.3</v>
      </c>
      <c r="AU26" s="49" t="s">
        <v>466</v>
      </c>
      <c r="AV26" s="48"/>
      <c r="AW26" s="49">
        <v>0</v>
      </c>
      <c r="AX26" s="49">
        <v>0</v>
      </c>
      <c r="AY26" s="49">
        <v>0</v>
      </c>
      <c r="AZ26" s="49">
        <v>17</v>
      </c>
      <c r="BA26" s="49">
        <v>0</v>
      </c>
      <c r="BB26" s="49">
        <v>0</v>
      </c>
      <c r="BC26" s="49">
        <v>0</v>
      </c>
      <c r="BD26" s="49">
        <v>0</v>
      </c>
      <c r="BE26" s="49">
        <v>0</v>
      </c>
      <c r="BF26" s="49">
        <v>0</v>
      </c>
      <c r="BG26" s="49">
        <v>0</v>
      </c>
      <c r="BH26" s="49">
        <v>0</v>
      </c>
      <c r="BI26" s="49"/>
      <c r="BJ26" s="49" t="s">
        <v>463</v>
      </c>
      <c r="BK26" s="49">
        <v>12</v>
      </c>
      <c r="BL26" s="49" t="s">
        <v>463</v>
      </c>
      <c r="BM26" s="49"/>
      <c r="BN26" s="49"/>
      <c r="BO26" s="49"/>
      <c r="BP26" s="49"/>
      <c r="BQ26" s="48"/>
      <c r="BR26" s="48"/>
      <c r="BS26" s="49"/>
      <c r="BT26" s="49" t="s">
        <v>467</v>
      </c>
      <c r="BU26" s="48"/>
      <c r="BV26" t="s">
        <v>61</v>
      </c>
      <c r="BW26" s="118" t="s">
        <v>90</v>
      </c>
    </row>
    <row r="27" spans="1:75" x14ac:dyDescent="0.15">
      <c r="A27" s="45">
        <v>3588</v>
      </c>
      <c r="B27" s="123">
        <v>41865</v>
      </c>
      <c r="C27" s="47" t="s">
        <v>517</v>
      </c>
      <c r="D27" s="48" t="s">
        <v>518</v>
      </c>
      <c r="E27" s="48"/>
      <c r="F27" s="48" t="s">
        <v>528</v>
      </c>
      <c r="G27" s="127">
        <v>41858</v>
      </c>
      <c r="H27" s="49" t="s">
        <v>520</v>
      </c>
      <c r="I27" s="49" t="s">
        <v>521</v>
      </c>
      <c r="J27" s="49"/>
      <c r="K27" s="48" t="s">
        <v>522</v>
      </c>
      <c r="L27" s="48" t="s">
        <v>503</v>
      </c>
      <c r="M27" s="48">
        <v>81.680000000000007</v>
      </c>
      <c r="N27" s="48">
        <v>37.99</v>
      </c>
      <c r="O27" s="48" t="s">
        <v>523</v>
      </c>
      <c r="P27" s="50">
        <v>1000</v>
      </c>
      <c r="Q27" s="48">
        <v>42.61</v>
      </c>
      <c r="R27" s="126">
        <v>1000</v>
      </c>
      <c r="S27" s="48">
        <v>42.61</v>
      </c>
      <c r="T27" s="126">
        <v>1000</v>
      </c>
      <c r="U27" s="48">
        <v>42.61</v>
      </c>
      <c r="V27" s="48"/>
      <c r="W27" s="48"/>
      <c r="X27" s="48"/>
      <c r="Y27" s="48"/>
      <c r="Z27" s="48"/>
      <c r="AA27" s="48"/>
      <c r="AB27" s="48"/>
      <c r="AC27" s="48"/>
      <c r="AD27" s="48"/>
      <c r="AE27" s="48">
        <v>27.49</v>
      </c>
      <c r="AF27" s="50"/>
      <c r="AG27" s="48"/>
      <c r="AH27" s="48"/>
      <c r="AI27" s="48"/>
      <c r="AJ27" s="48"/>
      <c r="AK27" s="48"/>
      <c r="AL27" s="48"/>
      <c r="AM27" s="48"/>
      <c r="AN27" s="48"/>
      <c r="AO27" s="48" t="s">
        <v>529</v>
      </c>
      <c r="AP27" s="49" t="s">
        <v>521</v>
      </c>
      <c r="AQ27" s="49"/>
      <c r="AR27" s="49"/>
      <c r="AS27" s="51"/>
      <c r="AT27" s="49">
        <v>10</v>
      </c>
      <c r="AU27" s="49" t="s">
        <v>463</v>
      </c>
      <c r="AV27" s="48"/>
      <c r="AW27" s="49">
        <v>0</v>
      </c>
      <c r="AX27" s="49">
        <v>0</v>
      </c>
      <c r="AY27" s="49">
        <v>0</v>
      </c>
      <c r="AZ27" s="49">
        <v>18</v>
      </c>
      <c r="BA27" s="49">
        <v>0</v>
      </c>
      <c r="BB27" s="49">
        <v>0</v>
      </c>
      <c r="BC27" s="49">
        <v>0</v>
      </c>
      <c r="BD27" s="49">
        <v>0</v>
      </c>
      <c r="BE27" s="49">
        <v>0</v>
      </c>
      <c r="BF27" s="49">
        <v>0</v>
      </c>
      <c r="BG27" s="49">
        <v>0</v>
      </c>
      <c r="BH27" s="49">
        <v>0</v>
      </c>
      <c r="BI27" s="49"/>
      <c r="BJ27" s="49" t="s">
        <v>463</v>
      </c>
      <c r="BK27" s="49">
        <v>24</v>
      </c>
      <c r="BL27" s="49" t="s">
        <v>463</v>
      </c>
      <c r="BM27" s="49"/>
      <c r="BN27" s="49"/>
      <c r="BO27" s="49"/>
      <c r="BP27" s="49"/>
      <c r="BQ27" s="130" t="s">
        <v>525</v>
      </c>
      <c r="BR27" s="52" t="s">
        <v>504</v>
      </c>
      <c r="BS27" s="49">
        <v>50</v>
      </c>
      <c r="BT27" s="49" t="s">
        <v>467</v>
      </c>
      <c r="BU27" s="48"/>
      <c r="BV27" t="s">
        <v>475</v>
      </c>
      <c r="BW27" s="124" t="s">
        <v>90</v>
      </c>
    </row>
    <row r="28" spans="1:75" x14ac:dyDescent="0.15">
      <c r="A28" s="45">
        <v>1014</v>
      </c>
      <c r="B28" s="123">
        <v>41865</v>
      </c>
      <c r="C28" s="47" t="s">
        <v>476</v>
      </c>
      <c r="D28" s="48" t="s">
        <v>477</v>
      </c>
      <c r="E28" s="48"/>
      <c r="F28" s="48" t="s">
        <v>513</v>
      </c>
      <c r="G28" s="129">
        <v>41844</v>
      </c>
      <c r="H28" s="49" t="s">
        <v>479</v>
      </c>
      <c r="I28" s="49" t="s">
        <v>480</v>
      </c>
      <c r="J28" s="49"/>
      <c r="K28" s="48" t="s">
        <v>505</v>
      </c>
      <c r="L28" s="48" t="s">
        <v>506</v>
      </c>
      <c r="M28" s="48">
        <v>84.95</v>
      </c>
      <c r="N28" s="48">
        <v>37.65</v>
      </c>
      <c r="O28" s="48" t="s">
        <v>483</v>
      </c>
      <c r="P28" s="50">
        <v>1000</v>
      </c>
      <c r="Q28" s="48">
        <v>39.950000000000003</v>
      </c>
      <c r="R28" s="126">
        <v>1000</v>
      </c>
      <c r="S28" s="48">
        <v>39.950000000000003</v>
      </c>
      <c r="T28" s="126">
        <v>1000</v>
      </c>
      <c r="U28" s="48">
        <v>39.950000000000003</v>
      </c>
      <c r="V28" s="48"/>
      <c r="W28" s="48"/>
      <c r="X28" s="50"/>
      <c r="Y28" s="48"/>
      <c r="Z28" s="50"/>
      <c r="AA28" s="48"/>
      <c r="AB28" s="50"/>
      <c r="AC28" s="48"/>
      <c r="AD28" s="48"/>
      <c r="AE28" s="48">
        <v>19.350000000000001</v>
      </c>
      <c r="AF28" s="50"/>
      <c r="AG28" s="48"/>
      <c r="AH28" s="48"/>
      <c r="AI28" s="48"/>
      <c r="AJ28" s="48"/>
      <c r="AK28" s="48"/>
      <c r="AL28" s="48"/>
      <c r="AM28" s="48"/>
      <c r="AN28" s="48"/>
      <c r="AO28" s="48" t="s">
        <v>514</v>
      </c>
      <c r="AP28" s="49" t="s">
        <v>480</v>
      </c>
      <c r="AQ28" s="49"/>
      <c r="AR28" s="49"/>
      <c r="AS28" s="51"/>
      <c r="AT28" s="49">
        <v>16</v>
      </c>
      <c r="AU28" s="49" t="s">
        <v>491</v>
      </c>
      <c r="AV28" s="48"/>
      <c r="AW28" s="49">
        <v>0</v>
      </c>
      <c r="AX28" s="49">
        <v>0</v>
      </c>
      <c r="AY28" s="49">
        <v>10</v>
      </c>
      <c r="AZ28" s="49">
        <v>0</v>
      </c>
      <c r="BA28" s="49">
        <v>0</v>
      </c>
      <c r="BB28" s="49">
        <v>0</v>
      </c>
      <c r="BC28" s="49">
        <v>0</v>
      </c>
      <c r="BD28" s="49">
        <v>0</v>
      </c>
      <c r="BE28" s="49">
        <v>0</v>
      </c>
      <c r="BF28" s="49">
        <v>0</v>
      </c>
      <c r="BG28" s="49">
        <v>0</v>
      </c>
      <c r="BH28" s="49">
        <v>0</v>
      </c>
      <c r="BI28" s="49"/>
      <c r="BJ28" s="49" t="s">
        <v>480</v>
      </c>
      <c r="BK28" s="49"/>
      <c r="BL28" s="49" t="s">
        <v>480</v>
      </c>
      <c r="BM28" s="49"/>
      <c r="BN28" s="49"/>
      <c r="BO28" s="49"/>
      <c r="BP28" s="49"/>
      <c r="BQ28" s="48"/>
      <c r="BR28" s="48"/>
      <c r="BS28" s="49"/>
      <c r="BT28" s="49" t="s">
        <v>486</v>
      </c>
      <c r="BU28" s="48"/>
      <c r="BV28" t="s">
        <v>516</v>
      </c>
      <c r="BW28" s="118" t="s">
        <v>90</v>
      </c>
    </row>
    <row r="29" spans="1:75" x14ac:dyDescent="0.15">
      <c r="A29" s="45">
        <v>8427</v>
      </c>
      <c r="B29" s="123">
        <v>41829</v>
      </c>
      <c r="C29" s="47" t="s">
        <v>459</v>
      </c>
      <c r="D29" s="48" t="s">
        <v>460</v>
      </c>
      <c r="E29" s="48"/>
      <c r="F29" s="48" t="s">
        <v>511</v>
      </c>
      <c r="G29" s="46">
        <v>41787</v>
      </c>
      <c r="H29" s="49" t="s">
        <v>507</v>
      </c>
      <c r="I29" s="49" t="s">
        <v>508</v>
      </c>
      <c r="J29" s="49"/>
      <c r="K29" s="48" t="s">
        <v>452</v>
      </c>
      <c r="L29" s="48" t="s">
        <v>509</v>
      </c>
      <c r="M29" s="48">
        <v>90.6</v>
      </c>
      <c r="N29" s="48">
        <v>47.8</v>
      </c>
      <c r="O29" s="48" t="s">
        <v>470</v>
      </c>
      <c r="P29" s="50">
        <v>1000</v>
      </c>
      <c r="Q29" s="48">
        <v>50</v>
      </c>
      <c r="R29" s="126">
        <v>1000</v>
      </c>
      <c r="S29" s="126">
        <v>50</v>
      </c>
      <c r="T29" s="126">
        <v>1000</v>
      </c>
      <c r="U29" s="126">
        <v>50</v>
      </c>
      <c r="V29" s="48"/>
      <c r="W29" s="48"/>
      <c r="X29" s="48"/>
      <c r="Y29" s="48"/>
      <c r="Z29" s="48"/>
      <c r="AA29" s="48"/>
      <c r="AB29" s="48"/>
      <c r="AC29" s="48"/>
      <c r="AD29" s="48"/>
      <c r="AE29" s="48">
        <v>32.9</v>
      </c>
      <c r="AF29" s="50"/>
      <c r="AG29" s="48"/>
      <c r="AH29" s="48"/>
      <c r="AI29" s="48"/>
      <c r="AJ29" s="48"/>
      <c r="AK29" s="48"/>
      <c r="AL29" s="48"/>
      <c r="AM29" s="48"/>
      <c r="AN29" s="48"/>
      <c r="AO29" s="48" t="s">
        <v>512</v>
      </c>
      <c r="AP29" s="49" t="s">
        <v>463</v>
      </c>
      <c r="AQ29" s="49"/>
      <c r="AR29" s="49"/>
      <c r="AS29" s="51">
        <v>5</v>
      </c>
      <c r="AT29" s="49">
        <v>20</v>
      </c>
      <c r="AU29" s="49" t="s">
        <v>463</v>
      </c>
      <c r="AV29" s="48"/>
      <c r="AW29" s="49">
        <v>0</v>
      </c>
      <c r="AX29" s="49">
        <v>0</v>
      </c>
      <c r="AY29" s="49">
        <v>5</v>
      </c>
      <c r="AZ29" s="49">
        <v>0</v>
      </c>
      <c r="BA29" s="49">
        <v>0</v>
      </c>
      <c r="BB29" s="49">
        <v>0</v>
      </c>
      <c r="BC29" s="49">
        <v>0</v>
      </c>
      <c r="BD29" s="49">
        <v>0</v>
      </c>
      <c r="BE29" s="49">
        <v>0</v>
      </c>
      <c r="BF29" s="49">
        <v>0</v>
      </c>
      <c r="BG29" s="49">
        <v>0</v>
      </c>
      <c r="BH29" s="49">
        <v>0</v>
      </c>
      <c r="BI29" s="49"/>
      <c r="BJ29" s="49" t="s">
        <v>463</v>
      </c>
      <c r="BK29" s="49"/>
      <c r="BL29" s="49" t="s">
        <v>463</v>
      </c>
      <c r="BM29" s="49"/>
      <c r="BN29" s="49"/>
      <c r="BO29" s="49"/>
      <c r="BP29" s="49"/>
      <c r="BQ29" s="52"/>
      <c r="BR29" s="48"/>
      <c r="BS29" s="49"/>
      <c r="BT29" s="49" t="s">
        <v>467</v>
      </c>
      <c r="BU29" s="48" t="s">
        <v>510</v>
      </c>
      <c r="BV29" t="s">
        <v>79</v>
      </c>
      <c r="BW29" t="s">
        <v>56</v>
      </c>
    </row>
    <row r="30" spans="1:75" x14ac:dyDescent="0.15">
      <c r="K30" s="119"/>
    </row>
  </sheetData>
  <sheetProtection algorithmName="SHA-512" hashValue="Ti2PUb/cj22x1KZD9emZVNiapHbNV3fnd0OKgTtjob/OlJcAv1CbVg+3TXssSoj9cUq0tU6UiLu5Qsr3bOWlpw==" saltValue="4ChjCPVpIzbjardUNVH3kg==" spinCount="100000" sheet="1" objects="1" scenarios="1"/>
  <pageMargins left="0.75" right="0.75" top="1" bottom="1" header="0.5" footer="0.5"/>
  <pageSetup paperSize="10"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BR29"/>
  <sheetViews>
    <sheetView workbookViewId="0">
      <selection activeCell="R4" sqref="R4"/>
    </sheetView>
  </sheetViews>
  <sheetFormatPr baseColWidth="10" defaultRowHeight="13" x14ac:dyDescent="0.15"/>
  <cols>
    <col min="69" max="69" width="17.33203125" customWidth="1"/>
  </cols>
  <sheetData>
    <row r="1" spans="1:70" ht="70" x14ac:dyDescent="0.15">
      <c r="A1" s="23" t="s">
        <v>343</v>
      </c>
      <c r="B1" s="23" t="s">
        <v>344</v>
      </c>
      <c r="C1" s="24" t="s">
        <v>345</v>
      </c>
      <c r="D1" s="25" t="s">
        <v>189</v>
      </c>
      <c r="E1" s="25" t="s">
        <v>190</v>
      </c>
      <c r="F1" s="25" t="s">
        <v>220</v>
      </c>
      <c r="G1" s="23" t="s">
        <v>221</v>
      </c>
      <c r="H1" s="26" t="s">
        <v>134</v>
      </c>
      <c r="I1" s="26" t="s">
        <v>229</v>
      </c>
      <c r="J1" s="26" t="s">
        <v>230</v>
      </c>
      <c r="K1" s="25" t="s">
        <v>231</v>
      </c>
      <c r="L1" s="27" t="s">
        <v>232</v>
      </c>
      <c r="M1" s="28" t="s">
        <v>233</v>
      </c>
      <c r="N1" s="29" t="s">
        <v>234</v>
      </c>
      <c r="O1" s="29" t="s">
        <v>235</v>
      </c>
      <c r="P1" s="29" t="s">
        <v>236</v>
      </c>
      <c r="Q1" s="29" t="s">
        <v>136</v>
      </c>
      <c r="R1" s="29" t="s">
        <v>137</v>
      </c>
      <c r="S1" s="29" t="s">
        <v>203</v>
      </c>
      <c r="T1" s="29" t="s">
        <v>204</v>
      </c>
      <c r="U1" s="29" t="s">
        <v>205</v>
      </c>
      <c r="V1" s="30" t="s">
        <v>206</v>
      </c>
      <c r="W1" s="31" t="s">
        <v>283</v>
      </c>
      <c r="X1" s="31" t="s">
        <v>207</v>
      </c>
      <c r="Y1" s="31" t="s">
        <v>292</v>
      </c>
      <c r="Z1" s="31" t="s">
        <v>397</v>
      </c>
      <c r="AA1" s="31" t="s">
        <v>398</v>
      </c>
      <c r="AB1" s="31" t="s">
        <v>399</v>
      </c>
      <c r="AC1" s="31" t="s">
        <v>400</v>
      </c>
      <c r="AD1" s="31" t="s">
        <v>401</v>
      </c>
      <c r="AE1" s="32" t="s">
        <v>402</v>
      </c>
      <c r="AF1" s="33" t="s">
        <v>208</v>
      </c>
      <c r="AG1" s="33" t="s">
        <v>209</v>
      </c>
      <c r="AH1" s="34" t="s">
        <v>272</v>
      </c>
      <c r="AI1" s="34" t="s">
        <v>273</v>
      </c>
      <c r="AJ1" s="34" t="s">
        <v>347</v>
      </c>
      <c r="AK1" s="34" t="s">
        <v>348</v>
      </c>
      <c r="AL1" s="34"/>
      <c r="AM1" s="34"/>
      <c r="AN1" s="34"/>
      <c r="AO1" s="35" t="s">
        <v>349</v>
      </c>
      <c r="AP1" s="36" t="s">
        <v>350</v>
      </c>
      <c r="AQ1" s="36" t="s">
        <v>238</v>
      </c>
      <c r="AR1" s="37" t="s">
        <v>158</v>
      </c>
      <c r="AS1" s="38" t="s">
        <v>159</v>
      </c>
      <c r="AT1" s="39" t="s">
        <v>160</v>
      </c>
      <c r="AU1" s="40" t="s">
        <v>161</v>
      </c>
      <c r="AV1" s="41" t="s">
        <v>162</v>
      </c>
      <c r="AW1" s="42" t="s">
        <v>163</v>
      </c>
      <c r="AX1" s="43" t="s">
        <v>164</v>
      </c>
      <c r="AY1" s="42" t="s">
        <v>257</v>
      </c>
      <c r="AZ1" s="43" t="s">
        <v>258</v>
      </c>
      <c r="BA1" s="42" t="s">
        <v>259</v>
      </c>
      <c r="BB1" s="43" t="s">
        <v>260</v>
      </c>
      <c r="BC1" s="42" t="s">
        <v>261</v>
      </c>
      <c r="BD1" s="44" t="s">
        <v>262</v>
      </c>
      <c r="BE1" s="42" t="s">
        <v>165</v>
      </c>
      <c r="BF1" s="44" t="s">
        <v>166</v>
      </c>
      <c r="BG1" s="26" t="s">
        <v>252</v>
      </c>
      <c r="BH1" s="26" t="s">
        <v>253</v>
      </c>
      <c r="BI1" s="26" t="s">
        <v>254</v>
      </c>
      <c r="BJ1" s="26" t="s">
        <v>193</v>
      </c>
      <c r="BK1" s="26" t="s">
        <v>133</v>
      </c>
      <c r="BL1" s="24" t="s">
        <v>324</v>
      </c>
      <c r="BM1" s="24" t="s">
        <v>354</v>
      </c>
      <c r="BN1" s="26" t="s">
        <v>355</v>
      </c>
      <c r="BO1" s="26" t="s">
        <v>170</v>
      </c>
      <c r="BP1" s="24" t="s">
        <v>171</v>
      </c>
      <c r="BQ1" s="26" t="s">
        <v>214</v>
      </c>
      <c r="BR1" s="23" t="s">
        <v>215</v>
      </c>
    </row>
    <row r="2" spans="1:70" x14ac:dyDescent="0.15">
      <c r="A2" s="45">
        <v>952</v>
      </c>
      <c r="B2" s="106">
        <v>41467</v>
      </c>
      <c r="C2" s="47" t="s">
        <v>128</v>
      </c>
      <c r="D2" s="48" t="s">
        <v>129</v>
      </c>
      <c r="E2" s="48"/>
      <c r="F2" s="48" t="s">
        <v>130</v>
      </c>
      <c r="G2" s="46">
        <v>41457</v>
      </c>
      <c r="H2" s="49" t="s">
        <v>427</v>
      </c>
      <c r="I2" s="49" t="s">
        <v>428</v>
      </c>
      <c r="J2" s="49"/>
      <c r="K2" s="48" t="s">
        <v>131</v>
      </c>
      <c r="L2" s="48" t="s">
        <v>86</v>
      </c>
      <c r="M2" s="48">
        <v>83</v>
      </c>
      <c r="N2" s="48">
        <v>38</v>
      </c>
      <c r="O2" s="48"/>
      <c r="P2" s="50"/>
      <c r="Q2" s="48"/>
      <c r="R2" s="50"/>
      <c r="S2" s="48"/>
      <c r="T2" s="50"/>
      <c r="U2" s="48"/>
      <c r="V2" s="48"/>
      <c r="W2" s="48"/>
      <c r="X2" s="48"/>
      <c r="Y2" s="48"/>
      <c r="Z2" s="50"/>
      <c r="AA2" s="48"/>
      <c r="AB2" s="50"/>
      <c r="AC2" s="48"/>
      <c r="AD2" s="48"/>
      <c r="AE2" s="48"/>
      <c r="AF2" s="50"/>
      <c r="AG2" s="48"/>
      <c r="AH2" s="48"/>
      <c r="AI2" s="48"/>
      <c r="AJ2" s="48"/>
      <c r="AK2" s="48"/>
      <c r="AL2" s="48"/>
      <c r="AM2" s="48"/>
      <c r="AN2" s="48"/>
      <c r="AO2" s="48" t="s">
        <v>87</v>
      </c>
      <c r="AP2" s="49" t="s">
        <v>428</v>
      </c>
      <c r="AQ2" s="49"/>
      <c r="AR2" s="49"/>
      <c r="AS2" s="51" t="s">
        <v>88</v>
      </c>
      <c r="AT2" s="49">
        <v>16.3</v>
      </c>
      <c r="AU2" s="49" t="s">
        <v>423</v>
      </c>
      <c r="AV2" s="48"/>
      <c r="AW2" s="49">
        <v>0</v>
      </c>
      <c r="AX2" s="49">
        <v>0</v>
      </c>
      <c r="AY2" s="49">
        <v>0</v>
      </c>
      <c r="AZ2" s="49">
        <v>10</v>
      </c>
      <c r="BA2" s="49">
        <v>0</v>
      </c>
      <c r="BB2" s="49">
        <v>0</v>
      </c>
      <c r="BC2" s="49">
        <v>0</v>
      </c>
      <c r="BD2" s="49">
        <v>0</v>
      </c>
      <c r="BE2" s="49">
        <v>0</v>
      </c>
      <c r="BF2" s="49">
        <v>2</v>
      </c>
      <c r="BG2" s="49"/>
      <c r="BH2" s="49" t="s">
        <v>428</v>
      </c>
      <c r="BI2" s="49">
        <v>12</v>
      </c>
      <c r="BJ2" s="49" t="s">
        <v>428</v>
      </c>
      <c r="BK2" s="49"/>
      <c r="BL2" s="52"/>
      <c r="BM2" s="52"/>
      <c r="BN2" s="49"/>
      <c r="BO2" s="49" t="s">
        <v>432</v>
      </c>
      <c r="BP2" s="52"/>
      <c r="BQ2" t="s">
        <v>89</v>
      </c>
      <c r="BR2" s="53" t="s">
        <v>90</v>
      </c>
    </row>
    <row r="3" spans="1:70" x14ac:dyDescent="0.15">
      <c r="A3" s="45">
        <v>956</v>
      </c>
      <c r="B3" s="106">
        <v>41467</v>
      </c>
      <c r="C3" s="47" t="s">
        <v>282</v>
      </c>
      <c r="D3" s="48" t="s">
        <v>311</v>
      </c>
      <c r="E3" s="48"/>
      <c r="F3" s="48" t="s">
        <v>424</v>
      </c>
      <c r="G3" s="46">
        <v>41449</v>
      </c>
      <c r="H3" s="49" t="s">
        <v>427</v>
      </c>
      <c r="I3" s="49" t="s">
        <v>428</v>
      </c>
      <c r="J3" s="49"/>
      <c r="K3" s="48" t="s">
        <v>91</v>
      </c>
      <c r="L3" s="48" t="s">
        <v>92</v>
      </c>
      <c r="M3" s="48">
        <v>97.18</v>
      </c>
      <c r="N3" s="48">
        <v>39.03</v>
      </c>
      <c r="O3" s="48" t="s">
        <v>93</v>
      </c>
      <c r="P3" s="50">
        <v>300</v>
      </c>
      <c r="Q3" s="48">
        <v>40.619999999999997</v>
      </c>
      <c r="R3" s="50">
        <v>1000</v>
      </c>
      <c r="S3" s="48">
        <v>44.68</v>
      </c>
      <c r="T3" s="50">
        <v>2500</v>
      </c>
      <c r="U3" s="48">
        <v>48.44</v>
      </c>
      <c r="V3" s="48"/>
      <c r="W3" s="48"/>
      <c r="X3" s="48"/>
      <c r="Y3" s="48"/>
      <c r="Z3" s="48"/>
      <c r="AA3" s="48"/>
      <c r="AB3" s="48"/>
      <c r="AC3" s="48"/>
      <c r="AD3" s="48"/>
      <c r="AE3" s="48"/>
      <c r="AF3" s="50"/>
      <c r="AG3" s="48"/>
      <c r="AH3" s="48"/>
      <c r="AI3" s="48"/>
      <c r="AJ3" s="48"/>
      <c r="AK3" s="48"/>
      <c r="AL3" s="48"/>
      <c r="AM3" s="48"/>
      <c r="AN3" s="48"/>
      <c r="AO3" s="48" t="s">
        <v>87</v>
      </c>
      <c r="AP3" s="49" t="s">
        <v>428</v>
      </c>
      <c r="AQ3" s="49"/>
      <c r="AR3" s="49"/>
      <c r="AS3" s="51" t="s">
        <v>88</v>
      </c>
      <c r="AT3" s="49">
        <v>6.8</v>
      </c>
      <c r="AU3" s="49" t="s">
        <v>428</v>
      </c>
      <c r="AV3" s="48"/>
      <c r="AW3" s="49">
        <v>0</v>
      </c>
      <c r="AX3" s="49">
        <v>0</v>
      </c>
      <c r="AY3" s="49">
        <v>0</v>
      </c>
      <c r="AZ3" s="49">
        <v>25</v>
      </c>
      <c r="BA3" s="49">
        <v>0</v>
      </c>
      <c r="BB3" s="49">
        <v>0</v>
      </c>
      <c r="BC3" s="49">
        <v>0</v>
      </c>
      <c r="BD3" s="49">
        <v>0</v>
      </c>
      <c r="BE3" s="49">
        <v>0</v>
      </c>
      <c r="BF3" s="49">
        <v>0</v>
      </c>
      <c r="BG3" s="49"/>
      <c r="BH3" s="49" t="s">
        <v>428</v>
      </c>
      <c r="BI3" s="49">
        <v>24</v>
      </c>
      <c r="BJ3" s="49" t="s">
        <v>428</v>
      </c>
      <c r="BK3" s="49"/>
      <c r="BL3" s="48"/>
      <c r="BM3" s="48"/>
      <c r="BN3" s="49"/>
      <c r="BO3" s="49" t="s">
        <v>432</v>
      </c>
      <c r="BP3" s="48"/>
      <c r="BQ3" t="s">
        <v>94</v>
      </c>
      <c r="BR3" t="s">
        <v>90</v>
      </c>
    </row>
    <row r="4" spans="1:70" x14ac:dyDescent="0.15">
      <c r="A4" s="45">
        <v>2553</v>
      </c>
      <c r="B4" s="106">
        <v>41467</v>
      </c>
      <c r="C4" s="47" t="s">
        <v>282</v>
      </c>
      <c r="D4" s="48" t="s">
        <v>311</v>
      </c>
      <c r="E4" s="48"/>
      <c r="F4" s="48" t="s">
        <v>424</v>
      </c>
      <c r="G4" s="46">
        <v>41455</v>
      </c>
      <c r="H4" s="49" t="s">
        <v>48</v>
      </c>
      <c r="I4" s="49" t="s">
        <v>413</v>
      </c>
      <c r="J4" s="49"/>
      <c r="K4" s="48" t="s">
        <v>414</v>
      </c>
      <c r="L4" s="48" t="s">
        <v>49</v>
      </c>
      <c r="M4" s="48">
        <v>84.257999999999996</v>
      </c>
      <c r="N4" s="48">
        <v>44.454000000000001</v>
      </c>
      <c r="O4" s="48" t="s">
        <v>93</v>
      </c>
      <c r="P4" s="50">
        <v>1000</v>
      </c>
      <c r="Q4" s="48">
        <v>46.5</v>
      </c>
      <c r="R4" s="56">
        <v>1000</v>
      </c>
      <c r="S4" s="57">
        <v>46.5</v>
      </c>
      <c r="T4" s="56">
        <v>1000</v>
      </c>
      <c r="U4" s="57">
        <v>46.5</v>
      </c>
      <c r="V4" s="48"/>
      <c r="W4" s="48"/>
      <c r="X4" s="48"/>
      <c r="Y4" s="48"/>
      <c r="Z4" s="48"/>
      <c r="AA4" s="48"/>
      <c r="AB4" s="48"/>
      <c r="AC4" s="48"/>
      <c r="AD4" s="48"/>
      <c r="AE4" s="48"/>
      <c r="AF4" s="50"/>
      <c r="AG4" s="48"/>
      <c r="AH4" s="48"/>
      <c r="AI4" s="48"/>
      <c r="AJ4" s="48"/>
      <c r="AK4" s="48"/>
      <c r="AL4" s="48"/>
      <c r="AM4" s="48"/>
      <c r="AN4" s="48"/>
      <c r="AO4" s="48" t="s">
        <v>87</v>
      </c>
      <c r="AP4" s="49" t="s">
        <v>428</v>
      </c>
      <c r="AQ4" s="49"/>
      <c r="AR4" s="49"/>
      <c r="AS4" s="51" t="s">
        <v>412</v>
      </c>
      <c r="AT4" s="49">
        <v>22</v>
      </c>
      <c r="AU4" s="49" t="s">
        <v>428</v>
      </c>
      <c r="AV4" s="48"/>
      <c r="AW4" s="49">
        <v>0</v>
      </c>
      <c r="AX4" s="49">
        <v>0</v>
      </c>
      <c r="AY4" s="49">
        <v>5</v>
      </c>
      <c r="AZ4" s="49">
        <v>0</v>
      </c>
      <c r="BA4" s="49">
        <v>0</v>
      </c>
      <c r="BB4" s="49">
        <v>0</v>
      </c>
      <c r="BC4" s="49">
        <v>0</v>
      </c>
      <c r="BD4" s="49">
        <v>0</v>
      </c>
      <c r="BE4" s="49">
        <v>0</v>
      </c>
      <c r="BF4" s="49">
        <v>0</v>
      </c>
      <c r="BG4" s="49"/>
      <c r="BH4" s="49" t="s">
        <v>428</v>
      </c>
      <c r="BI4" s="49"/>
      <c r="BJ4" s="49" t="s">
        <v>428</v>
      </c>
      <c r="BK4" s="49"/>
      <c r="BL4" s="52"/>
      <c r="BM4" s="48"/>
      <c r="BN4" s="49"/>
      <c r="BO4" s="49" t="s">
        <v>432</v>
      </c>
      <c r="BP4" s="52" t="s">
        <v>95</v>
      </c>
      <c r="BQ4" t="s">
        <v>379</v>
      </c>
      <c r="BR4" s="53" t="s">
        <v>90</v>
      </c>
    </row>
    <row r="5" spans="1:70" x14ac:dyDescent="0.15">
      <c r="A5" s="45">
        <v>958</v>
      </c>
      <c r="B5" s="106">
        <v>41464</v>
      </c>
      <c r="C5" s="47" t="s">
        <v>282</v>
      </c>
      <c r="D5" s="48" t="s">
        <v>311</v>
      </c>
      <c r="E5" s="48"/>
      <c r="F5" s="48" t="s">
        <v>424</v>
      </c>
      <c r="G5" s="46">
        <v>41495</v>
      </c>
      <c r="H5" s="49" t="s">
        <v>427</v>
      </c>
      <c r="I5" s="49" t="s">
        <v>428</v>
      </c>
      <c r="J5" s="49"/>
      <c r="K5" s="48" t="s">
        <v>96</v>
      </c>
      <c r="L5" s="48" t="s">
        <v>97</v>
      </c>
      <c r="M5" s="48">
        <v>80.95</v>
      </c>
      <c r="N5" s="48">
        <v>40.9</v>
      </c>
      <c r="O5" s="48" t="s">
        <v>93</v>
      </c>
      <c r="P5" s="50">
        <v>1000</v>
      </c>
      <c r="Q5" s="48">
        <v>44.4</v>
      </c>
      <c r="R5" s="56">
        <v>1000</v>
      </c>
      <c r="S5" s="57">
        <v>44.4</v>
      </c>
      <c r="T5" s="56">
        <v>1000</v>
      </c>
      <c r="U5" s="57">
        <v>44.4</v>
      </c>
      <c r="V5" s="48"/>
      <c r="W5" s="48"/>
      <c r="X5" s="48"/>
      <c r="Y5" s="48"/>
      <c r="Z5" s="48"/>
      <c r="AA5" s="48"/>
      <c r="AB5" s="48"/>
      <c r="AC5" s="48"/>
      <c r="AD5" s="48"/>
      <c r="AE5" s="48"/>
      <c r="AF5" s="50"/>
      <c r="AG5" s="48"/>
      <c r="AH5" s="48"/>
      <c r="AI5" s="48"/>
      <c r="AJ5" s="48"/>
      <c r="AK5" s="48"/>
      <c r="AL5" s="48"/>
      <c r="AM5" s="48"/>
      <c r="AN5" s="48"/>
      <c r="AO5" s="48" t="s">
        <v>87</v>
      </c>
      <c r="AP5" s="49" t="s">
        <v>428</v>
      </c>
      <c r="AQ5" s="49"/>
      <c r="AR5" s="49"/>
      <c r="AS5" s="51" t="s">
        <v>88</v>
      </c>
      <c r="AT5" s="49">
        <v>11.6</v>
      </c>
      <c r="AU5" s="49" t="s">
        <v>428</v>
      </c>
      <c r="AV5" s="48"/>
      <c r="AW5" s="49">
        <v>0</v>
      </c>
      <c r="AX5" s="49">
        <v>0</v>
      </c>
      <c r="AY5" s="49">
        <v>0</v>
      </c>
      <c r="AZ5" s="49">
        <v>20</v>
      </c>
      <c r="BA5" s="49">
        <v>0</v>
      </c>
      <c r="BB5" s="49">
        <v>0</v>
      </c>
      <c r="BC5" s="49">
        <v>0</v>
      </c>
      <c r="BD5" s="49">
        <v>0</v>
      </c>
      <c r="BE5" s="49">
        <v>0</v>
      </c>
      <c r="BF5" s="49">
        <v>0</v>
      </c>
      <c r="BG5" s="49"/>
      <c r="BH5" s="49" t="s">
        <v>428</v>
      </c>
      <c r="BI5" s="49"/>
      <c r="BJ5" s="49" t="s">
        <v>428</v>
      </c>
      <c r="BK5" s="49"/>
      <c r="BL5" s="48" t="s">
        <v>98</v>
      </c>
      <c r="BM5" s="48"/>
      <c r="BN5" s="49"/>
      <c r="BO5" s="49" t="s">
        <v>432</v>
      </c>
      <c r="BP5" s="48"/>
      <c r="BQ5" t="s">
        <v>99</v>
      </c>
      <c r="BR5" s="53" t="s">
        <v>100</v>
      </c>
    </row>
    <row r="6" spans="1:70" x14ac:dyDescent="0.15">
      <c r="A6" s="45">
        <v>960</v>
      </c>
      <c r="B6" s="106">
        <v>41464</v>
      </c>
      <c r="C6" s="47" t="s">
        <v>128</v>
      </c>
      <c r="D6" s="48" t="s">
        <v>129</v>
      </c>
      <c r="E6" s="48"/>
      <c r="F6" s="48" t="s">
        <v>130</v>
      </c>
      <c r="G6" s="54">
        <v>41455</v>
      </c>
      <c r="H6" s="49" t="s">
        <v>427</v>
      </c>
      <c r="I6" s="49" t="s">
        <v>428</v>
      </c>
      <c r="J6" s="49"/>
      <c r="K6" s="48" t="s">
        <v>101</v>
      </c>
      <c r="L6" s="48" t="s">
        <v>102</v>
      </c>
      <c r="M6" s="48">
        <v>86.95</v>
      </c>
      <c r="N6" s="48">
        <v>33.26</v>
      </c>
      <c r="O6" s="48" t="s">
        <v>364</v>
      </c>
      <c r="P6" s="50">
        <v>300</v>
      </c>
      <c r="Q6" s="48">
        <v>35.89</v>
      </c>
      <c r="R6" s="50">
        <v>1000</v>
      </c>
      <c r="S6" s="48">
        <v>38.950000000000003</v>
      </c>
      <c r="T6" s="50">
        <v>2500</v>
      </c>
      <c r="U6" s="48">
        <v>39.869999999999997</v>
      </c>
      <c r="V6" s="48"/>
      <c r="W6" s="48"/>
      <c r="X6" s="48"/>
      <c r="Y6" s="48"/>
      <c r="Z6" s="48"/>
      <c r="AA6" s="48"/>
      <c r="AB6" s="48"/>
      <c r="AC6" s="48"/>
      <c r="AD6" s="48"/>
      <c r="AE6" s="48"/>
      <c r="AF6" s="50"/>
      <c r="AG6" s="48"/>
      <c r="AH6" s="48"/>
      <c r="AI6" s="48"/>
      <c r="AJ6" s="48"/>
      <c r="AK6" s="48"/>
      <c r="AL6" s="48"/>
      <c r="AM6" s="48"/>
      <c r="AN6" s="48"/>
      <c r="AO6" s="48" t="s">
        <v>87</v>
      </c>
      <c r="AP6" s="49" t="s">
        <v>428</v>
      </c>
      <c r="AQ6" s="49"/>
      <c r="AR6" s="49"/>
      <c r="AS6" s="51" t="s">
        <v>88</v>
      </c>
      <c r="AT6" s="49">
        <v>12</v>
      </c>
      <c r="AU6" s="49" t="s">
        <v>428</v>
      </c>
      <c r="AV6" s="48"/>
      <c r="AW6" s="49">
        <v>0</v>
      </c>
      <c r="AX6" s="49">
        <v>0</v>
      </c>
      <c r="AY6" s="49">
        <v>7</v>
      </c>
      <c r="AZ6" s="49">
        <v>0</v>
      </c>
      <c r="BA6" s="49">
        <v>0</v>
      </c>
      <c r="BB6" s="49">
        <v>0</v>
      </c>
      <c r="BC6" s="49">
        <v>0</v>
      </c>
      <c r="BD6" s="49">
        <v>0</v>
      </c>
      <c r="BE6" s="49">
        <v>0</v>
      </c>
      <c r="BF6" s="49">
        <v>0</v>
      </c>
      <c r="BG6" s="49">
        <v>24</v>
      </c>
      <c r="BH6" s="49" t="s">
        <v>427</v>
      </c>
      <c r="BI6" s="49"/>
      <c r="BJ6" s="49" t="s">
        <v>428</v>
      </c>
      <c r="BK6" s="49"/>
      <c r="BL6" s="48"/>
      <c r="BM6" s="48"/>
      <c r="BN6" s="49"/>
      <c r="BO6" s="49" t="s">
        <v>432</v>
      </c>
      <c r="BP6" s="48" t="s">
        <v>103</v>
      </c>
      <c r="BQ6" t="s">
        <v>104</v>
      </c>
      <c r="BR6" s="53" t="s">
        <v>90</v>
      </c>
    </row>
    <row r="7" spans="1:70" x14ac:dyDescent="0.15">
      <c r="A7" s="45">
        <v>962</v>
      </c>
      <c r="B7" s="106">
        <v>41464</v>
      </c>
      <c r="C7" s="47" t="s">
        <v>282</v>
      </c>
      <c r="D7" s="48" t="s">
        <v>311</v>
      </c>
      <c r="E7" s="48"/>
      <c r="F7" s="48" t="s">
        <v>424</v>
      </c>
      <c r="G7" s="46">
        <v>41495</v>
      </c>
      <c r="H7" s="49" t="s">
        <v>427</v>
      </c>
      <c r="I7" s="49" t="s">
        <v>428</v>
      </c>
      <c r="J7" s="49"/>
      <c r="K7" s="48" t="s">
        <v>105</v>
      </c>
      <c r="L7" s="48" t="s">
        <v>97</v>
      </c>
      <c r="M7" s="48">
        <v>80.95</v>
      </c>
      <c r="N7" s="48">
        <v>42.65</v>
      </c>
      <c r="O7" s="48" t="s">
        <v>93</v>
      </c>
      <c r="P7" s="50">
        <v>1000</v>
      </c>
      <c r="Q7" s="48">
        <v>46.25</v>
      </c>
      <c r="R7" s="56">
        <v>1000</v>
      </c>
      <c r="S7" s="57">
        <v>46.25</v>
      </c>
      <c r="T7" s="56">
        <v>1000</v>
      </c>
      <c r="U7" s="57">
        <v>46.25</v>
      </c>
      <c r="V7" s="48"/>
      <c r="W7" s="48"/>
      <c r="X7" s="48"/>
      <c r="Y7" s="48"/>
      <c r="Z7" s="48"/>
      <c r="AA7" s="48"/>
      <c r="AB7" s="48"/>
      <c r="AC7" s="48"/>
      <c r="AD7" s="48"/>
      <c r="AE7" s="48"/>
      <c r="AF7" s="50"/>
      <c r="AG7" s="48"/>
      <c r="AH7" s="48"/>
      <c r="AI7" s="48"/>
      <c r="AJ7" s="48"/>
      <c r="AK7" s="48"/>
      <c r="AL7" s="48"/>
      <c r="AM7" s="48"/>
      <c r="AN7" s="48"/>
      <c r="AO7" s="48" t="s">
        <v>87</v>
      </c>
      <c r="AP7" s="49" t="s">
        <v>428</v>
      </c>
      <c r="AQ7" s="49"/>
      <c r="AR7" s="49"/>
      <c r="AS7" s="51" t="s">
        <v>88</v>
      </c>
      <c r="AT7" s="49">
        <v>11.6</v>
      </c>
      <c r="AU7" s="49" t="s">
        <v>423</v>
      </c>
      <c r="AV7" s="48"/>
      <c r="AW7" s="49">
        <v>0</v>
      </c>
      <c r="AX7" s="49">
        <v>0</v>
      </c>
      <c r="AY7" s="49">
        <v>0</v>
      </c>
      <c r="AZ7" s="49">
        <v>0</v>
      </c>
      <c r="BA7" s="49">
        <v>0</v>
      </c>
      <c r="BB7" s="49">
        <v>25</v>
      </c>
      <c r="BC7" s="49">
        <v>0</v>
      </c>
      <c r="BD7" s="49">
        <v>0</v>
      </c>
      <c r="BE7" s="49">
        <v>0</v>
      </c>
      <c r="BF7" s="49">
        <v>0</v>
      </c>
      <c r="BG7" s="49"/>
      <c r="BH7" s="49" t="s">
        <v>428</v>
      </c>
      <c r="BI7" s="49"/>
      <c r="BJ7" s="49" t="s">
        <v>428</v>
      </c>
      <c r="BK7" s="49"/>
      <c r="BL7" s="48"/>
      <c r="BM7" s="48"/>
      <c r="BN7" s="49"/>
      <c r="BO7" s="49" t="s">
        <v>432</v>
      </c>
      <c r="BP7" s="48"/>
      <c r="BQ7" t="s">
        <v>106</v>
      </c>
      <c r="BR7" s="53" t="s">
        <v>100</v>
      </c>
    </row>
    <row r="8" spans="1:70" x14ac:dyDescent="0.15">
      <c r="A8" s="45">
        <v>972</v>
      </c>
      <c r="B8" s="106">
        <v>41467</v>
      </c>
      <c r="C8" s="47" t="s">
        <v>128</v>
      </c>
      <c r="D8" s="48" t="s">
        <v>129</v>
      </c>
      <c r="E8" s="48"/>
      <c r="F8" s="48" t="s">
        <v>130</v>
      </c>
      <c r="G8" s="46">
        <v>41467</v>
      </c>
      <c r="H8" s="49" t="s">
        <v>427</v>
      </c>
      <c r="I8" s="49" t="s">
        <v>428</v>
      </c>
      <c r="J8" s="49"/>
      <c r="K8" s="48" t="s">
        <v>107</v>
      </c>
      <c r="L8" s="48" t="s">
        <v>108</v>
      </c>
      <c r="M8" s="48">
        <v>89.6</v>
      </c>
      <c r="N8" s="48">
        <v>42.27</v>
      </c>
      <c r="O8" s="48" t="s">
        <v>93</v>
      </c>
      <c r="P8" s="50">
        <v>1000</v>
      </c>
      <c r="Q8" s="48">
        <v>45.43</v>
      </c>
      <c r="R8" s="56">
        <v>1000</v>
      </c>
      <c r="S8" s="57">
        <v>45.43</v>
      </c>
      <c r="T8" s="56">
        <v>1000</v>
      </c>
      <c r="U8" s="57">
        <v>45.43</v>
      </c>
      <c r="V8" s="48"/>
      <c r="W8" s="48"/>
      <c r="X8" s="50"/>
      <c r="Y8" s="48"/>
      <c r="Z8" s="50"/>
      <c r="AA8" s="48"/>
      <c r="AB8" s="50"/>
      <c r="AC8" s="48"/>
      <c r="AD8" s="48"/>
      <c r="AE8" s="48"/>
      <c r="AF8" s="50"/>
      <c r="AG8" s="48"/>
      <c r="AH8" s="48"/>
      <c r="AI8" s="48"/>
      <c r="AJ8" s="48"/>
      <c r="AK8" s="48"/>
      <c r="AL8" s="48"/>
      <c r="AM8" s="48"/>
      <c r="AN8" s="48"/>
      <c r="AO8" s="48" t="s">
        <v>87</v>
      </c>
      <c r="AP8" s="49" t="s">
        <v>428</v>
      </c>
      <c r="AQ8" s="49"/>
      <c r="AR8" s="49"/>
      <c r="AS8" s="51" t="s">
        <v>88</v>
      </c>
      <c r="AT8" s="49">
        <v>15</v>
      </c>
      <c r="AU8" s="49" t="s">
        <v>423</v>
      </c>
      <c r="AV8" s="48"/>
      <c r="AW8" s="49">
        <v>0</v>
      </c>
      <c r="AX8" s="49">
        <v>0</v>
      </c>
      <c r="AY8" s="49">
        <v>0</v>
      </c>
      <c r="AZ8" s="49">
        <v>18</v>
      </c>
      <c r="BA8" s="49">
        <v>0</v>
      </c>
      <c r="BB8" s="49">
        <v>0</v>
      </c>
      <c r="BC8" s="49">
        <v>0</v>
      </c>
      <c r="BD8" s="49">
        <v>0</v>
      </c>
      <c r="BE8" s="49">
        <v>0</v>
      </c>
      <c r="BF8" s="49">
        <v>0</v>
      </c>
      <c r="BG8" s="49"/>
      <c r="BH8" s="49" t="s">
        <v>428</v>
      </c>
      <c r="BI8" s="49">
        <v>12</v>
      </c>
      <c r="BJ8" s="49" t="s">
        <v>428</v>
      </c>
      <c r="BK8" s="49"/>
      <c r="BL8" s="52" t="s">
        <v>109</v>
      </c>
      <c r="BM8" s="52" t="s">
        <v>50</v>
      </c>
      <c r="BN8" s="49">
        <v>50</v>
      </c>
      <c r="BO8" s="49" t="s">
        <v>432</v>
      </c>
      <c r="BP8" s="48"/>
      <c r="BQ8" t="s">
        <v>51</v>
      </c>
      <c r="BR8" s="53" t="s">
        <v>90</v>
      </c>
    </row>
    <row r="9" spans="1:70" x14ac:dyDescent="0.15">
      <c r="A9" s="45">
        <v>980</v>
      </c>
      <c r="B9" s="106">
        <v>41467</v>
      </c>
      <c r="C9" s="47" t="s">
        <v>128</v>
      </c>
      <c r="D9" s="48" t="s">
        <v>129</v>
      </c>
      <c r="E9" s="48"/>
      <c r="F9" s="48" t="s">
        <v>130</v>
      </c>
      <c r="G9" s="46">
        <v>41468</v>
      </c>
      <c r="H9" s="49" t="s">
        <v>427</v>
      </c>
      <c r="I9" s="49" t="s">
        <v>428</v>
      </c>
      <c r="J9" s="49"/>
      <c r="K9" s="48" t="s">
        <v>52</v>
      </c>
      <c r="L9" s="48" t="s">
        <v>53</v>
      </c>
      <c r="M9" s="48">
        <v>85.85</v>
      </c>
      <c r="N9" s="48">
        <v>37.700000000000003</v>
      </c>
      <c r="O9" s="48" t="s">
        <v>93</v>
      </c>
      <c r="P9" s="50">
        <v>1000</v>
      </c>
      <c r="Q9" s="48">
        <v>42.1</v>
      </c>
      <c r="R9" s="56">
        <v>1000</v>
      </c>
      <c r="S9" s="57">
        <v>42.1</v>
      </c>
      <c r="T9" s="56">
        <v>1000</v>
      </c>
      <c r="U9" s="57">
        <v>42.1</v>
      </c>
      <c r="V9" s="48"/>
      <c r="W9" s="48"/>
      <c r="X9" s="48"/>
      <c r="Y9" s="48"/>
      <c r="Z9" s="48"/>
      <c r="AA9" s="48"/>
      <c r="AB9" s="48"/>
      <c r="AC9" s="48"/>
      <c r="AD9" s="48"/>
      <c r="AE9" s="48"/>
      <c r="AF9" s="50"/>
      <c r="AG9" s="48"/>
      <c r="AH9" s="48"/>
      <c r="AI9" s="48"/>
      <c r="AJ9" s="48"/>
      <c r="AK9" s="48"/>
      <c r="AL9" s="48"/>
      <c r="AM9" s="48"/>
      <c r="AN9" s="48"/>
      <c r="AO9" s="48" t="s">
        <v>87</v>
      </c>
      <c r="AP9" s="49" t="s">
        <v>428</v>
      </c>
      <c r="AQ9" s="49"/>
      <c r="AR9" s="49"/>
      <c r="AS9" s="51" t="s">
        <v>88</v>
      </c>
      <c r="AT9" s="49">
        <v>16</v>
      </c>
      <c r="AU9" s="49" t="s">
        <v>428</v>
      </c>
      <c r="AV9" s="48"/>
      <c r="AW9" s="49">
        <v>0</v>
      </c>
      <c r="AX9" s="49">
        <v>0</v>
      </c>
      <c r="AY9" s="49">
        <v>10</v>
      </c>
      <c r="AZ9" s="49">
        <v>0</v>
      </c>
      <c r="BA9" s="49">
        <v>0</v>
      </c>
      <c r="BB9" s="49">
        <v>0</v>
      </c>
      <c r="BC9" s="49">
        <v>0</v>
      </c>
      <c r="BD9" s="49">
        <v>0</v>
      </c>
      <c r="BE9" s="49">
        <v>0</v>
      </c>
      <c r="BF9" s="49">
        <v>0</v>
      </c>
      <c r="BG9" s="49"/>
      <c r="BH9" s="49" t="s">
        <v>428</v>
      </c>
      <c r="BI9" s="49"/>
      <c r="BJ9" s="49" t="s">
        <v>428</v>
      </c>
      <c r="BK9" s="49"/>
      <c r="BL9" s="48" t="s">
        <v>54</v>
      </c>
      <c r="BM9" s="48"/>
      <c r="BN9" s="49"/>
      <c r="BO9" s="49" t="s">
        <v>432</v>
      </c>
      <c r="BP9" s="48"/>
      <c r="BQ9" t="s">
        <v>55</v>
      </c>
      <c r="BR9" t="s">
        <v>56</v>
      </c>
    </row>
    <row r="10" spans="1:70" x14ac:dyDescent="0.15">
      <c r="A10" s="45">
        <v>988</v>
      </c>
      <c r="B10" s="106">
        <v>41464</v>
      </c>
      <c r="C10" s="47" t="s">
        <v>128</v>
      </c>
      <c r="D10" s="48" t="s">
        <v>129</v>
      </c>
      <c r="E10" s="48"/>
      <c r="F10" s="48" t="s">
        <v>130</v>
      </c>
      <c r="G10" s="46">
        <v>41469</v>
      </c>
      <c r="H10" s="49" t="s">
        <v>427</v>
      </c>
      <c r="I10" s="49" t="s">
        <v>428</v>
      </c>
      <c r="J10" s="49"/>
      <c r="K10" s="48" t="s">
        <v>57</v>
      </c>
      <c r="L10" s="48" t="s">
        <v>58</v>
      </c>
      <c r="M10" s="48">
        <v>82.59</v>
      </c>
      <c r="N10" s="48">
        <v>38.380000000000003</v>
      </c>
      <c r="O10" s="48" t="s">
        <v>93</v>
      </c>
      <c r="P10" s="50">
        <v>600</v>
      </c>
      <c r="Q10" s="48">
        <v>37.619999999999997</v>
      </c>
      <c r="R10" s="56">
        <v>600</v>
      </c>
      <c r="S10" s="57">
        <v>37.619999999999997</v>
      </c>
      <c r="T10" s="56">
        <v>600</v>
      </c>
      <c r="U10" s="57">
        <v>37.619999999999997</v>
      </c>
      <c r="V10" s="48"/>
      <c r="W10" s="48"/>
      <c r="X10" s="48"/>
      <c r="Y10" s="48"/>
      <c r="Z10" s="48"/>
      <c r="AA10" s="48"/>
      <c r="AB10" s="48"/>
      <c r="AC10" s="48"/>
      <c r="AD10" s="48"/>
      <c r="AE10" s="48"/>
      <c r="AF10" s="50"/>
      <c r="AG10" s="48"/>
      <c r="AH10" s="48"/>
      <c r="AI10" s="48"/>
      <c r="AJ10" s="48"/>
      <c r="AK10" s="48"/>
      <c r="AL10" s="48"/>
      <c r="AM10" s="48"/>
      <c r="AN10" s="48"/>
      <c r="AO10" s="48" t="s">
        <v>87</v>
      </c>
      <c r="AP10" s="49" t="s">
        <v>428</v>
      </c>
      <c r="AQ10" s="49"/>
      <c r="AR10" s="49"/>
      <c r="AS10" s="51" t="s">
        <v>88</v>
      </c>
      <c r="AT10" s="49">
        <v>6.8</v>
      </c>
      <c r="AU10" s="49" t="s">
        <v>428</v>
      </c>
      <c r="AV10" s="48"/>
      <c r="AW10" s="49">
        <v>0</v>
      </c>
      <c r="AX10" s="49">
        <v>0</v>
      </c>
      <c r="AY10" s="49">
        <v>0</v>
      </c>
      <c r="AZ10" s="49">
        <v>0</v>
      </c>
      <c r="BA10" s="49">
        <v>0</v>
      </c>
      <c r="BB10" s="49">
        <v>0</v>
      </c>
      <c r="BC10" s="49">
        <v>0</v>
      </c>
      <c r="BD10" s="49">
        <v>0</v>
      </c>
      <c r="BE10" s="49">
        <v>0</v>
      </c>
      <c r="BF10" s="49">
        <v>0</v>
      </c>
      <c r="BG10" s="49">
        <v>12</v>
      </c>
      <c r="BH10" s="49" t="s">
        <v>427</v>
      </c>
      <c r="BI10" s="49"/>
      <c r="BJ10" s="49" t="s">
        <v>428</v>
      </c>
      <c r="BK10" s="49"/>
      <c r="BL10" s="48"/>
      <c r="BM10" s="48"/>
      <c r="BN10" s="49"/>
      <c r="BO10" s="49" t="s">
        <v>432</v>
      </c>
      <c r="BP10" s="48"/>
      <c r="BQ10" t="s">
        <v>59</v>
      </c>
      <c r="BR10" s="53" t="s">
        <v>90</v>
      </c>
    </row>
    <row r="11" spans="1:70" x14ac:dyDescent="0.15">
      <c r="A11" s="45">
        <v>4203</v>
      </c>
      <c r="B11" s="106">
        <v>41465</v>
      </c>
      <c r="C11" s="47" t="s">
        <v>282</v>
      </c>
      <c r="D11" s="48" t="s">
        <v>311</v>
      </c>
      <c r="E11" s="48"/>
      <c r="F11" s="48" t="s">
        <v>424</v>
      </c>
      <c r="G11" s="46">
        <v>41455</v>
      </c>
      <c r="H11" s="49" t="s">
        <v>427</v>
      </c>
      <c r="I11" s="49" t="s">
        <v>413</v>
      </c>
      <c r="J11" s="49"/>
      <c r="K11" s="48" t="s">
        <v>425</v>
      </c>
      <c r="L11" s="48" t="s">
        <v>0</v>
      </c>
      <c r="M11" s="48">
        <v>82.95</v>
      </c>
      <c r="N11" s="48">
        <v>36.75</v>
      </c>
      <c r="O11" s="48" t="s">
        <v>364</v>
      </c>
      <c r="P11" s="50">
        <v>1000</v>
      </c>
      <c r="Q11" s="48">
        <v>39.229999999999997</v>
      </c>
      <c r="R11" s="56">
        <v>1000</v>
      </c>
      <c r="S11" s="57">
        <v>39.229999999999997</v>
      </c>
      <c r="T11" s="56">
        <v>1000</v>
      </c>
      <c r="U11" s="57">
        <v>39.229999999999997</v>
      </c>
      <c r="V11" s="48"/>
      <c r="W11" s="48"/>
      <c r="X11" s="48"/>
      <c r="Y11" s="48"/>
      <c r="Z11" s="50"/>
      <c r="AA11" s="48"/>
      <c r="AB11" s="50"/>
      <c r="AC11" s="48"/>
      <c r="AD11" s="48"/>
      <c r="AE11" s="48"/>
      <c r="AF11" s="50"/>
      <c r="AG11" s="48"/>
      <c r="AH11" s="48"/>
      <c r="AI11" s="48"/>
      <c r="AJ11" s="48"/>
      <c r="AK11" s="48"/>
      <c r="AL11" s="48"/>
      <c r="AM11" s="48"/>
      <c r="AN11" s="48"/>
      <c r="AO11" s="48" t="s">
        <v>82</v>
      </c>
      <c r="AP11" s="49" t="s">
        <v>428</v>
      </c>
      <c r="AQ11" s="49"/>
      <c r="AR11" s="49"/>
      <c r="AS11" s="51" t="s">
        <v>88</v>
      </c>
      <c r="AT11" s="49">
        <v>20</v>
      </c>
      <c r="AU11" s="49" t="s">
        <v>423</v>
      </c>
      <c r="AV11" s="48"/>
      <c r="AW11" s="49">
        <v>0</v>
      </c>
      <c r="AX11" s="49">
        <v>12</v>
      </c>
      <c r="AY11" s="49">
        <v>0</v>
      </c>
      <c r="AZ11" s="49">
        <v>0</v>
      </c>
      <c r="BA11" s="49">
        <v>0</v>
      </c>
      <c r="BB11" s="49">
        <v>0</v>
      </c>
      <c r="BC11" s="49">
        <v>0</v>
      </c>
      <c r="BD11" s="49">
        <v>0</v>
      </c>
      <c r="BE11" s="49">
        <v>0</v>
      </c>
      <c r="BF11" s="49">
        <v>0</v>
      </c>
      <c r="BG11" s="49"/>
      <c r="BH11" s="49" t="s">
        <v>428</v>
      </c>
      <c r="BI11" s="49">
        <v>24</v>
      </c>
      <c r="BJ11" s="49" t="s">
        <v>428</v>
      </c>
      <c r="BK11" s="49"/>
      <c r="BL11" s="52"/>
      <c r="BM11" s="52"/>
      <c r="BN11" s="49"/>
      <c r="BO11" s="49" t="s">
        <v>432</v>
      </c>
      <c r="BP11" s="52" t="s">
        <v>1</v>
      </c>
      <c r="BQ11" t="s">
        <v>2</v>
      </c>
      <c r="BR11" t="s">
        <v>90</v>
      </c>
    </row>
    <row r="12" spans="1:70" x14ac:dyDescent="0.15">
      <c r="A12" s="45">
        <v>3783</v>
      </c>
      <c r="B12" s="106">
        <v>41464</v>
      </c>
      <c r="C12" s="47" t="s">
        <v>128</v>
      </c>
      <c r="D12" s="48" t="s">
        <v>129</v>
      </c>
      <c r="E12" s="48"/>
      <c r="F12" s="48" t="s">
        <v>130</v>
      </c>
      <c r="G12" s="46">
        <v>41455</v>
      </c>
      <c r="H12" s="49" t="s">
        <v>427</v>
      </c>
      <c r="I12" s="49" t="s">
        <v>428</v>
      </c>
      <c r="J12" s="49"/>
      <c r="K12" s="48" t="s">
        <v>60</v>
      </c>
      <c r="L12" s="48" t="s">
        <v>97</v>
      </c>
      <c r="M12" s="48">
        <v>83</v>
      </c>
      <c r="N12" s="48">
        <v>38</v>
      </c>
      <c r="O12" s="48"/>
      <c r="P12" s="50"/>
      <c r="Q12" s="48"/>
      <c r="R12" s="50"/>
      <c r="S12" s="48"/>
      <c r="T12" s="50"/>
      <c r="U12" s="48"/>
      <c r="V12" s="48"/>
      <c r="W12" s="48"/>
      <c r="X12" s="48"/>
      <c r="Y12" s="48"/>
      <c r="Z12" s="50"/>
      <c r="AA12" s="48"/>
      <c r="AB12" s="50"/>
      <c r="AC12" s="48"/>
      <c r="AD12" s="48"/>
      <c r="AE12" s="48"/>
      <c r="AF12" s="50"/>
      <c r="AG12" s="48"/>
      <c r="AH12" s="48"/>
      <c r="AI12" s="48"/>
      <c r="AJ12" s="48"/>
      <c r="AK12" s="48"/>
      <c r="AL12" s="48"/>
      <c r="AM12" s="48"/>
      <c r="AN12" s="48"/>
      <c r="AO12" s="48" t="s">
        <v>87</v>
      </c>
      <c r="AP12" s="49" t="s">
        <v>428</v>
      </c>
      <c r="AQ12" s="49"/>
      <c r="AR12" s="49"/>
      <c r="AS12" s="51" t="s">
        <v>88</v>
      </c>
      <c r="AT12" s="49">
        <v>16.3</v>
      </c>
      <c r="AU12" s="49" t="s">
        <v>423</v>
      </c>
      <c r="AV12" s="48"/>
      <c r="AW12" s="49">
        <v>0</v>
      </c>
      <c r="AX12" s="49">
        <v>0</v>
      </c>
      <c r="AY12" s="49">
        <v>0</v>
      </c>
      <c r="AZ12" s="49">
        <v>14</v>
      </c>
      <c r="BA12" s="49">
        <v>0</v>
      </c>
      <c r="BB12" s="49">
        <v>0</v>
      </c>
      <c r="BC12" s="49">
        <v>0</v>
      </c>
      <c r="BD12" s="49">
        <v>0</v>
      </c>
      <c r="BE12" s="49">
        <v>0</v>
      </c>
      <c r="BF12" s="49">
        <v>0</v>
      </c>
      <c r="BG12" s="49">
        <v>24</v>
      </c>
      <c r="BH12" s="49" t="s">
        <v>428</v>
      </c>
      <c r="BI12" s="49"/>
      <c r="BJ12" s="49" t="s">
        <v>428</v>
      </c>
      <c r="BK12" s="49"/>
      <c r="BL12" s="48"/>
      <c r="BM12" s="48"/>
      <c r="BN12" s="49"/>
      <c r="BO12" s="49" t="s">
        <v>432</v>
      </c>
      <c r="BP12" s="48"/>
      <c r="BQ12" t="s">
        <v>61</v>
      </c>
      <c r="BR12" t="s">
        <v>90</v>
      </c>
    </row>
    <row r="13" spans="1:70" x14ac:dyDescent="0.15">
      <c r="A13" s="45">
        <v>1018</v>
      </c>
      <c r="B13" s="106">
        <v>41464</v>
      </c>
      <c r="C13" s="47" t="s">
        <v>282</v>
      </c>
      <c r="D13" s="48" t="s">
        <v>311</v>
      </c>
      <c r="E13" s="48"/>
      <c r="F13" s="48" t="s">
        <v>424</v>
      </c>
      <c r="G13" s="46">
        <v>41455</v>
      </c>
      <c r="H13" s="49" t="s">
        <v>62</v>
      </c>
      <c r="I13" s="49" t="s">
        <v>63</v>
      </c>
      <c r="J13" s="49"/>
      <c r="K13" s="48" t="s">
        <v>64</v>
      </c>
      <c r="L13" s="48" t="s">
        <v>65</v>
      </c>
      <c r="M13" s="48">
        <v>75.486000000000004</v>
      </c>
      <c r="N13" s="48">
        <v>33.499499999999998</v>
      </c>
      <c r="O13" s="48" t="s">
        <v>93</v>
      </c>
      <c r="P13" s="50">
        <v>300</v>
      </c>
      <c r="Q13" s="48">
        <v>34.131999999999998</v>
      </c>
      <c r="R13" s="50">
        <v>1000</v>
      </c>
      <c r="S13" s="48">
        <v>39.0655</v>
      </c>
      <c r="T13" s="50">
        <v>2500</v>
      </c>
      <c r="U13" s="48">
        <v>42.377499999999998</v>
      </c>
      <c r="V13" s="48"/>
      <c r="W13" s="48"/>
      <c r="X13" s="48"/>
      <c r="Y13" s="48"/>
      <c r="Z13" s="48"/>
      <c r="AA13" s="48"/>
      <c r="AB13" s="48"/>
      <c r="AC13" s="48"/>
      <c r="AD13" s="48"/>
      <c r="AE13" s="48"/>
      <c r="AF13" s="50"/>
      <c r="AG13" s="48"/>
      <c r="AH13" s="48"/>
      <c r="AI13" s="48"/>
      <c r="AJ13" s="48"/>
      <c r="AK13" s="48"/>
      <c r="AL13" s="48"/>
      <c r="AM13" s="48"/>
      <c r="AN13" s="48"/>
      <c r="AO13" s="48" t="s">
        <v>87</v>
      </c>
      <c r="AP13" s="49" t="s">
        <v>63</v>
      </c>
      <c r="AQ13" s="49"/>
      <c r="AR13" s="49"/>
      <c r="AS13" s="51" t="s">
        <v>88</v>
      </c>
      <c r="AT13" s="49">
        <v>6.8</v>
      </c>
      <c r="AU13" s="49" t="s">
        <v>63</v>
      </c>
      <c r="AV13" s="48"/>
      <c r="AW13" s="49">
        <v>0</v>
      </c>
      <c r="AX13" s="49">
        <v>0</v>
      </c>
      <c r="AY13" s="49">
        <v>0</v>
      </c>
      <c r="AZ13" s="49">
        <v>0</v>
      </c>
      <c r="BA13" s="49">
        <v>0</v>
      </c>
      <c r="BB13" s="49">
        <v>0</v>
      </c>
      <c r="BC13" s="49">
        <v>0</v>
      </c>
      <c r="BD13" s="49">
        <v>0</v>
      </c>
      <c r="BE13" s="49">
        <v>0</v>
      </c>
      <c r="BF13" s="49">
        <v>0</v>
      </c>
      <c r="BG13" s="49">
        <v>36</v>
      </c>
      <c r="BH13" s="49" t="s">
        <v>63</v>
      </c>
      <c r="BI13" s="49"/>
      <c r="BJ13" s="49" t="s">
        <v>63</v>
      </c>
      <c r="BK13" s="49"/>
      <c r="BL13" s="48"/>
      <c r="BM13" s="48"/>
      <c r="BN13" s="49"/>
      <c r="BO13" s="49" t="s">
        <v>66</v>
      </c>
      <c r="BP13" s="48" t="s">
        <v>67</v>
      </c>
      <c r="BQ13" t="s">
        <v>68</v>
      </c>
      <c r="BR13" s="53" t="s">
        <v>90</v>
      </c>
    </row>
    <row r="14" spans="1:70" x14ac:dyDescent="0.15">
      <c r="A14" s="45">
        <v>3588</v>
      </c>
      <c r="B14" s="106">
        <v>41464</v>
      </c>
      <c r="C14" s="47" t="s">
        <v>69</v>
      </c>
      <c r="D14" s="48" t="s">
        <v>70</v>
      </c>
      <c r="E14" s="48"/>
      <c r="F14" s="48" t="s">
        <v>71</v>
      </c>
      <c r="G14" s="46">
        <v>41459</v>
      </c>
      <c r="H14" s="49" t="s">
        <v>72</v>
      </c>
      <c r="I14" s="49" t="s">
        <v>73</v>
      </c>
      <c r="J14" s="49"/>
      <c r="K14" s="48" t="s">
        <v>74</v>
      </c>
      <c r="L14" s="48" t="s">
        <v>75</v>
      </c>
      <c r="M14" s="48">
        <v>63.65</v>
      </c>
      <c r="N14" s="48">
        <v>32.44</v>
      </c>
      <c r="O14" s="48" t="s">
        <v>93</v>
      </c>
      <c r="P14" s="50">
        <v>1000</v>
      </c>
      <c r="Q14" s="48">
        <v>36.380000000000003</v>
      </c>
      <c r="R14" s="56">
        <v>1000</v>
      </c>
      <c r="S14" s="57">
        <v>36.380000000000003</v>
      </c>
      <c r="T14" s="56">
        <v>1000</v>
      </c>
      <c r="U14" s="57">
        <v>36.380000000000003</v>
      </c>
      <c r="V14" s="48"/>
      <c r="W14" s="48"/>
      <c r="X14" s="48"/>
      <c r="Y14" s="48"/>
      <c r="Z14" s="48"/>
      <c r="AA14" s="48"/>
      <c r="AB14" s="48"/>
      <c r="AC14" s="48"/>
      <c r="AD14" s="48"/>
      <c r="AE14" s="48"/>
      <c r="AF14" s="48"/>
      <c r="AG14" s="48"/>
      <c r="AH14" s="48"/>
      <c r="AI14" s="48"/>
      <c r="AJ14" s="48"/>
      <c r="AK14" s="48"/>
      <c r="AL14" s="48"/>
      <c r="AM14" s="48"/>
      <c r="AN14" s="48"/>
      <c r="AO14" s="48" t="s">
        <v>87</v>
      </c>
      <c r="AP14" s="49" t="s">
        <v>73</v>
      </c>
      <c r="AQ14" s="49"/>
      <c r="AR14" s="49"/>
      <c r="AS14" s="51" t="s">
        <v>88</v>
      </c>
      <c r="AT14" s="107">
        <v>6.8</v>
      </c>
      <c r="AU14" s="49" t="s">
        <v>73</v>
      </c>
      <c r="AV14" s="48"/>
      <c r="AW14" s="49">
        <v>0</v>
      </c>
      <c r="AX14" s="49">
        <v>0</v>
      </c>
      <c r="AY14" s="49">
        <v>0</v>
      </c>
      <c r="AZ14" s="49">
        <v>15</v>
      </c>
      <c r="BA14" s="49">
        <v>0</v>
      </c>
      <c r="BB14" s="49">
        <v>0</v>
      </c>
      <c r="BC14" s="49">
        <v>0</v>
      </c>
      <c r="BD14" s="49">
        <v>0</v>
      </c>
      <c r="BE14" s="49">
        <v>0</v>
      </c>
      <c r="BF14" s="49">
        <v>0</v>
      </c>
      <c r="BG14" s="49">
        <v>24</v>
      </c>
      <c r="BH14" s="49" t="s">
        <v>72</v>
      </c>
      <c r="BI14" s="49"/>
      <c r="BJ14" s="49" t="s">
        <v>73</v>
      </c>
      <c r="BK14" s="49"/>
      <c r="BL14" s="48" t="s">
        <v>76</v>
      </c>
      <c r="BM14" s="48" t="s">
        <v>77</v>
      </c>
      <c r="BN14" s="49">
        <v>25</v>
      </c>
      <c r="BO14" s="49" t="s">
        <v>78</v>
      </c>
      <c r="BP14" s="48"/>
      <c r="BQ14" t="s">
        <v>79</v>
      </c>
      <c r="BR14" s="53" t="s">
        <v>90</v>
      </c>
    </row>
    <row r="15" spans="1:70" x14ac:dyDescent="0.15">
      <c r="A15" s="45">
        <v>1016</v>
      </c>
      <c r="B15" s="106">
        <v>41464</v>
      </c>
      <c r="C15" s="47" t="s">
        <v>282</v>
      </c>
      <c r="D15" s="48" t="s">
        <v>311</v>
      </c>
      <c r="E15" s="48"/>
      <c r="F15" s="48" t="s">
        <v>424</v>
      </c>
      <c r="G15" s="46">
        <v>41479</v>
      </c>
      <c r="H15" s="49" t="s">
        <v>427</v>
      </c>
      <c r="I15" s="49" t="s">
        <v>428</v>
      </c>
      <c r="J15" s="49"/>
      <c r="K15" s="48" t="s">
        <v>80</v>
      </c>
      <c r="L15" s="48" t="s">
        <v>81</v>
      </c>
      <c r="M15" s="48">
        <v>85.85</v>
      </c>
      <c r="N15" s="48">
        <v>37.700000000000003</v>
      </c>
      <c r="O15" s="48" t="s">
        <v>364</v>
      </c>
      <c r="P15" s="50">
        <v>1000</v>
      </c>
      <c r="Q15" s="48">
        <v>42.1</v>
      </c>
      <c r="R15" s="56">
        <v>1000</v>
      </c>
      <c r="S15" s="57">
        <v>42.1</v>
      </c>
      <c r="T15" s="56">
        <v>1000</v>
      </c>
      <c r="U15" s="57">
        <v>42.1</v>
      </c>
      <c r="V15" s="48"/>
      <c r="W15" s="48"/>
      <c r="X15" s="50"/>
      <c r="Y15" s="48"/>
      <c r="Z15" s="50"/>
      <c r="AA15" s="48"/>
      <c r="AB15" s="50"/>
      <c r="AC15" s="48"/>
      <c r="AD15" s="48"/>
      <c r="AE15" s="48"/>
      <c r="AF15" s="50"/>
      <c r="AG15" s="48"/>
      <c r="AH15" s="48"/>
      <c r="AI15" s="48"/>
      <c r="AJ15" s="48"/>
      <c r="AK15" s="48"/>
      <c r="AL15" s="48"/>
      <c r="AM15" s="48"/>
      <c r="AN15" s="48"/>
      <c r="AO15" s="48" t="s">
        <v>82</v>
      </c>
      <c r="AP15" s="49" t="s">
        <v>83</v>
      </c>
      <c r="AQ15" s="49"/>
      <c r="AR15" s="49"/>
      <c r="AS15" s="51" t="s">
        <v>84</v>
      </c>
      <c r="AT15" s="49">
        <v>16</v>
      </c>
      <c r="AU15" s="49" t="s">
        <v>85</v>
      </c>
      <c r="AV15" s="48"/>
      <c r="AW15" s="49">
        <v>0</v>
      </c>
      <c r="AX15" s="49">
        <v>0</v>
      </c>
      <c r="AY15" s="49">
        <v>10</v>
      </c>
      <c r="AZ15" s="49">
        <v>0</v>
      </c>
      <c r="BA15" s="49">
        <v>0</v>
      </c>
      <c r="BB15" s="49">
        <v>0</v>
      </c>
      <c r="BC15" s="49">
        <v>0</v>
      </c>
      <c r="BD15" s="49">
        <v>0</v>
      </c>
      <c r="BE15" s="49">
        <v>0</v>
      </c>
      <c r="BF15" s="49">
        <v>0</v>
      </c>
      <c r="BG15" s="49"/>
      <c r="BH15" s="49" t="s">
        <v>83</v>
      </c>
      <c r="BI15" s="49"/>
      <c r="BJ15" s="49" t="s">
        <v>83</v>
      </c>
      <c r="BK15" s="49"/>
      <c r="BL15" s="48"/>
      <c r="BM15" s="48"/>
      <c r="BN15" s="49"/>
      <c r="BO15" s="49" t="s">
        <v>7</v>
      </c>
      <c r="BP15" s="48"/>
      <c r="BQ15" t="s">
        <v>8</v>
      </c>
      <c r="BR15" s="53" t="s">
        <v>90</v>
      </c>
    </row>
    <row r="16" spans="1:70" x14ac:dyDescent="0.15">
      <c r="A16" s="45">
        <v>948</v>
      </c>
      <c r="B16" s="106">
        <v>41467</v>
      </c>
      <c r="C16" s="47" t="s">
        <v>9</v>
      </c>
      <c r="D16" s="48" t="s">
        <v>10</v>
      </c>
      <c r="E16" s="48"/>
      <c r="F16" s="48" t="s">
        <v>11</v>
      </c>
      <c r="G16" s="46">
        <v>41457</v>
      </c>
      <c r="H16" s="49" t="s">
        <v>427</v>
      </c>
      <c r="I16" s="49" t="s">
        <v>428</v>
      </c>
      <c r="J16" s="49"/>
      <c r="K16" s="48" t="s">
        <v>131</v>
      </c>
      <c r="L16" s="48" t="s">
        <v>86</v>
      </c>
      <c r="M16" s="48">
        <v>83</v>
      </c>
      <c r="N16" s="48">
        <v>38</v>
      </c>
      <c r="O16" s="48"/>
      <c r="P16" s="50"/>
      <c r="Q16" s="48"/>
      <c r="R16" s="50"/>
      <c r="S16" s="48"/>
      <c r="T16" s="50"/>
      <c r="U16" s="48"/>
      <c r="V16" s="48"/>
      <c r="W16" s="48"/>
      <c r="X16" s="48"/>
      <c r="Y16" s="48"/>
      <c r="Z16" s="50"/>
      <c r="AA16" s="48"/>
      <c r="AB16" s="50"/>
      <c r="AC16" s="48"/>
      <c r="AD16" s="48"/>
      <c r="AE16" s="48">
        <v>22</v>
      </c>
      <c r="AF16" s="50"/>
      <c r="AG16" s="48"/>
      <c r="AH16" s="48"/>
      <c r="AI16" s="48"/>
      <c r="AJ16" s="48"/>
      <c r="AK16" s="48"/>
      <c r="AL16" s="48"/>
      <c r="AM16" s="48"/>
      <c r="AN16" s="48"/>
      <c r="AO16" s="48" t="s">
        <v>12</v>
      </c>
      <c r="AP16" s="49" t="s">
        <v>13</v>
      </c>
      <c r="AQ16" s="49"/>
      <c r="AR16" s="49"/>
      <c r="AS16" s="51" t="s">
        <v>88</v>
      </c>
      <c r="AT16" s="49">
        <v>16.3</v>
      </c>
      <c r="AU16" s="49" t="s">
        <v>14</v>
      </c>
      <c r="AV16" s="48"/>
      <c r="AW16" s="49">
        <v>0</v>
      </c>
      <c r="AX16" s="49">
        <v>0</v>
      </c>
      <c r="AY16" s="49">
        <v>0</v>
      </c>
      <c r="AZ16" s="49">
        <v>10</v>
      </c>
      <c r="BA16" s="49">
        <v>0</v>
      </c>
      <c r="BB16" s="49">
        <v>0</v>
      </c>
      <c r="BC16" s="49">
        <v>0</v>
      </c>
      <c r="BD16" s="49">
        <v>0</v>
      </c>
      <c r="BE16" s="49">
        <v>0</v>
      </c>
      <c r="BF16" s="49">
        <v>2</v>
      </c>
      <c r="BG16" s="49"/>
      <c r="BH16" s="49" t="s">
        <v>15</v>
      </c>
      <c r="BI16" s="49">
        <v>12</v>
      </c>
      <c r="BJ16" s="49" t="s">
        <v>15</v>
      </c>
      <c r="BK16" s="49"/>
      <c r="BL16" s="52"/>
      <c r="BM16" s="52"/>
      <c r="BN16" s="49"/>
      <c r="BO16" s="49" t="s">
        <v>432</v>
      </c>
      <c r="BP16" s="52"/>
      <c r="BQ16" t="s">
        <v>16</v>
      </c>
      <c r="BR16" s="53" t="s">
        <v>90</v>
      </c>
    </row>
    <row r="17" spans="1:70" x14ac:dyDescent="0.15">
      <c r="A17" s="45">
        <v>955</v>
      </c>
      <c r="B17" s="106">
        <v>41467</v>
      </c>
      <c r="C17" s="47" t="s">
        <v>282</v>
      </c>
      <c r="D17" s="48" t="s">
        <v>311</v>
      </c>
      <c r="E17" s="48"/>
      <c r="F17" s="48" t="s">
        <v>439</v>
      </c>
      <c r="G17" s="46">
        <v>41449</v>
      </c>
      <c r="H17" s="49" t="s">
        <v>72</v>
      </c>
      <c r="I17" s="49" t="s">
        <v>73</v>
      </c>
      <c r="J17" s="49"/>
      <c r="K17" s="48" t="s">
        <v>91</v>
      </c>
      <c r="L17" s="48" t="s">
        <v>92</v>
      </c>
      <c r="M17" s="48">
        <v>97.18</v>
      </c>
      <c r="N17" s="48">
        <v>39.03</v>
      </c>
      <c r="O17" s="48" t="s">
        <v>364</v>
      </c>
      <c r="P17" s="50">
        <v>300</v>
      </c>
      <c r="Q17" s="48">
        <v>40.619999999999997</v>
      </c>
      <c r="R17" s="50">
        <v>1000</v>
      </c>
      <c r="S17" s="48">
        <v>44.68</v>
      </c>
      <c r="T17" s="50">
        <v>2500</v>
      </c>
      <c r="U17" s="48">
        <v>48.44</v>
      </c>
      <c r="V17" s="48"/>
      <c r="W17" s="48"/>
      <c r="X17" s="48"/>
      <c r="Y17" s="48"/>
      <c r="Z17" s="48"/>
      <c r="AA17" s="48"/>
      <c r="AB17" s="48"/>
      <c r="AC17" s="48"/>
      <c r="AD17" s="48"/>
      <c r="AE17" s="48">
        <v>22.03</v>
      </c>
      <c r="AF17" s="50">
        <v>2000</v>
      </c>
      <c r="AG17" s="48">
        <v>22.46</v>
      </c>
      <c r="AH17" s="48"/>
      <c r="AI17" s="48"/>
      <c r="AJ17" s="48"/>
      <c r="AK17" s="48"/>
      <c r="AL17" s="48"/>
      <c r="AM17" s="48"/>
      <c r="AN17" s="48"/>
      <c r="AO17" s="48" t="s">
        <v>411</v>
      </c>
      <c r="AP17" s="49" t="s">
        <v>17</v>
      </c>
      <c r="AQ17" s="49"/>
      <c r="AR17" s="49"/>
      <c r="AS17" s="51" t="s">
        <v>412</v>
      </c>
      <c r="AT17" s="49">
        <v>6.8</v>
      </c>
      <c r="AU17" s="49" t="s">
        <v>17</v>
      </c>
      <c r="AV17" s="48"/>
      <c r="AW17" s="49">
        <v>0</v>
      </c>
      <c r="AX17" s="49">
        <v>0</v>
      </c>
      <c r="AY17" s="49">
        <v>0</v>
      </c>
      <c r="AZ17" s="49">
        <v>25</v>
      </c>
      <c r="BA17" s="49">
        <v>0</v>
      </c>
      <c r="BB17" s="49">
        <v>0</v>
      </c>
      <c r="BC17" s="49">
        <v>0</v>
      </c>
      <c r="BD17" s="49">
        <v>0</v>
      </c>
      <c r="BE17" s="49">
        <v>0</v>
      </c>
      <c r="BF17" s="49">
        <v>0</v>
      </c>
      <c r="BG17" s="49"/>
      <c r="BH17" s="49" t="s">
        <v>17</v>
      </c>
      <c r="BI17" s="49">
        <v>24</v>
      </c>
      <c r="BJ17" s="49" t="s">
        <v>17</v>
      </c>
      <c r="BK17" s="49"/>
      <c r="BL17" s="48"/>
      <c r="BM17" s="48"/>
      <c r="BN17" s="49"/>
      <c r="BO17" s="49" t="s">
        <v>18</v>
      </c>
      <c r="BP17" s="48"/>
      <c r="BQ17" t="s">
        <v>94</v>
      </c>
      <c r="BR17" t="s">
        <v>90</v>
      </c>
    </row>
    <row r="18" spans="1:70" x14ac:dyDescent="0.15">
      <c r="A18" s="45">
        <v>2554</v>
      </c>
      <c r="B18" s="106">
        <v>41467</v>
      </c>
      <c r="C18" s="47" t="s">
        <v>282</v>
      </c>
      <c r="D18" s="48" t="s">
        <v>311</v>
      </c>
      <c r="E18" s="48"/>
      <c r="F18" s="48" t="s">
        <v>439</v>
      </c>
      <c r="G18" s="46">
        <v>41455</v>
      </c>
      <c r="H18" s="49" t="s">
        <v>427</v>
      </c>
      <c r="I18" s="49" t="s">
        <v>413</v>
      </c>
      <c r="J18" s="49"/>
      <c r="K18" s="48" t="s">
        <v>414</v>
      </c>
      <c r="L18" s="48" t="s">
        <v>415</v>
      </c>
      <c r="M18" s="48">
        <v>84.257999999999996</v>
      </c>
      <c r="N18" s="48">
        <v>44.454000000000001</v>
      </c>
      <c r="O18" s="48" t="s">
        <v>364</v>
      </c>
      <c r="P18" s="50">
        <v>1000</v>
      </c>
      <c r="Q18" s="48">
        <v>46.5</v>
      </c>
      <c r="R18" s="56">
        <v>1000</v>
      </c>
      <c r="S18" s="57">
        <v>46.5</v>
      </c>
      <c r="T18" s="56">
        <v>1000</v>
      </c>
      <c r="U18" s="57">
        <v>46.5</v>
      </c>
      <c r="V18" s="48"/>
      <c r="W18" s="48"/>
      <c r="X18" s="48"/>
      <c r="Y18" s="48"/>
      <c r="Z18" s="48"/>
      <c r="AA18" s="48"/>
      <c r="AB18" s="48"/>
      <c r="AC18" s="48"/>
      <c r="AD18" s="48"/>
      <c r="AE18" s="48">
        <v>36.456000000000003</v>
      </c>
      <c r="AF18" s="50"/>
      <c r="AG18" s="48"/>
      <c r="AH18" s="48"/>
      <c r="AI18" s="48"/>
      <c r="AJ18" s="48"/>
      <c r="AK18" s="48"/>
      <c r="AL18" s="48"/>
      <c r="AM18" s="48"/>
      <c r="AN18" s="48"/>
      <c r="AO18" s="48" t="s">
        <v>411</v>
      </c>
      <c r="AP18" s="49" t="s">
        <v>428</v>
      </c>
      <c r="AQ18" s="49"/>
      <c r="AR18" s="49"/>
      <c r="AS18" s="51" t="s">
        <v>88</v>
      </c>
      <c r="AT18" s="49">
        <v>22</v>
      </c>
      <c r="AU18" s="49" t="s">
        <v>428</v>
      </c>
      <c r="AV18" s="48"/>
      <c r="AW18" s="49">
        <v>0</v>
      </c>
      <c r="AX18" s="49">
        <v>0</v>
      </c>
      <c r="AY18" s="49">
        <v>5</v>
      </c>
      <c r="AZ18" s="49">
        <v>0</v>
      </c>
      <c r="BA18" s="49">
        <v>0</v>
      </c>
      <c r="BB18" s="49">
        <v>0</v>
      </c>
      <c r="BC18" s="49">
        <v>0</v>
      </c>
      <c r="BD18" s="49">
        <v>0</v>
      </c>
      <c r="BE18" s="49">
        <v>0</v>
      </c>
      <c r="BF18" s="49">
        <v>0</v>
      </c>
      <c r="BG18" s="49"/>
      <c r="BH18" s="49" t="s">
        <v>428</v>
      </c>
      <c r="BI18" s="49"/>
      <c r="BJ18" s="49" t="s">
        <v>428</v>
      </c>
      <c r="BK18" s="49"/>
      <c r="BL18" s="52"/>
      <c r="BM18" s="48"/>
      <c r="BN18" s="49"/>
      <c r="BO18" s="49" t="s">
        <v>432</v>
      </c>
      <c r="BP18" s="52" t="s">
        <v>95</v>
      </c>
      <c r="BQ18" t="s">
        <v>379</v>
      </c>
      <c r="BR18" s="53" t="s">
        <v>90</v>
      </c>
    </row>
    <row r="19" spans="1:70" x14ac:dyDescent="0.15">
      <c r="A19" s="45">
        <v>957</v>
      </c>
      <c r="B19" s="106">
        <v>41464</v>
      </c>
      <c r="C19" s="47" t="s">
        <v>282</v>
      </c>
      <c r="D19" s="48" t="s">
        <v>311</v>
      </c>
      <c r="E19" s="48"/>
      <c r="F19" s="48" t="s">
        <v>439</v>
      </c>
      <c r="G19" s="46">
        <v>41495</v>
      </c>
      <c r="H19" s="49" t="s">
        <v>19</v>
      </c>
      <c r="I19" s="49" t="s">
        <v>20</v>
      </c>
      <c r="J19" s="49"/>
      <c r="K19" s="48" t="s">
        <v>96</v>
      </c>
      <c r="L19" s="48" t="s">
        <v>97</v>
      </c>
      <c r="M19" s="48">
        <v>80.95</v>
      </c>
      <c r="N19" s="48">
        <v>40.9</v>
      </c>
      <c r="O19" s="48" t="s">
        <v>93</v>
      </c>
      <c r="P19" s="50">
        <v>1000</v>
      </c>
      <c r="Q19" s="48">
        <v>44.4</v>
      </c>
      <c r="R19" s="56">
        <v>1000</v>
      </c>
      <c r="S19" s="57">
        <v>44.4</v>
      </c>
      <c r="T19" s="56">
        <v>1000</v>
      </c>
      <c r="U19" s="57">
        <v>44.4</v>
      </c>
      <c r="V19" s="48"/>
      <c r="W19" s="48"/>
      <c r="X19" s="48"/>
      <c r="Y19" s="48"/>
      <c r="Z19" s="48"/>
      <c r="AA19" s="48"/>
      <c r="AB19" s="48"/>
      <c r="AC19" s="48"/>
      <c r="AD19" s="48"/>
      <c r="AE19" s="48">
        <v>22.49</v>
      </c>
      <c r="AF19" s="50"/>
      <c r="AG19" s="48"/>
      <c r="AH19" s="48"/>
      <c r="AI19" s="48"/>
      <c r="AJ19" s="48"/>
      <c r="AK19" s="48"/>
      <c r="AL19" s="48"/>
      <c r="AM19" s="48"/>
      <c r="AN19" s="48"/>
      <c r="AO19" s="48" t="s">
        <v>12</v>
      </c>
      <c r="AP19" s="49" t="s">
        <v>20</v>
      </c>
      <c r="AQ19" s="49"/>
      <c r="AR19" s="49"/>
      <c r="AS19" s="51" t="s">
        <v>88</v>
      </c>
      <c r="AT19" s="49">
        <v>11.6</v>
      </c>
      <c r="AU19" s="49" t="s">
        <v>20</v>
      </c>
      <c r="AV19" s="48"/>
      <c r="AW19" s="49">
        <v>0</v>
      </c>
      <c r="AX19" s="49">
        <v>0</v>
      </c>
      <c r="AY19" s="49">
        <v>0</v>
      </c>
      <c r="AZ19" s="49">
        <v>20</v>
      </c>
      <c r="BA19" s="49">
        <v>0</v>
      </c>
      <c r="BB19" s="49">
        <v>0</v>
      </c>
      <c r="BC19" s="49">
        <v>0</v>
      </c>
      <c r="BD19" s="49">
        <v>0</v>
      </c>
      <c r="BE19" s="49">
        <v>0</v>
      </c>
      <c r="BF19" s="49">
        <v>0</v>
      </c>
      <c r="BG19" s="49"/>
      <c r="BH19" s="49" t="s">
        <v>20</v>
      </c>
      <c r="BI19" s="49"/>
      <c r="BJ19" s="49" t="s">
        <v>20</v>
      </c>
      <c r="BK19" s="49"/>
      <c r="BL19" s="48" t="s">
        <v>98</v>
      </c>
      <c r="BM19" s="48"/>
      <c r="BN19" s="49"/>
      <c r="BO19" s="49" t="s">
        <v>21</v>
      </c>
      <c r="BP19" s="48"/>
      <c r="BQ19" t="s">
        <v>99</v>
      </c>
      <c r="BR19" s="53" t="s">
        <v>100</v>
      </c>
    </row>
    <row r="20" spans="1:70" x14ac:dyDescent="0.15">
      <c r="A20" s="45">
        <v>959</v>
      </c>
      <c r="B20" s="106">
        <v>41464</v>
      </c>
      <c r="C20" s="47" t="s">
        <v>128</v>
      </c>
      <c r="D20" s="48" t="s">
        <v>129</v>
      </c>
      <c r="E20" s="48"/>
      <c r="F20" s="48" t="s">
        <v>22</v>
      </c>
      <c r="G20" s="54">
        <v>41455</v>
      </c>
      <c r="H20" s="49" t="s">
        <v>427</v>
      </c>
      <c r="I20" s="49" t="s">
        <v>428</v>
      </c>
      <c r="J20" s="49"/>
      <c r="K20" s="48" t="s">
        <v>101</v>
      </c>
      <c r="L20" s="48" t="s">
        <v>102</v>
      </c>
      <c r="M20" s="48">
        <v>86.95</v>
      </c>
      <c r="N20" s="48">
        <v>33.26</v>
      </c>
      <c r="O20" s="48" t="s">
        <v>364</v>
      </c>
      <c r="P20" s="50">
        <v>300</v>
      </c>
      <c r="Q20" s="48">
        <v>35.89</v>
      </c>
      <c r="R20" s="50">
        <v>1000</v>
      </c>
      <c r="S20" s="48">
        <v>38.950000000000003</v>
      </c>
      <c r="T20" s="50">
        <v>2500</v>
      </c>
      <c r="U20" s="48">
        <v>39.869999999999997</v>
      </c>
      <c r="V20" s="48"/>
      <c r="W20" s="48"/>
      <c r="X20" s="48"/>
      <c r="Y20" s="48"/>
      <c r="Z20" s="48"/>
      <c r="AA20" s="48"/>
      <c r="AB20" s="48"/>
      <c r="AC20" s="48"/>
      <c r="AD20" s="48"/>
      <c r="AE20" s="48">
        <v>19.95</v>
      </c>
      <c r="AF20" s="50"/>
      <c r="AG20" s="48"/>
      <c r="AH20" s="48"/>
      <c r="AI20" s="48"/>
      <c r="AJ20" s="48"/>
      <c r="AK20" s="48"/>
      <c r="AL20" s="48"/>
      <c r="AM20" s="48"/>
      <c r="AN20" s="48"/>
      <c r="AO20" s="48" t="s">
        <v>411</v>
      </c>
      <c r="AP20" s="49" t="s">
        <v>17</v>
      </c>
      <c r="AQ20" s="49"/>
      <c r="AR20" s="49"/>
      <c r="AS20" s="51" t="s">
        <v>23</v>
      </c>
      <c r="AT20" s="49">
        <v>12</v>
      </c>
      <c r="AU20" s="49" t="s">
        <v>17</v>
      </c>
      <c r="AV20" s="48"/>
      <c r="AW20" s="49">
        <v>0</v>
      </c>
      <c r="AX20" s="49">
        <v>0</v>
      </c>
      <c r="AY20" s="49">
        <v>7</v>
      </c>
      <c r="AZ20" s="49">
        <v>0</v>
      </c>
      <c r="BA20" s="49">
        <v>0</v>
      </c>
      <c r="BB20" s="49">
        <v>0</v>
      </c>
      <c r="BC20" s="49">
        <v>0</v>
      </c>
      <c r="BD20" s="49">
        <v>0</v>
      </c>
      <c r="BE20" s="49">
        <v>0</v>
      </c>
      <c r="BF20" s="49">
        <v>0</v>
      </c>
      <c r="BG20" s="49">
        <v>24</v>
      </c>
      <c r="BH20" s="49" t="s">
        <v>24</v>
      </c>
      <c r="BI20" s="49"/>
      <c r="BJ20" s="49" t="s">
        <v>17</v>
      </c>
      <c r="BK20" s="49"/>
      <c r="BL20" s="48"/>
      <c r="BM20" s="48"/>
      <c r="BN20" s="49"/>
      <c r="BO20" s="49" t="s">
        <v>18</v>
      </c>
      <c r="BP20" s="48" t="s">
        <v>103</v>
      </c>
      <c r="BQ20" t="s">
        <v>104</v>
      </c>
      <c r="BR20" s="53" t="s">
        <v>90</v>
      </c>
    </row>
    <row r="21" spans="1:70" x14ac:dyDescent="0.15">
      <c r="A21" s="45">
        <v>961</v>
      </c>
      <c r="B21" s="106">
        <v>41464</v>
      </c>
      <c r="C21" s="47" t="s">
        <v>282</v>
      </c>
      <c r="D21" s="48" t="s">
        <v>311</v>
      </c>
      <c r="E21" s="48"/>
      <c r="F21" s="48" t="s">
        <v>439</v>
      </c>
      <c r="G21" s="46">
        <v>41495</v>
      </c>
      <c r="H21" s="49" t="s">
        <v>427</v>
      </c>
      <c r="I21" s="49" t="s">
        <v>428</v>
      </c>
      <c r="J21" s="49"/>
      <c r="K21" s="48" t="s">
        <v>105</v>
      </c>
      <c r="L21" s="48" t="s">
        <v>97</v>
      </c>
      <c r="M21" s="48">
        <v>80.95</v>
      </c>
      <c r="N21" s="48">
        <v>42.65</v>
      </c>
      <c r="O21" s="48" t="s">
        <v>93</v>
      </c>
      <c r="P21" s="50">
        <v>1000</v>
      </c>
      <c r="Q21" s="48">
        <v>46.25</v>
      </c>
      <c r="R21" s="56">
        <v>1000</v>
      </c>
      <c r="S21" s="57">
        <v>46.25</v>
      </c>
      <c r="T21" s="56">
        <v>1000</v>
      </c>
      <c r="U21" s="57">
        <v>46.25</v>
      </c>
      <c r="V21" s="48"/>
      <c r="W21" s="48"/>
      <c r="X21" s="48"/>
      <c r="Y21" s="48"/>
      <c r="Z21" s="48"/>
      <c r="AA21" s="48"/>
      <c r="AB21" s="48"/>
      <c r="AC21" s="48"/>
      <c r="AD21" s="48"/>
      <c r="AE21" s="48">
        <v>23.45</v>
      </c>
      <c r="AF21" s="50"/>
      <c r="AG21" s="48"/>
      <c r="AH21" s="48"/>
      <c r="AI21" s="48"/>
      <c r="AJ21" s="48"/>
      <c r="AK21" s="48"/>
      <c r="AL21" s="48"/>
      <c r="AM21" s="48"/>
      <c r="AN21" s="48"/>
      <c r="AO21" s="48" t="s">
        <v>12</v>
      </c>
      <c r="AP21" s="49" t="s">
        <v>428</v>
      </c>
      <c r="AQ21" s="49"/>
      <c r="AR21" s="49"/>
      <c r="AS21" s="51" t="s">
        <v>88</v>
      </c>
      <c r="AT21" s="49">
        <v>11.6</v>
      </c>
      <c r="AU21" s="49" t="s">
        <v>423</v>
      </c>
      <c r="AV21" s="48"/>
      <c r="AW21" s="49">
        <v>0</v>
      </c>
      <c r="AX21" s="49">
        <v>0</v>
      </c>
      <c r="AY21" s="49">
        <v>0</v>
      </c>
      <c r="AZ21" s="49">
        <v>0</v>
      </c>
      <c r="BA21" s="49">
        <v>0</v>
      </c>
      <c r="BB21" s="49">
        <v>25</v>
      </c>
      <c r="BC21" s="49">
        <v>0</v>
      </c>
      <c r="BD21" s="49">
        <v>0</v>
      </c>
      <c r="BE21" s="49">
        <v>0</v>
      </c>
      <c r="BF21" s="49">
        <v>0</v>
      </c>
      <c r="BG21" s="49"/>
      <c r="BH21" s="49" t="s">
        <v>428</v>
      </c>
      <c r="BI21" s="49"/>
      <c r="BJ21" s="49" t="s">
        <v>428</v>
      </c>
      <c r="BK21" s="49"/>
      <c r="BL21" s="48"/>
      <c r="BM21" s="48"/>
      <c r="BN21" s="49"/>
      <c r="BO21" s="49" t="s">
        <v>432</v>
      </c>
      <c r="BP21" s="48"/>
      <c r="BQ21" t="s">
        <v>106</v>
      </c>
      <c r="BR21" s="53" t="s">
        <v>100</v>
      </c>
    </row>
    <row r="22" spans="1:70" x14ac:dyDescent="0.15">
      <c r="A22" s="45">
        <v>966</v>
      </c>
      <c r="B22" s="106">
        <v>41467</v>
      </c>
      <c r="C22" s="47" t="s">
        <v>128</v>
      </c>
      <c r="D22" s="48" t="s">
        <v>129</v>
      </c>
      <c r="E22" s="48"/>
      <c r="F22" s="48" t="s">
        <v>22</v>
      </c>
      <c r="G22" s="46">
        <v>41467</v>
      </c>
      <c r="H22" s="49" t="s">
        <v>72</v>
      </c>
      <c r="I22" s="49" t="s">
        <v>73</v>
      </c>
      <c r="J22" s="49"/>
      <c r="K22" s="48" t="s">
        <v>107</v>
      </c>
      <c r="L22" s="48" t="s">
        <v>108</v>
      </c>
      <c r="M22" s="48">
        <v>89.6</v>
      </c>
      <c r="N22" s="48">
        <v>42.27</v>
      </c>
      <c r="O22" s="48" t="s">
        <v>364</v>
      </c>
      <c r="P22" s="50">
        <v>1000</v>
      </c>
      <c r="Q22" s="48">
        <v>45.43</v>
      </c>
      <c r="R22" s="56">
        <v>1000</v>
      </c>
      <c r="S22" s="57">
        <v>45.43</v>
      </c>
      <c r="T22" s="56">
        <v>1000</v>
      </c>
      <c r="U22" s="57">
        <v>45.43</v>
      </c>
      <c r="V22" s="48"/>
      <c r="W22" s="48"/>
      <c r="X22" s="50"/>
      <c r="Y22" s="48"/>
      <c r="Z22" s="50"/>
      <c r="AA22" s="48"/>
      <c r="AB22" s="50"/>
      <c r="AC22" s="48"/>
      <c r="AD22" s="48"/>
      <c r="AE22" s="48">
        <v>16.91</v>
      </c>
      <c r="AF22" s="50"/>
      <c r="AG22" s="48"/>
      <c r="AH22" s="48"/>
      <c r="AI22" s="48"/>
      <c r="AJ22" s="48"/>
      <c r="AK22" s="48"/>
      <c r="AL22" s="48"/>
      <c r="AM22" s="48"/>
      <c r="AN22" s="48"/>
      <c r="AO22" s="48" t="s">
        <v>411</v>
      </c>
      <c r="AP22" s="49" t="s">
        <v>25</v>
      </c>
      <c r="AQ22" s="49"/>
      <c r="AR22" s="49"/>
      <c r="AS22" s="51" t="s">
        <v>26</v>
      </c>
      <c r="AT22" s="49">
        <v>15</v>
      </c>
      <c r="AU22" s="49" t="s">
        <v>27</v>
      </c>
      <c r="AV22" s="48"/>
      <c r="AW22" s="49">
        <v>0</v>
      </c>
      <c r="AX22" s="49">
        <v>0</v>
      </c>
      <c r="AY22" s="49">
        <v>0</v>
      </c>
      <c r="AZ22" s="49">
        <v>18</v>
      </c>
      <c r="BA22" s="49">
        <v>0</v>
      </c>
      <c r="BB22" s="49">
        <v>0</v>
      </c>
      <c r="BC22" s="49">
        <v>0</v>
      </c>
      <c r="BD22" s="49">
        <v>0</v>
      </c>
      <c r="BE22" s="49">
        <v>0</v>
      </c>
      <c r="BF22" s="49">
        <v>0</v>
      </c>
      <c r="BG22" s="49"/>
      <c r="BH22" s="49" t="s">
        <v>25</v>
      </c>
      <c r="BI22" s="49">
        <v>12</v>
      </c>
      <c r="BJ22" s="49" t="s">
        <v>25</v>
      </c>
      <c r="BK22" s="49"/>
      <c r="BL22" s="52" t="s">
        <v>109</v>
      </c>
      <c r="BM22" s="52" t="s">
        <v>50</v>
      </c>
      <c r="BN22" s="49">
        <v>50</v>
      </c>
      <c r="BO22" s="49" t="s">
        <v>28</v>
      </c>
      <c r="BP22" s="48"/>
      <c r="BQ22" t="s">
        <v>29</v>
      </c>
      <c r="BR22" s="53" t="s">
        <v>90</v>
      </c>
    </row>
    <row r="23" spans="1:70" x14ac:dyDescent="0.15">
      <c r="A23" s="45">
        <v>975</v>
      </c>
      <c r="B23" s="106">
        <v>41467</v>
      </c>
      <c r="C23" s="47" t="s">
        <v>30</v>
      </c>
      <c r="D23" s="48" t="s">
        <v>31</v>
      </c>
      <c r="E23" s="48"/>
      <c r="F23" s="48" t="s">
        <v>32</v>
      </c>
      <c r="G23" s="46">
        <v>41468</v>
      </c>
      <c r="H23" s="49" t="s">
        <v>33</v>
      </c>
      <c r="I23" s="49" t="s">
        <v>73</v>
      </c>
      <c r="J23" s="49"/>
      <c r="K23" s="48" t="s">
        <v>52</v>
      </c>
      <c r="L23" s="48" t="s">
        <v>53</v>
      </c>
      <c r="M23" s="48">
        <v>85.85</v>
      </c>
      <c r="N23" s="48">
        <v>37.700000000000003</v>
      </c>
      <c r="O23" s="48" t="s">
        <v>93</v>
      </c>
      <c r="P23" s="50">
        <v>1000</v>
      </c>
      <c r="Q23" s="48">
        <v>42.1</v>
      </c>
      <c r="R23" s="56">
        <v>1000</v>
      </c>
      <c r="S23" s="57">
        <v>42.1</v>
      </c>
      <c r="T23" s="56">
        <v>1000</v>
      </c>
      <c r="U23" s="57">
        <v>42.1</v>
      </c>
      <c r="V23" s="48"/>
      <c r="W23" s="48"/>
      <c r="X23" s="48"/>
      <c r="Y23" s="48"/>
      <c r="Z23" s="48"/>
      <c r="AA23" s="48"/>
      <c r="AB23" s="48"/>
      <c r="AC23" s="48"/>
      <c r="AD23" s="48"/>
      <c r="AE23" s="48">
        <v>19.399999999999999</v>
      </c>
      <c r="AF23" s="50"/>
      <c r="AG23" s="48"/>
      <c r="AH23" s="48"/>
      <c r="AI23" s="48"/>
      <c r="AJ23" s="48"/>
      <c r="AK23" s="48"/>
      <c r="AL23" s="48"/>
      <c r="AM23" s="48"/>
      <c r="AN23" s="48"/>
      <c r="AO23" s="48" t="s">
        <v>12</v>
      </c>
      <c r="AP23" s="49" t="s">
        <v>13</v>
      </c>
      <c r="AQ23" s="49"/>
      <c r="AR23" s="49"/>
      <c r="AS23" s="51" t="s">
        <v>34</v>
      </c>
      <c r="AT23" s="49">
        <v>16</v>
      </c>
      <c r="AU23" s="49" t="s">
        <v>13</v>
      </c>
      <c r="AV23" s="48"/>
      <c r="AW23" s="49">
        <v>0</v>
      </c>
      <c r="AX23" s="49">
        <v>0</v>
      </c>
      <c r="AY23" s="49">
        <v>10</v>
      </c>
      <c r="AZ23" s="49">
        <v>0</v>
      </c>
      <c r="BA23" s="49">
        <v>0</v>
      </c>
      <c r="BB23" s="49">
        <v>0</v>
      </c>
      <c r="BC23" s="49">
        <v>0</v>
      </c>
      <c r="BD23" s="49">
        <v>0</v>
      </c>
      <c r="BE23" s="49">
        <v>0</v>
      </c>
      <c r="BF23" s="49">
        <v>0</v>
      </c>
      <c r="BG23" s="49"/>
      <c r="BH23" s="49" t="s">
        <v>13</v>
      </c>
      <c r="BI23" s="49"/>
      <c r="BJ23" s="49" t="s">
        <v>13</v>
      </c>
      <c r="BK23" s="49"/>
      <c r="BL23" s="48" t="s">
        <v>54</v>
      </c>
      <c r="BM23" s="48"/>
      <c r="BN23" s="49"/>
      <c r="BO23" s="49" t="s">
        <v>78</v>
      </c>
      <c r="BP23" s="48"/>
      <c r="BQ23" t="s">
        <v>55</v>
      </c>
      <c r="BR23" t="s">
        <v>56</v>
      </c>
    </row>
    <row r="24" spans="1:70" x14ac:dyDescent="0.15">
      <c r="A24" s="45">
        <v>985</v>
      </c>
      <c r="B24" s="106">
        <v>41464</v>
      </c>
      <c r="C24" s="47" t="s">
        <v>128</v>
      </c>
      <c r="D24" s="48" t="s">
        <v>129</v>
      </c>
      <c r="E24" s="48"/>
      <c r="F24" s="48" t="s">
        <v>22</v>
      </c>
      <c r="G24" s="46">
        <v>41469</v>
      </c>
      <c r="H24" s="49" t="s">
        <v>427</v>
      </c>
      <c r="I24" s="49" t="s">
        <v>428</v>
      </c>
      <c r="J24" s="49"/>
      <c r="K24" s="48" t="s">
        <v>57</v>
      </c>
      <c r="L24" s="48" t="s">
        <v>58</v>
      </c>
      <c r="M24" s="48">
        <v>82.59</v>
      </c>
      <c r="N24" s="48">
        <v>40.04</v>
      </c>
      <c r="O24" s="48" t="s">
        <v>93</v>
      </c>
      <c r="P24" s="50">
        <v>600</v>
      </c>
      <c r="Q24" s="48">
        <v>39.24</v>
      </c>
      <c r="R24" s="56">
        <v>600</v>
      </c>
      <c r="S24" s="57">
        <v>39.24</v>
      </c>
      <c r="T24" s="56">
        <v>600</v>
      </c>
      <c r="U24" s="57">
        <v>39.24</v>
      </c>
      <c r="V24" s="48"/>
      <c r="W24" s="48"/>
      <c r="X24" s="48"/>
      <c r="Y24" s="48"/>
      <c r="Z24" s="48"/>
      <c r="AA24" s="48"/>
      <c r="AB24" s="48"/>
      <c r="AC24" s="48"/>
      <c r="AD24" s="48"/>
      <c r="AE24" s="48">
        <v>21.56</v>
      </c>
      <c r="AF24" s="50"/>
      <c r="AG24" s="48"/>
      <c r="AH24" s="48"/>
      <c r="AI24" s="48"/>
      <c r="AJ24" s="48"/>
      <c r="AK24" s="48"/>
      <c r="AL24" s="48"/>
      <c r="AM24" s="48"/>
      <c r="AN24" s="48"/>
      <c r="AO24" s="48" t="s">
        <v>12</v>
      </c>
      <c r="AP24" s="49" t="s">
        <v>428</v>
      </c>
      <c r="AQ24" s="49"/>
      <c r="AR24" s="49"/>
      <c r="AS24" s="51" t="s">
        <v>34</v>
      </c>
      <c r="AT24" s="49">
        <v>6.8</v>
      </c>
      <c r="AU24" s="49" t="s">
        <v>428</v>
      </c>
      <c r="AV24" s="48"/>
      <c r="AW24" s="49">
        <v>0</v>
      </c>
      <c r="AX24" s="49">
        <v>0</v>
      </c>
      <c r="AY24" s="49">
        <v>0</v>
      </c>
      <c r="AZ24" s="49">
        <v>0</v>
      </c>
      <c r="BA24" s="49">
        <v>0</v>
      </c>
      <c r="BB24" s="49">
        <v>0</v>
      </c>
      <c r="BC24" s="49">
        <v>0</v>
      </c>
      <c r="BD24" s="49">
        <v>0</v>
      </c>
      <c r="BE24" s="49">
        <v>0</v>
      </c>
      <c r="BF24" s="49">
        <v>0</v>
      </c>
      <c r="BG24" s="49">
        <v>12</v>
      </c>
      <c r="BH24" s="49" t="s">
        <v>427</v>
      </c>
      <c r="BI24" s="49"/>
      <c r="BJ24" s="49" t="s">
        <v>428</v>
      </c>
      <c r="BK24" s="49"/>
      <c r="BL24" s="48"/>
      <c r="BM24" s="48"/>
      <c r="BN24" s="49"/>
      <c r="BO24" s="49" t="s">
        <v>432</v>
      </c>
      <c r="BP24" s="48"/>
      <c r="BQ24" t="s">
        <v>59</v>
      </c>
      <c r="BR24" s="53" t="s">
        <v>90</v>
      </c>
    </row>
    <row r="25" spans="1:70" x14ac:dyDescent="0.15">
      <c r="A25" s="45">
        <v>4204</v>
      </c>
      <c r="B25" s="106">
        <v>41465</v>
      </c>
      <c r="C25" s="47" t="s">
        <v>282</v>
      </c>
      <c r="D25" s="48" t="s">
        <v>311</v>
      </c>
      <c r="E25" s="48"/>
      <c r="F25" s="48" t="s">
        <v>439</v>
      </c>
      <c r="G25" s="46">
        <v>41455</v>
      </c>
      <c r="H25" s="49" t="s">
        <v>3</v>
      </c>
      <c r="I25" s="49" t="s">
        <v>413</v>
      </c>
      <c r="J25" s="49"/>
      <c r="K25" s="48" t="s">
        <v>425</v>
      </c>
      <c r="L25" s="48" t="s">
        <v>0</v>
      </c>
      <c r="M25" s="48">
        <v>82.95</v>
      </c>
      <c r="N25" s="48">
        <v>36.75</v>
      </c>
      <c r="O25" s="48" t="s">
        <v>364</v>
      </c>
      <c r="P25" s="50">
        <v>1000</v>
      </c>
      <c r="Q25" s="48">
        <v>39.229999999999997</v>
      </c>
      <c r="R25" s="56">
        <v>1000</v>
      </c>
      <c r="S25" s="57">
        <v>39.229999999999997</v>
      </c>
      <c r="T25" s="56">
        <v>1000</v>
      </c>
      <c r="U25" s="57">
        <v>39.229999999999997</v>
      </c>
      <c r="V25" s="48"/>
      <c r="W25" s="48"/>
      <c r="X25" s="48"/>
      <c r="Y25" s="48"/>
      <c r="Z25" s="50"/>
      <c r="AA25" s="48"/>
      <c r="AB25" s="50"/>
      <c r="AC25" s="48"/>
      <c r="AD25" s="48"/>
      <c r="AE25" s="48">
        <v>19.25</v>
      </c>
      <c r="AF25" s="50"/>
      <c r="AG25" s="48"/>
      <c r="AH25" s="48"/>
      <c r="AI25" s="48"/>
      <c r="AJ25" s="48"/>
      <c r="AK25" s="48"/>
      <c r="AL25" s="48"/>
      <c r="AM25" s="48"/>
      <c r="AN25" s="48"/>
      <c r="AO25" s="48" t="s">
        <v>411</v>
      </c>
      <c r="AP25" s="49" t="s">
        <v>4</v>
      </c>
      <c r="AQ25" s="49"/>
      <c r="AR25" s="49"/>
      <c r="AS25" s="51" t="s">
        <v>88</v>
      </c>
      <c r="AT25" s="49">
        <v>20</v>
      </c>
      <c r="AU25" s="49" t="s">
        <v>5</v>
      </c>
      <c r="AV25" s="48"/>
      <c r="AW25" s="49">
        <v>0</v>
      </c>
      <c r="AX25" s="49">
        <v>12</v>
      </c>
      <c r="AY25" s="49">
        <v>0</v>
      </c>
      <c r="AZ25" s="49">
        <v>0</v>
      </c>
      <c r="BA25" s="49">
        <v>0</v>
      </c>
      <c r="BB25" s="49">
        <v>0</v>
      </c>
      <c r="BC25" s="49">
        <v>0</v>
      </c>
      <c r="BD25" s="49">
        <v>0</v>
      </c>
      <c r="BE25" s="49">
        <v>0</v>
      </c>
      <c r="BF25" s="49">
        <v>0</v>
      </c>
      <c r="BG25" s="49"/>
      <c r="BH25" s="49" t="s">
        <v>4</v>
      </c>
      <c r="BI25" s="49">
        <v>24</v>
      </c>
      <c r="BJ25" s="49" t="s">
        <v>4</v>
      </c>
      <c r="BK25" s="49"/>
      <c r="BL25" s="52"/>
      <c r="BM25" s="52"/>
      <c r="BN25" s="49"/>
      <c r="BO25" s="49" t="s">
        <v>6</v>
      </c>
      <c r="BP25" s="52" t="s">
        <v>1</v>
      </c>
      <c r="BQ25" t="s">
        <v>2</v>
      </c>
      <c r="BR25" t="s">
        <v>90</v>
      </c>
    </row>
    <row r="26" spans="1:70" x14ac:dyDescent="0.15">
      <c r="A26" s="45">
        <v>3782</v>
      </c>
      <c r="B26" s="106">
        <v>41464</v>
      </c>
      <c r="C26" s="47" t="s">
        <v>35</v>
      </c>
      <c r="D26" s="48" t="s">
        <v>36</v>
      </c>
      <c r="E26" s="48"/>
      <c r="F26" s="48" t="s">
        <v>37</v>
      </c>
      <c r="G26" s="46">
        <v>41455</v>
      </c>
      <c r="H26" s="49" t="s">
        <v>33</v>
      </c>
      <c r="I26" s="49" t="s">
        <v>38</v>
      </c>
      <c r="J26" s="49"/>
      <c r="K26" s="48" t="s">
        <v>60</v>
      </c>
      <c r="L26" s="48" t="s">
        <v>97</v>
      </c>
      <c r="M26" s="48">
        <v>83</v>
      </c>
      <c r="N26" s="48">
        <v>38</v>
      </c>
      <c r="O26" s="48"/>
      <c r="P26" s="50"/>
      <c r="Q26" s="48"/>
      <c r="R26" s="50"/>
      <c r="S26" s="48"/>
      <c r="T26" s="50"/>
      <c r="U26" s="48"/>
      <c r="V26" s="48"/>
      <c r="W26" s="48"/>
      <c r="X26" s="48"/>
      <c r="Y26" s="48"/>
      <c r="Z26" s="50"/>
      <c r="AA26" s="48"/>
      <c r="AB26" s="50"/>
      <c r="AC26" s="48"/>
      <c r="AD26" s="48"/>
      <c r="AE26" s="48">
        <v>28</v>
      </c>
      <c r="AF26" s="50"/>
      <c r="AG26" s="48"/>
      <c r="AH26" s="48"/>
      <c r="AI26" s="48"/>
      <c r="AJ26" s="48"/>
      <c r="AK26" s="48"/>
      <c r="AL26" s="48"/>
      <c r="AM26" s="48"/>
      <c r="AN26" s="48"/>
      <c r="AO26" s="48" t="s">
        <v>12</v>
      </c>
      <c r="AP26" s="49" t="s">
        <v>38</v>
      </c>
      <c r="AQ26" s="49"/>
      <c r="AR26" s="49"/>
      <c r="AS26" s="51" t="s">
        <v>88</v>
      </c>
      <c r="AT26" s="49">
        <v>16.3</v>
      </c>
      <c r="AU26" s="49" t="s">
        <v>39</v>
      </c>
      <c r="AV26" s="48"/>
      <c r="AW26" s="49">
        <v>0</v>
      </c>
      <c r="AX26" s="49">
        <v>0</v>
      </c>
      <c r="AY26" s="49">
        <v>0</v>
      </c>
      <c r="AZ26" s="49">
        <v>14</v>
      </c>
      <c r="BA26" s="49">
        <v>0</v>
      </c>
      <c r="BB26" s="49">
        <v>0</v>
      </c>
      <c r="BC26" s="49">
        <v>0</v>
      </c>
      <c r="BD26" s="49">
        <v>0</v>
      </c>
      <c r="BE26" s="49">
        <v>0</v>
      </c>
      <c r="BF26" s="49">
        <v>0</v>
      </c>
      <c r="BG26" s="49">
        <v>24</v>
      </c>
      <c r="BH26" s="49" t="s">
        <v>38</v>
      </c>
      <c r="BI26" s="49"/>
      <c r="BJ26" s="49" t="s">
        <v>38</v>
      </c>
      <c r="BK26" s="49"/>
      <c r="BL26" s="48"/>
      <c r="BM26" s="48"/>
      <c r="BN26" s="49"/>
      <c r="BO26" s="49" t="s">
        <v>40</v>
      </c>
      <c r="BP26" s="48"/>
      <c r="BQ26" t="s">
        <v>61</v>
      </c>
      <c r="BR26" t="s">
        <v>90</v>
      </c>
    </row>
    <row r="27" spans="1:70" x14ac:dyDescent="0.15">
      <c r="A27" s="45">
        <v>1017</v>
      </c>
      <c r="B27" s="106">
        <v>41464</v>
      </c>
      <c r="C27" s="47" t="s">
        <v>282</v>
      </c>
      <c r="D27" s="48" t="s">
        <v>311</v>
      </c>
      <c r="E27" s="48"/>
      <c r="F27" s="48" t="s">
        <v>439</v>
      </c>
      <c r="G27" s="46">
        <v>41455</v>
      </c>
      <c r="H27" s="49" t="s">
        <v>427</v>
      </c>
      <c r="I27" s="49" t="s">
        <v>428</v>
      </c>
      <c r="J27" s="49"/>
      <c r="K27" s="48" t="s">
        <v>41</v>
      </c>
      <c r="L27" s="48" t="s">
        <v>42</v>
      </c>
      <c r="M27" s="48">
        <v>75.486000000000004</v>
      </c>
      <c r="N27" s="48">
        <v>33.499499999999998</v>
      </c>
      <c r="O27" s="48" t="s">
        <v>93</v>
      </c>
      <c r="P27" s="50">
        <v>300</v>
      </c>
      <c r="Q27" s="48">
        <v>34.131999999999998</v>
      </c>
      <c r="R27" s="50">
        <v>1000</v>
      </c>
      <c r="S27" s="48">
        <v>39.0655</v>
      </c>
      <c r="T27" s="50">
        <v>2500</v>
      </c>
      <c r="U27" s="48">
        <v>42.377499999999998</v>
      </c>
      <c r="V27" s="48"/>
      <c r="W27" s="48"/>
      <c r="X27" s="50"/>
      <c r="Y27" s="48"/>
      <c r="Z27" s="50"/>
      <c r="AA27" s="48"/>
      <c r="AB27" s="48"/>
      <c r="AC27" s="48"/>
      <c r="AD27" s="48"/>
      <c r="AE27" s="48">
        <v>16.203499999999998</v>
      </c>
      <c r="AF27" s="50">
        <v>2000</v>
      </c>
      <c r="AG27" s="48">
        <v>17.491499999999998</v>
      </c>
      <c r="AH27" s="48"/>
      <c r="AI27" s="48"/>
      <c r="AJ27" s="48"/>
      <c r="AK27" s="48"/>
      <c r="AL27" s="48"/>
      <c r="AM27" s="48"/>
      <c r="AN27" s="48"/>
      <c r="AO27" s="48" t="s">
        <v>43</v>
      </c>
      <c r="AP27" s="49" t="s">
        <v>73</v>
      </c>
      <c r="AQ27" s="49"/>
      <c r="AR27" s="49"/>
      <c r="AS27" s="51" t="s">
        <v>412</v>
      </c>
      <c r="AT27" s="49">
        <v>6.8</v>
      </c>
      <c r="AU27" s="49" t="s">
        <v>73</v>
      </c>
      <c r="AV27" s="48"/>
      <c r="AW27" s="49">
        <v>0</v>
      </c>
      <c r="AX27" s="49">
        <v>0</v>
      </c>
      <c r="AY27" s="49">
        <v>0</v>
      </c>
      <c r="AZ27" s="49">
        <v>0</v>
      </c>
      <c r="BA27" s="49">
        <v>0</v>
      </c>
      <c r="BB27" s="49">
        <v>0</v>
      </c>
      <c r="BC27" s="49">
        <v>0</v>
      </c>
      <c r="BD27" s="49">
        <v>0</v>
      </c>
      <c r="BE27" s="49">
        <v>0</v>
      </c>
      <c r="BF27" s="49">
        <v>0</v>
      </c>
      <c r="BG27" s="49">
        <v>36</v>
      </c>
      <c r="BH27" s="49" t="s">
        <v>73</v>
      </c>
      <c r="BI27" s="49"/>
      <c r="BJ27" s="49" t="s">
        <v>73</v>
      </c>
      <c r="BK27" s="49"/>
      <c r="BL27" s="48"/>
      <c r="BM27" s="48"/>
      <c r="BN27" s="49"/>
      <c r="BO27" s="49" t="s">
        <v>44</v>
      </c>
      <c r="BP27" s="48" t="s">
        <v>67</v>
      </c>
      <c r="BQ27" t="s">
        <v>68</v>
      </c>
      <c r="BR27" s="53" t="s">
        <v>90</v>
      </c>
    </row>
    <row r="28" spans="1:70" x14ac:dyDescent="0.15">
      <c r="A28" s="45">
        <v>3587</v>
      </c>
      <c r="B28" s="106">
        <v>41464</v>
      </c>
      <c r="C28" s="47" t="s">
        <v>282</v>
      </c>
      <c r="D28" s="48" t="s">
        <v>311</v>
      </c>
      <c r="E28" s="48"/>
      <c r="F28" s="48" t="s">
        <v>439</v>
      </c>
      <c r="G28" s="46">
        <v>41459</v>
      </c>
      <c r="H28" s="49" t="s">
        <v>72</v>
      </c>
      <c r="I28" s="49" t="s">
        <v>73</v>
      </c>
      <c r="J28" s="49"/>
      <c r="K28" s="48" t="s">
        <v>74</v>
      </c>
      <c r="L28" s="48" t="s">
        <v>75</v>
      </c>
      <c r="M28" s="48">
        <v>63.65</v>
      </c>
      <c r="N28" s="48">
        <v>32.44</v>
      </c>
      <c r="O28" s="48" t="s">
        <v>93</v>
      </c>
      <c r="P28" s="50">
        <v>1000</v>
      </c>
      <c r="Q28" s="48">
        <v>36.380000000000003</v>
      </c>
      <c r="R28" s="56">
        <v>1000</v>
      </c>
      <c r="S28" s="57">
        <v>36.380000000000003</v>
      </c>
      <c r="T28" s="56">
        <v>1000</v>
      </c>
      <c r="U28" s="57">
        <v>36.380000000000003</v>
      </c>
      <c r="V28" s="48"/>
      <c r="W28" s="48"/>
      <c r="X28" s="48"/>
      <c r="Y28" s="48"/>
      <c r="Z28" s="48"/>
      <c r="AA28" s="48"/>
      <c r="AB28" s="48"/>
      <c r="AC28" s="48"/>
      <c r="AD28" s="48"/>
      <c r="AE28" s="48">
        <v>20.72</v>
      </c>
      <c r="AF28" s="50"/>
      <c r="AG28" s="48"/>
      <c r="AH28" s="48"/>
      <c r="AI28" s="48"/>
      <c r="AJ28" s="48"/>
      <c r="AK28" s="48"/>
      <c r="AL28" s="48"/>
      <c r="AM28" s="48"/>
      <c r="AN28" s="48"/>
      <c r="AO28" s="48" t="s">
        <v>43</v>
      </c>
      <c r="AP28" s="49" t="s">
        <v>73</v>
      </c>
      <c r="AQ28" s="49"/>
      <c r="AR28" s="49"/>
      <c r="AS28" s="51" t="s">
        <v>412</v>
      </c>
      <c r="AT28" s="107">
        <v>6.8</v>
      </c>
      <c r="AU28" s="49" t="s">
        <v>73</v>
      </c>
      <c r="AV28" s="48"/>
      <c r="AW28" s="49">
        <v>0</v>
      </c>
      <c r="AX28" s="49">
        <v>0</v>
      </c>
      <c r="AY28" s="49">
        <v>0</v>
      </c>
      <c r="AZ28" s="49">
        <v>15</v>
      </c>
      <c r="BA28" s="49">
        <v>0</v>
      </c>
      <c r="BB28" s="49">
        <v>0</v>
      </c>
      <c r="BC28" s="49">
        <v>0</v>
      </c>
      <c r="BD28" s="49">
        <v>0</v>
      </c>
      <c r="BE28" s="49">
        <v>0</v>
      </c>
      <c r="BF28" s="49">
        <v>0</v>
      </c>
      <c r="BG28" s="49">
        <v>24</v>
      </c>
      <c r="BH28" s="49" t="s">
        <v>72</v>
      </c>
      <c r="BI28" s="49"/>
      <c r="BJ28" s="49" t="s">
        <v>73</v>
      </c>
      <c r="BK28" s="49"/>
      <c r="BL28" s="48" t="s">
        <v>76</v>
      </c>
      <c r="BM28" s="48" t="s">
        <v>77</v>
      </c>
      <c r="BN28" s="49">
        <v>25</v>
      </c>
      <c r="BO28" s="49" t="s">
        <v>44</v>
      </c>
      <c r="BP28" s="48"/>
      <c r="BQ28" t="s">
        <v>45</v>
      </c>
      <c r="BR28" s="53" t="s">
        <v>90</v>
      </c>
    </row>
    <row r="29" spans="1:70" x14ac:dyDescent="0.15">
      <c r="A29" s="45">
        <v>1014</v>
      </c>
      <c r="B29" s="106">
        <v>41464</v>
      </c>
      <c r="C29" s="47" t="s">
        <v>128</v>
      </c>
      <c r="D29" s="48" t="s">
        <v>129</v>
      </c>
      <c r="E29" s="48"/>
      <c r="F29" s="48" t="s">
        <v>22</v>
      </c>
      <c r="G29" s="46">
        <v>41479</v>
      </c>
      <c r="H29" s="49" t="s">
        <v>427</v>
      </c>
      <c r="I29" s="49" t="s">
        <v>428</v>
      </c>
      <c r="J29" s="49"/>
      <c r="K29" s="48" t="s">
        <v>80</v>
      </c>
      <c r="L29" s="48" t="s">
        <v>81</v>
      </c>
      <c r="M29" s="48">
        <v>85.85</v>
      </c>
      <c r="N29" s="48">
        <v>37.700000000000003</v>
      </c>
      <c r="O29" s="48" t="s">
        <v>93</v>
      </c>
      <c r="P29" s="50">
        <v>1000</v>
      </c>
      <c r="Q29" s="48">
        <v>42.1</v>
      </c>
      <c r="R29" s="56">
        <v>1000</v>
      </c>
      <c r="S29" s="57">
        <v>42.1</v>
      </c>
      <c r="T29" s="56">
        <v>1000</v>
      </c>
      <c r="U29" s="57">
        <v>42.1</v>
      </c>
      <c r="V29" s="48"/>
      <c r="W29" s="48"/>
      <c r="X29" s="50"/>
      <c r="Y29" s="48"/>
      <c r="Z29" s="50"/>
      <c r="AA29" s="48"/>
      <c r="AB29" s="50"/>
      <c r="AC29" s="48"/>
      <c r="AD29" s="48"/>
      <c r="AE29" s="48">
        <v>19.399999999999999</v>
      </c>
      <c r="AF29" s="50"/>
      <c r="AG29" s="48"/>
      <c r="AH29" s="48"/>
      <c r="AI29" s="48"/>
      <c r="AJ29" s="48"/>
      <c r="AK29" s="48"/>
      <c r="AL29" s="48"/>
      <c r="AM29" s="48"/>
      <c r="AN29" s="48"/>
      <c r="AO29" s="48" t="s">
        <v>46</v>
      </c>
      <c r="AP29" s="49" t="s">
        <v>15</v>
      </c>
      <c r="AQ29" s="49"/>
      <c r="AR29" s="49"/>
      <c r="AS29" s="51" t="s">
        <v>84</v>
      </c>
      <c r="AT29" s="49">
        <v>16</v>
      </c>
      <c r="AU29" s="49" t="s">
        <v>14</v>
      </c>
      <c r="AV29" s="48"/>
      <c r="AW29" s="49">
        <v>0</v>
      </c>
      <c r="AX29" s="49">
        <v>0</v>
      </c>
      <c r="AY29" s="49">
        <v>10</v>
      </c>
      <c r="AZ29" s="49">
        <v>0</v>
      </c>
      <c r="BA29" s="49">
        <v>0</v>
      </c>
      <c r="BB29" s="49">
        <v>0</v>
      </c>
      <c r="BC29" s="49">
        <v>0</v>
      </c>
      <c r="BD29" s="49">
        <v>0</v>
      </c>
      <c r="BE29" s="49">
        <v>0</v>
      </c>
      <c r="BF29" s="49">
        <v>0</v>
      </c>
      <c r="BG29" s="49"/>
      <c r="BH29" s="49" t="s">
        <v>15</v>
      </c>
      <c r="BI29" s="49"/>
      <c r="BJ29" s="49" t="s">
        <v>15</v>
      </c>
      <c r="BK29" s="49"/>
      <c r="BL29" s="48"/>
      <c r="BM29" s="48"/>
      <c r="BN29" s="49"/>
      <c r="BO29" s="49" t="s">
        <v>47</v>
      </c>
      <c r="BP29" s="48"/>
      <c r="BQ29" t="s">
        <v>8</v>
      </c>
      <c r="BR29" s="53" t="s">
        <v>90</v>
      </c>
    </row>
  </sheetData>
  <sheetProtection algorithmName="SHA-512" hashValue="f9kketSgtlBUM+gsGB1DgxvxCHvdhne462hMeRAZ0maYzW0tRpQAjpl94/WpukgiKzlCInLlMziXC8SZlnDU4Q==" saltValue="VHQ3GjD3rB/irPrvFxreWQ==" spinCount="100000" sheet="1" objects="1" scenarios="1"/>
  <phoneticPr fontId="8" type="noConversion"/>
  <pageMargins left="0.75" right="0.75" top="1" bottom="1" header="0.5" footer="0.5"/>
  <pageSetup paperSize="10"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BO29"/>
  <sheetViews>
    <sheetView workbookViewId="0">
      <selection activeCell="G38" sqref="G38"/>
    </sheetView>
  </sheetViews>
  <sheetFormatPr baseColWidth="10" defaultRowHeight="13" x14ac:dyDescent="0.15"/>
  <cols>
    <col min="66" max="66" width="17.33203125" customWidth="1"/>
  </cols>
  <sheetData>
    <row r="1" spans="1:67" ht="70" x14ac:dyDescent="0.15">
      <c r="A1" s="23" t="s">
        <v>343</v>
      </c>
      <c r="B1" s="23" t="s">
        <v>344</v>
      </c>
      <c r="C1" s="24" t="s">
        <v>345</v>
      </c>
      <c r="D1" s="25" t="s">
        <v>189</v>
      </c>
      <c r="E1" s="25" t="s">
        <v>190</v>
      </c>
      <c r="F1" s="25" t="s">
        <v>220</v>
      </c>
      <c r="G1" s="23" t="s">
        <v>221</v>
      </c>
      <c r="H1" s="26" t="s">
        <v>134</v>
      </c>
      <c r="I1" s="26" t="s">
        <v>229</v>
      </c>
      <c r="J1" s="26" t="s">
        <v>230</v>
      </c>
      <c r="K1" s="25" t="s">
        <v>231</v>
      </c>
      <c r="L1" s="27" t="s">
        <v>232</v>
      </c>
      <c r="M1" s="28" t="s">
        <v>233</v>
      </c>
      <c r="N1" s="29" t="s">
        <v>234</v>
      </c>
      <c r="O1" s="29" t="s">
        <v>235</v>
      </c>
      <c r="P1" s="29" t="s">
        <v>236</v>
      </c>
      <c r="Q1" s="29" t="s">
        <v>136</v>
      </c>
      <c r="R1" s="29" t="s">
        <v>137</v>
      </c>
      <c r="S1" s="29" t="s">
        <v>203</v>
      </c>
      <c r="T1" s="29" t="s">
        <v>204</v>
      </c>
      <c r="U1" s="29" t="s">
        <v>205</v>
      </c>
      <c r="V1" s="30" t="s">
        <v>206</v>
      </c>
      <c r="W1" s="31" t="s">
        <v>283</v>
      </c>
      <c r="X1" s="31" t="s">
        <v>207</v>
      </c>
      <c r="Y1" s="31" t="s">
        <v>292</v>
      </c>
      <c r="Z1" s="31" t="s">
        <v>397</v>
      </c>
      <c r="AA1" s="31" t="s">
        <v>398</v>
      </c>
      <c r="AB1" s="31" t="s">
        <v>399</v>
      </c>
      <c r="AC1" s="31" t="s">
        <v>400</v>
      </c>
      <c r="AD1" s="31" t="s">
        <v>401</v>
      </c>
      <c r="AE1" s="32" t="s">
        <v>402</v>
      </c>
      <c r="AF1" s="33" t="s">
        <v>208</v>
      </c>
      <c r="AG1" s="33" t="s">
        <v>209</v>
      </c>
      <c r="AH1" s="34" t="s">
        <v>272</v>
      </c>
      <c r="AI1" s="34" t="s">
        <v>273</v>
      </c>
      <c r="AJ1" s="34" t="s">
        <v>347</v>
      </c>
      <c r="AK1" s="34" t="s">
        <v>348</v>
      </c>
      <c r="AL1" s="35" t="s">
        <v>349</v>
      </c>
      <c r="AM1" s="36" t="s">
        <v>350</v>
      </c>
      <c r="AN1" s="36" t="s">
        <v>238</v>
      </c>
      <c r="AO1" s="37" t="s">
        <v>158</v>
      </c>
      <c r="AP1" s="38" t="s">
        <v>159</v>
      </c>
      <c r="AQ1" s="39" t="s">
        <v>160</v>
      </c>
      <c r="AR1" s="40" t="s">
        <v>161</v>
      </c>
      <c r="AS1" s="41" t="s">
        <v>162</v>
      </c>
      <c r="AT1" s="42" t="s">
        <v>163</v>
      </c>
      <c r="AU1" s="43" t="s">
        <v>164</v>
      </c>
      <c r="AV1" s="42" t="s">
        <v>257</v>
      </c>
      <c r="AW1" s="43" t="s">
        <v>258</v>
      </c>
      <c r="AX1" s="42" t="s">
        <v>259</v>
      </c>
      <c r="AY1" s="43" t="s">
        <v>260</v>
      </c>
      <c r="AZ1" s="42" t="s">
        <v>261</v>
      </c>
      <c r="BA1" s="44" t="s">
        <v>262</v>
      </c>
      <c r="BB1" s="42" t="s">
        <v>165</v>
      </c>
      <c r="BC1" s="44" t="s">
        <v>166</v>
      </c>
      <c r="BD1" s="26" t="s">
        <v>252</v>
      </c>
      <c r="BE1" s="26" t="s">
        <v>253</v>
      </c>
      <c r="BF1" s="26" t="s">
        <v>254</v>
      </c>
      <c r="BG1" s="26" t="s">
        <v>193</v>
      </c>
      <c r="BH1" s="26" t="s">
        <v>133</v>
      </c>
      <c r="BI1" s="24" t="s">
        <v>324</v>
      </c>
      <c r="BJ1" s="24" t="s">
        <v>354</v>
      </c>
      <c r="BK1" s="26" t="s">
        <v>355</v>
      </c>
      <c r="BL1" s="26" t="s">
        <v>170</v>
      </c>
      <c r="BM1" s="24" t="s">
        <v>171</v>
      </c>
      <c r="BN1" s="26" t="s">
        <v>214</v>
      </c>
      <c r="BO1" s="23" t="s">
        <v>215</v>
      </c>
    </row>
    <row r="2" spans="1:67" x14ac:dyDescent="0.15">
      <c r="A2" s="45">
        <v>951</v>
      </c>
      <c r="B2" s="58">
        <v>41135</v>
      </c>
      <c r="C2" s="47" t="s">
        <v>174</v>
      </c>
      <c r="D2" s="48" t="s">
        <v>217</v>
      </c>
      <c r="E2" s="48"/>
      <c r="F2" s="48" t="s">
        <v>175</v>
      </c>
      <c r="G2" s="46">
        <v>41102</v>
      </c>
      <c r="H2" s="49" t="s">
        <v>199</v>
      </c>
      <c r="I2" s="49" t="s">
        <v>200</v>
      </c>
      <c r="J2" s="49"/>
      <c r="K2" s="48" t="s">
        <v>201</v>
      </c>
      <c r="L2" s="48" t="s">
        <v>202</v>
      </c>
      <c r="M2" s="48">
        <v>70.900000000000006</v>
      </c>
      <c r="N2" s="48">
        <v>33.270000000000003</v>
      </c>
      <c r="O2" s="48" t="s">
        <v>305</v>
      </c>
      <c r="P2" s="50">
        <v>1000</v>
      </c>
      <c r="Q2" s="48">
        <v>37.950000000000003</v>
      </c>
      <c r="R2" s="50">
        <v>1000</v>
      </c>
      <c r="S2" s="48">
        <v>37.950000000000003</v>
      </c>
      <c r="T2" s="50">
        <v>1000</v>
      </c>
      <c r="U2" s="48">
        <v>37.950000000000003</v>
      </c>
      <c r="V2" s="48"/>
      <c r="W2" s="48">
        <v>30.75</v>
      </c>
      <c r="X2" s="50">
        <v>1000</v>
      </c>
      <c r="Y2" s="48">
        <v>34.49</v>
      </c>
      <c r="Z2" s="50">
        <v>1000</v>
      </c>
      <c r="AA2" s="48">
        <v>34.49</v>
      </c>
      <c r="AB2" s="50">
        <v>1000</v>
      </c>
      <c r="AC2" s="48">
        <v>34.49</v>
      </c>
      <c r="AD2" s="48"/>
      <c r="AE2" s="48"/>
      <c r="AF2" s="50"/>
      <c r="AG2" s="48"/>
      <c r="AH2" s="48"/>
      <c r="AI2" s="48"/>
      <c r="AJ2" s="48"/>
      <c r="AK2" s="48"/>
      <c r="AL2" s="48" t="s">
        <v>306</v>
      </c>
      <c r="AM2" s="49" t="s">
        <v>199</v>
      </c>
      <c r="AN2" s="49" t="s">
        <v>307</v>
      </c>
      <c r="AO2" s="49">
        <v>3</v>
      </c>
      <c r="AP2" s="51" t="s">
        <v>308</v>
      </c>
      <c r="AQ2" s="49">
        <v>6.8</v>
      </c>
      <c r="AR2" s="49" t="s">
        <v>309</v>
      </c>
      <c r="AS2" s="48"/>
      <c r="AT2" s="49">
        <v>0</v>
      </c>
      <c r="AU2" s="49">
        <v>0</v>
      </c>
      <c r="AV2" s="49">
        <v>0</v>
      </c>
      <c r="AW2" s="49">
        <v>15</v>
      </c>
      <c r="AX2" s="49">
        <v>0</v>
      </c>
      <c r="AY2" s="49">
        <v>0</v>
      </c>
      <c r="AZ2" s="49">
        <v>0</v>
      </c>
      <c r="BA2" s="49">
        <v>0</v>
      </c>
      <c r="BB2" s="49">
        <v>0</v>
      </c>
      <c r="BC2" s="49">
        <v>2</v>
      </c>
      <c r="BD2" s="49">
        <v>0</v>
      </c>
      <c r="BE2" s="49" t="s">
        <v>200</v>
      </c>
      <c r="BF2" s="49">
        <v>12</v>
      </c>
      <c r="BG2" s="49" t="s">
        <v>200</v>
      </c>
      <c r="BH2" s="49"/>
      <c r="BI2" s="52"/>
      <c r="BJ2" s="52"/>
      <c r="BK2" s="49"/>
      <c r="BL2" s="49" t="s">
        <v>310</v>
      </c>
      <c r="BM2" s="48" t="s">
        <v>377</v>
      </c>
      <c r="BN2" t="s">
        <v>390</v>
      </c>
      <c r="BO2" s="53" t="s">
        <v>391</v>
      </c>
    </row>
    <row r="3" spans="1:67" x14ac:dyDescent="0.15">
      <c r="A3" s="45">
        <v>1880</v>
      </c>
      <c r="B3" s="58">
        <v>41137</v>
      </c>
      <c r="C3" s="47" t="s">
        <v>174</v>
      </c>
      <c r="D3" s="48" t="s">
        <v>217</v>
      </c>
      <c r="E3" s="48"/>
      <c r="F3" s="48" t="s">
        <v>175</v>
      </c>
      <c r="G3" s="54">
        <v>41111</v>
      </c>
      <c r="H3" s="49" t="s">
        <v>383</v>
      </c>
      <c r="I3" s="49" t="s">
        <v>384</v>
      </c>
      <c r="J3" s="49"/>
      <c r="K3" s="48" t="s">
        <v>385</v>
      </c>
      <c r="L3" s="48" t="s">
        <v>386</v>
      </c>
      <c r="M3" s="48">
        <v>79.08</v>
      </c>
      <c r="N3" s="48">
        <v>31.76</v>
      </c>
      <c r="O3" s="48" t="s">
        <v>305</v>
      </c>
      <c r="P3" s="50">
        <v>300</v>
      </c>
      <c r="Q3" s="48">
        <v>33.049999999999997</v>
      </c>
      <c r="R3" s="50">
        <v>1000</v>
      </c>
      <c r="S3" s="48">
        <v>36.36</v>
      </c>
      <c r="T3" s="50">
        <v>2500</v>
      </c>
      <c r="U3" s="48">
        <v>39.42</v>
      </c>
      <c r="V3" s="48"/>
      <c r="W3" s="48"/>
      <c r="X3" s="48"/>
      <c r="Y3" s="48"/>
      <c r="Z3" s="48"/>
      <c r="AA3" s="48"/>
      <c r="AB3" s="48"/>
      <c r="AC3" s="48"/>
      <c r="AD3" s="48"/>
      <c r="AE3" s="48"/>
      <c r="AF3" s="50"/>
      <c r="AG3" s="48"/>
      <c r="AH3" s="48"/>
      <c r="AI3" s="48"/>
      <c r="AJ3" s="48"/>
      <c r="AK3" s="48"/>
      <c r="AL3" s="48" t="s">
        <v>303</v>
      </c>
      <c r="AM3" s="49" t="s">
        <v>384</v>
      </c>
      <c r="AN3" s="49"/>
      <c r="AO3" s="49"/>
      <c r="AP3" s="51" t="s">
        <v>308</v>
      </c>
      <c r="AQ3" s="49">
        <v>6.8</v>
      </c>
      <c r="AR3" s="49" t="s">
        <v>384</v>
      </c>
      <c r="AS3" s="48"/>
      <c r="AT3" s="49">
        <v>0</v>
      </c>
      <c r="AU3" s="49">
        <v>0</v>
      </c>
      <c r="AV3" s="49">
        <v>0</v>
      </c>
      <c r="AW3" s="49">
        <v>20</v>
      </c>
      <c r="AX3" s="49">
        <v>0</v>
      </c>
      <c r="AY3" s="49">
        <v>0</v>
      </c>
      <c r="AZ3" s="49">
        <v>0</v>
      </c>
      <c r="BA3" s="49">
        <v>0</v>
      </c>
      <c r="BB3" s="49">
        <v>0</v>
      </c>
      <c r="BC3" s="49">
        <v>0</v>
      </c>
      <c r="BD3" s="49">
        <v>0</v>
      </c>
      <c r="BE3" s="49" t="s">
        <v>384</v>
      </c>
      <c r="BF3" s="49"/>
      <c r="BG3" s="49" t="s">
        <v>384</v>
      </c>
      <c r="BH3" s="49"/>
      <c r="BI3" s="48"/>
      <c r="BJ3" s="48"/>
      <c r="BK3" s="49"/>
      <c r="BL3" s="49" t="s">
        <v>387</v>
      </c>
      <c r="BM3" s="52"/>
      <c r="BN3" t="s">
        <v>438</v>
      </c>
      <c r="BO3" t="s">
        <v>410</v>
      </c>
    </row>
    <row r="4" spans="1:67" x14ac:dyDescent="0.15">
      <c r="A4" s="45">
        <v>2553</v>
      </c>
      <c r="B4" s="58">
        <v>41135</v>
      </c>
      <c r="C4" s="47" t="s">
        <v>174</v>
      </c>
      <c r="D4" s="48" t="s">
        <v>217</v>
      </c>
      <c r="E4" s="48"/>
      <c r="F4" s="48" t="s">
        <v>175</v>
      </c>
      <c r="G4" s="46">
        <v>41090</v>
      </c>
      <c r="H4" s="49" t="s">
        <v>380</v>
      </c>
      <c r="I4" s="49" t="s">
        <v>413</v>
      </c>
      <c r="J4" s="49"/>
      <c r="K4" s="48" t="s">
        <v>414</v>
      </c>
      <c r="L4" s="48" t="s">
        <v>415</v>
      </c>
      <c r="M4" s="48">
        <v>84.39</v>
      </c>
      <c r="N4" s="48">
        <v>34.241</v>
      </c>
      <c r="O4" s="48" t="s">
        <v>177</v>
      </c>
      <c r="P4" s="50">
        <v>1000</v>
      </c>
      <c r="Q4" s="48">
        <v>36.86</v>
      </c>
      <c r="R4" s="50">
        <v>1000</v>
      </c>
      <c r="S4" s="48">
        <v>36.86</v>
      </c>
      <c r="T4" s="50">
        <v>1000</v>
      </c>
      <c r="U4" s="48">
        <v>36.86</v>
      </c>
      <c r="V4" s="48"/>
      <c r="W4" s="48"/>
      <c r="X4" s="48"/>
      <c r="Y4" s="48"/>
      <c r="Z4" s="48"/>
      <c r="AA4" s="48"/>
      <c r="AB4" s="48"/>
      <c r="AC4" s="48"/>
      <c r="AD4" s="48"/>
      <c r="AE4" s="48"/>
      <c r="AF4" s="50"/>
      <c r="AG4" s="48"/>
      <c r="AH4" s="48"/>
      <c r="AI4" s="48"/>
      <c r="AJ4" s="48"/>
      <c r="AK4" s="48"/>
      <c r="AL4" s="48" t="s">
        <v>270</v>
      </c>
      <c r="AM4" s="49" t="s">
        <v>381</v>
      </c>
      <c r="AN4" s="49"/>
      <c r="AO4" s="49"/>
      <c r="AP4" s="51" t="s">
        <v>308</v>
      </c>
      <c r="AQ4" s="49">
        <v>12</v>
      </c>
      <c r="AR4" s="49" t="s">
        <v>381</v>
      </c>
      <c r="AS4" s="48"/>
      <c r="AT4" s="49">
        <v>0</v>
      </c>
      <c r="AU4" s="49">
        <v>0</v>
      </c>
      <c r="AV4" s="49">
        <v>5</v>
      </c>
      <c r="AW4" s="49">
        <v>0</v>
      </c>
      <c r="AX4" s="49">
        <v>0</v>
      </c>
      <c r="AY4" s="49">
        <v>0</v>
      </c>
      <c r="AZ4" s="49">
        <v>0</v>
      </c>
      <c r="BA4" s="49">
        <v>0</v>
      </c>
      <c r="BB4" s="49">
        <v>0</v>
      </c>
      <c r="BC4" s="49">
        <v>0</v>
      </c>
      <c r="BD4" s="49">
        <v>0</v>
      </c>
      <c r="BE4" s="49" t="s">
        <v>381</v>
      </c>
      <c r="BF4" s="49"/>
      <c r="BG4" s="49" t="s">
        <v>381</v>
      </c>
      <c r="BH4" s="49"/>
      <c r="BI4" s="52"/>
      <c r="BJ4" s="48"/>
      <c r="BK4" s="49"/>
      <c r="BL4" s="49" t="s">
        <v>382</v>
      </c>
      <c r="BM4" s="52" t="s">
        <v>416</v>
      </c>
      <c r="BN4" t="s">
        <v>379</v>
      </c>
      <c r="BO4" s="53" t="s">
        <v>410</v>
      </c>
    </row>
    <row r="5" spans="1:67" x14ac:dyDescent="0.15">
      <c r="A5" s="45">
        <v>958</v>
      </c>
      <c r="B5" s="58">
        <v>41094</v>
      </c>
      <c r="C5" s="47" t="s">
        <v>240</v>
      </c>
      <c r="D5" s="48" t="s">
        <v>241</v>
      </c>
      <c r="E5" s="48"/>
      <c r="F5" s="48" t="s">
        <v>290</v>
      </c>
      <c r="G5" s="54">
        <v>41181</v>
      </c>
      <c r="H5" s="49" t="s">
        <v>360</v>
      </c>
      <c r="I5" s="49" t="s">
        <v>219</v>
      </c>
      <c r="J5" s="49"/>
      <c r="K5" s="48" t="s">
        <v>325</v>
      </c>
      <c r="L5" s="48" t="s">
        <v>326</v>
      </c>
      <c r="M5" s="48">
        <v>70.55</v>
      </c>
      <c r="N5" s="48">
        <v>31.95</v>
      </c>
      <c r="O5" s="48" t="s">
        <v>364</v>
      </c>
      <c r="P5" s="50">
        <v>300</v>
      </c>
      <c r="Q5" s="48">
        <v>31.95</v>
      </c>
      <c r="R5" s="50">
        <v>1000</v>
      </c>
      <c r="S5" s="48">
        <v>37.450000000000003</v>
      </c>
      <c r="T5" s="50">
        <v>2500</v>
      </c>
      <c r="U5" s="48">
        <v>37.450000000000003</v>
      </c>
      <c r="V5" s="48"/>
      <c r="W5" s="48"/>
      <c r="X5" s="48"/>
      <c r="Y5" s="48"/>
      <c r="Z5" s="48"/>
      <c r="AA5" s="48"/>
      <c r="AB5" s="48"/>
      <c r="AC5" s="48"/>
      <c r="AD5" s="48"/>
      <c r="AE5" s="48"/>
      <c r="AF5" s="50"/>
      <c r="AG5" s="48"/>
      <c r="AH5" s="48"/>
      <c r="AI5" s="48"/>
      <c r="AJ5" s="48"/>
      <c r="AK5" s="48"/>
      <c r="AL5" s="48" t="s">
        <v>291</v>
      </c>
      <c r="AM5" s="49" t="s">
        <v>219</v>
      </c>
      <c r="AN5" s="49"/>
      <c r="AO5" s="49"/>
      <c r="AP5" s="51" t="s">
        <v>327</v>
      </c>
      <c r="AQ5" s="49">
        <v>7</v>
      </c>
      <c r="AR5" s="49" t="s">
        <v>219</v>
      </c>
      <c r="AS5" s="48"/>
      <c r="AT5" s="49">
        <v>0</v>
      </c>
      <c r="AU5" s="49">
        <v>0</v>
      </c>
      <c r="AV5" s="49">
        <v>0</v>
      </c>
      <c r="AW5" s="49">
        <v>20</v>
      </c>
      <c r="AX5" s="49">
        <v>0</v>
      </c>
      <c r="AY5" s="49">
        <v>0</v>
      </c>
      <c r="AZ5" s="49">
        <v>0</v>
      </c>
      <c r="BA5" s="49">
        <v>0</v>
      </c>
      <c r="BB5" s="49">
        <v>0</v>
      </c>
      <c r="BC5" s="49">
        <v>0</v>
      </c>
      <c r="BD5" s="49">
        <v>0</v>
      </c>
      <c r="BE5" s="49" t="s">
        <v>219</v>
      </c>
      <c r="BF5" s="49"/>
      <c r="BG5" s="49" t="s">
        <v>219</v>
      </c>
      <c r="BH5" s="49"/>
      <c r="BI5" s="48" t="s">
        <v>296</v>
      </c>
      <c r="BJ5" s="48"/>
      <c r="BK5" s="49"/>
      <c r="BL5" s="49" t="s">
        <v>362</v>
      </c>
      <c r="BM5" s="48"/>
      <c r="BN5" t="s">
        <v>194</v>
      </c>
      <c r="BO5" s="53" t="s">
        <v>289</v>
      </c>
    </row>
    <row r="6" spans="1:67" x14ac:dyDescent="0.15">
      <c r="A6" s="45">
        <v>960</v>
      </c>
      <c r="B6" s="58">
        <v>41135</v>
      </c>
      <c r="C6" s="47" t="s">
        <v>216</v>
      </c>
      <c r="D6" s="48" t="s">
        <v>217</v>
      </c>
      <c r="E6" s="48"/>
      <c r="F6" s="48" t="s">
        <v>237</v>
      </c>
      <c r="G6" s="46">
        <v>41121</v>
      </c>
      <c r="H6" s="49" t="s">
        <v>265</v>
      </c>
      <c r="I6" s="49" t="s">
        <v>266</v>
      </c>
      <c r="J6" s="49"/>
      <c r="K6" s="48" t="s">
        <v>267</v>
      </c>
      <c r="L6" s="48" t="s">
        <v>268</v>
      </c>
      <c r="M6" s="48">
        <v>78.45</v>
      </c>
      <c r="N6" s="48">
        <v>29.81</v>
      </c>
      <c r="O6" s="48" t="s">
        <v>269</v>
      </c>
      <c r="P6" s="50">
        <v>300</v>
      </c>
      <c r="Q6" s="48">
        <v>31.95</v>
      </c>
      <c r="R6" s="56">
        <v>1000</v>
      </c>
      <c r="S6" s="57">
        <v>34.979999999999997</v>
      </c>
      <c r="T6" s="56">
        <v>2500</v>
      </c>
      <c r="U6" s="57">
        <v>36.979999999999997</v>
      </c>
      <c r="V6" s="48"/>
      <c r="W6" s="48"/>
      <c r="X6" s="48"/>
      <c r="Y6" s="48"/>
      <c r="Z6" s="48"/>
      <c r="AA6" s="48"/>
      <c r="AB6" s="48"/>
      <c r="AC6" s="48"/>
      <c r="AD6" s="48"/>
      <c r="AE6" s="48"/>
      <c r="AF6" s="50"/>
      <c r="AG6" s="48"/>
      <c r="AH6" s="48"/>
      <c r="AI6" s="48"/>
      <c r="AJ6" s="48"/>
      <c r="AK6" s="48"/>
      <c r="AL6" s="48" t="s">
        <v>270</v>
      </c>
      <c r="AM6" s="49" t="s">
        <v>266</v>
      </c>
      <c r="AN6" s="49"/>
      <c r="AO6" s="49"/>
      <c r="AP6" s="51" t="s">
        <v>271</v>
      </c>
      <c r="AQ6" s="49">
        <v>8</v>
      </c>
      <c r="AR6" s="49" t="s">
        <v>266</v>
      </c>
      <c r="AS6" s="48"/>
      <c r="AT6" s="49">
        <v>0</v>
      </c>
      <c r="AU6" s="49">
        <v>0</v>
      </c>
      <c r="AV6" s="49">
        <v>7</v>
      </c>
      <c r="AW6" s="49">
        <v>0</v>
      </c>
      <c r="AX6" s="49">
        <v>0</v>
      </c>
      <c r="AY6" s="49">
        <v>0</v>
      </c>
      <c r="AZ6" s="49">
        <v>0</v>
      </c>
      <c r="BA6" s="49">
        <v>0</v>
      </c>
      <c r="BB6" s="49">
        <v>0</v>
      </c>
      <c r="BC6" s="49">
        <v>0</v>
      </c>
      <c r="BD6" s="49">
        <v>24</v>
      </c>
      <c r="BE6" s="49" t="s">
        <v>265</v>
      </c>
      <c r="BF6" s="49"/>
      <c r="BG6" s="49" t="s">
        <v>266</v>
      </c>
      <c r="BH6" s="49"/>
      <c r="BI6" s="48"/>
      <c r="BJ6" s="48"/>
      <c r="BK6" s="49"/>
      <c r="BL6" s="49" t="s">
        <v>378</v>
      </c>
      <c r="BM6" s="48" t="s">
        <v>274</v>
      </c>
      <c r="BN6" t="s">
        <v>275</v>
      </c>
      <c r="BO6" s="53" t="s">
        <v>276</v>
      </c>
    </row>
    <row r="7" spans="1:67" x14ac:dyDescent="0.15">
      <c r="A7" s="45">
        <v>962</v>
      </c>
      <c r="B7" s="58">
        <v>41094</v>
      </c>
      <c r="C7" s="47" t="s">
        <v>240</v>
      </c>
      <c r="D7" s="48" t="s">
        <v>241</v>
      </c>
      <c r="E7" s="48"/>
      <c r="F7" s="48" t="s">
        <v>290</v>
      </c>
      <c r="G7" s="54">
        <v>41055</v>
      </c>
      <c r="H7" s="49" t="s">
        <v>360</v>
      </c>
      <c r="I7" s="49" t="s">
        <v>219</v>
      </c>
      <c r="J7" s="49"/>
      <c r="K7" s="48" t="s">
        <v>322</v>
      </c>
      <c r="L7" s="48" t="s">
        <v>326</v>
      </c>
      <c r="M7" s="48">
        <v>70.55</v>
      </c>
      <c r="N7" s="48">
        <v>33.5</v>
      </c>
      <c r="O7" s="48" t="s">
        <v>364</v>
      </c>
      <c r="P7" s="50">
        <v>300</v>
      </c>
      <c r="Q7" s="48">
        <v>33.5</v>
      </c>
      <c r="R7" s="50">
        <v>1000</v>
      </c>
      <c r="S7" s="48">
        <v>38.75</v>
      </c>
      <c r="T7" s="50">
        <v>2500</v>
      </c>
      <c r="U7" s="48">
        <v>38.75</v>
      </c>
      <c r="V7" s="48"/>
      <c r="W7" s="48"/>
      <c r="X7" s="48"/>
      <c r="Y7" s="48"/>
      <c r="Z7" s="48"/>
      <c r="AA7" s="48"/>
      <c r="AB7" s="48"/>
      <c r="AC7" s="48"/>
      <c r="AD7" s="48"/>
      <c r="AE7" s="48"/>
      <c r="AF7" s="50"/>
      <c r="AG7" s="48"/>
      <c r="AH7" s="48"/>
      <c r="AI7" s="48"/>
      <c r="AJ7" s="48"/>
      <c r="AK7" s="48"/>
      <c r="AL7" s="48" t="s">
        <v>291</v>
      </c>
      <c r="AM7" s="49" t="s">
        <v>219</v>
      </c>
      <c r="AN7" s="49"/>
      <c r="AO7" s="49"/>
      <c r="AP7" s="51" t="s">
        <v>327</v>
      </c>
      <c r="AQ7" s="49">
        <v>7</v>
      </c>
      <c r="AR7" s="49" t="s">
        <v>361</v>
      </c>
      <c r="AS7" s="48"/>
      <c r="AT7" s="49">
        <v>0</v>
      </c>
      <c r="AU7" s="49">
        <v>0</v>
      </c>
      <c r="AV7" s="49">
        <v>0</v>
      </c>
      <c r="AW7" s="49">
        <v>25</v>
      </c>
      <c r="AX7" s="49">
        <v>0</v>
      </c>
      <c r="AY7" s="49">
        <v>0</v>
      </c>
      <c r="AZ7" s="49">
        <v>0</v>
      </c>
      <c r="BA7" s="49">
        <v>0</v>
      </c>
      <c r="BB7" s="49">
        <v>0</v>
      </c>
      <c r="BC7" s="49">
        <v>0</v>
      </c>
      <c r="BD7" s="49">
        <v>0</v>
      </c>
      <c r="BE7" s="49" t="s">
        <v>219</v>
      </c>
      <c r="BF7" s="49"/>
      <c r="BG7" s="49" t="s">
        <v>219</v>
      </c>
      <c r="BH7" s="49"/>
      <c r="BI7" s="48"/>
      <c r="BJ7" s="48"/>
      <c r="BK7" s="49"/>
      <c r="BL7" s="49" t="s">
        <v>362</v>
      </c>
      <c r="BM7" s="48"/>
      <c r="BN7" t="s">
        <v>323</v>
      </c>
      <c r="BO7" s="53" t="s">
        <v>289</v>
      </c>
    </row>
    <row r="8" spans="1:67" x14ac:dyDescent="0.15">
      <c r="A8" s="45">
        <v>972</v>
      </c>
      <c r="B8" s="58">
        <v>41135</v>
      </c>
      <c r="C8" s="47" t="s">
        <v>216</v>
      </c>
      <c r="D8" s="48" t="s">
        <v>217</v>
      </c>
      <c r="E8" s="48"/>
      <c r="F8" s="48" t="s">
        <v>237</v>
      </c>
      <c r="G8" s="46">
        <v>41117</v>
      </c>
      <c r="H8" s="49" t="s">
        <v>330</v>
      </c>
      <c r="I8" s="49" t="s">
        <v>331</v>
      </c>
      <c r="J8" s="49"/>
      <c r="K8" s="48" t="s">
        <v>332</v>
      </c>
      <c r="L8" s="48" t="s">
        <v>333</v>
      </c>
      <c r="M8" s="48">
        <v>79.89</v>
      </c>
      <c r="N8" s="48">
        <v>33.967399999999998</v>
      </c>
      <c r="O8" s="48" t="s">
        <v>269</v>
      </c>
      <c r="P8" s="50">
        <v>1000</v>
      </c>
      <c r="Q8" s="48">
        <v>39.173200000000001</v>
      </c>
      <c r="R8" s="56">
        <v>3500</v>
      </c>
      <c r="S8" s="57">
        <v>38.5</v>
      </c>
      <c r="T8" s="56">
        <v>3500</v>
      </c>
      <c r="U8" s="57">
        <v>38.5</v>
      </c>
      <c r="V8" s="48"/>
      <c r="W8" s="48"/>
      <c r="X8" s="50"/>
      <c r="Y8" s="48"/>
      <c r="Z8" s="50"/>
      <c r="AA8" s="48"/>
      <c r="AB8" s="50"/>
      <c r="AC8" s="48"/>
      <c r="AD8" s="48"/>
      <c r="AE8" s="48"/>
      <c r="AF8" s="50"/>
      <c r="AG8" s="48"/>
      <c r="AH8" s="48"/>
      <c r="AI8" s="48"/>
      <c r="AJ8" s="48"/>
      <c r="AK8" s="48"/>
      <c r="AL8" s="48" t="s">
        <v>270</v>
      </c>
      <c r="AM8" s="49" t="s">
        <v>331</v>
      </c>
      <c r="AN8" s="49"/>
      <c r="AO8" s="49"/>
      <c r="AP8" s="51" t="s">
        <v>271</v>
      </c>
      <c r="AQ8" s="49">
        <v>8.1999999999999993</v>
      </c>
      <c r="AR8" s="49" t="s">
        <v>334</v>
      </c>
      <c r="AS8" s="48"/>
      <c r="AT8" s="49">
        <v>0</v>
      </c>
      <c r="AU8" s="49">
        <v>0</v>
      </c>
      <c r="AV8" s="49">
        <v>0</v>
      </c>
      <c r="AW8" s="49">
        <v>18</v>
      </c>
      <c r="AX8" s="49">
        <v>0</v>
      </c>
      <c r="AY8" s="49">
        <v>0</v>
      </c>
      <c r="AZ8" s="49">
        <v>0</v>
      </c>
      <c r="BA8" s="49">
        <v>2</v>
      </c>
      <c r="BB8" s="49">
        <v>0</v>
      </c>
      <c r="BC8" s="49">
        <v>0</v>
      </c>
      <c r="BD8" s="49">
        <v>0</v>
      </c>
      <c r="BE8" s="49" t="s">
        <v>331</v>
      </c>
      <c r="BF8" s="49">
        <v>12</v>
      </c>
      <c r="BG8" s="49" t="s">
        <v>331</v>
      </c>
      <c r="BH8" s="49"/>
      <c r="BI8" s="52"/>
      <c r="BJ8" s="52"/>
      <c r="BK8" s="49"/>
      <c r="BL8" s="49" t="s">
        <v>335</v>
      </c>
      <c r="BM8" s="48"/>
      <c r="BN8" t="s">
        <v>336</v>
      </c>
      <c r="BO8" s="53" t="s">
        <v>276</v>
      </c>
    </row>
    <row r="9" spans="1:67" x14ac:dyDescent="0.15">
      <c r="A9" s="45">
        <v>980</v>
      </c>
      <c r="B9" s="58">
        <v>41094</v>
      </c>
      <c r="C9" s="47" t="s">
        <v>240</v>
      </c>
      <c r="D9" s="48" t="s">
        <v>241</v>
      </c>
      <c r="E9" s="48"/>
      <c r="F9" s="48" t="s">
        <v>290</v>
      </c>
      <c r="G9" s="46">
        <v>41090</v>
      </c>
      <c r="H9" s="49" t="s">
        <v>318</v>
      </c>
      <c r="I9" s="49" t="s">
        <v>196</v>
      </c>
      <c r="J9" s="49"/>
      <c r="K9" s="48" t="s">
        <v>256</v>
      </c>
      <c r="L9" s="48" t="s">
        <v>315</v>
      </c>
      <c r="M9" s="48">
        <v>79.569999999999993</v>
      </c>
      <c r="N9" s="48">
        <v>30.97</v>
      </c>
      <c r="O9" s="48" t="s">
        <v>364</v>
      </c>
      <c r="P9" s="50">
        <v>1000</v>
      </c>
      <c r="Q9" s="48">
        <v>36.06</v>
      </c>
      <c r="R9" s="56">
        <v>1000</v>
      </c>
      <c r="S9" s="57">
        <v>36.06</v>
      </c>
      <c r="T9" s="56">
        <v>1000</v>
      </c>
      <c r="U9" s="57">
        <v>36.06</v>
      </c>
      <c r="V9" s="48"/>
      <c r="W9" s="48"/>
      <c r="X9" s="48"/>
      <c r="Y9" s="48"/>
      <c r="Z9" s="48"/>
      <c r="AA9" s="48"/>
      <c r="AB9" s="48"/>
      <c r="AC9" s="48"/>
      <c r="AD9" s="48"/>
      <c r="AE9" s="48"/>
      <c r="AF9" s="50"/>
      <c r="AG9" s="48"/>
      <c r="AH9" s="48"/>
      <c r="AI9" s="48"/>
      <c r="AJ9" s="48"/>
      <c r="AK9" s="48"/>
      <c r="AL9" s="48" t="s">
        <v>291</v>
      </c>
      <c r="AM9" s="49" t="s">
        <v>196</v>
      </c>
      <c r="AN9" s="49"/>
      <c r="AO9" s="49"/>
      <c r="AP9" s="51" t="s">
        <v>327</v>
      </c>
      <c r="AQ9" s="49">
        <v>7</v>
      </c>
      <c r="AR9" s="49" t="s">
        <v>196</v>
      </c>
      <c r="AS9" s="48"/>
      <c r="AT9" s="49">
        <v>0</v>
      </c>
      <c r="AU9" s="49">
        <v>0</v>
      </c>
      <c r="AV9" s="49">
        <v>12</v>
      </c>
      <c r="AW9" s="49">
        <v>0</v>
      </c>
      <c r="AX9" s="49">
        <v>0</v>
      </c>
      <c r="AY9" s="49">
        <v>0</v>
      </c>
      <c r="AZ9" s="49">
        <v>0</v>
      </c>
      <c r="BA9" s="49">
        <v>0</v>
      </c>
      <c r="BB9" s="49">
        <v>0</v>
      </c>
      <c r="BC9" s="49">
        <v>0</v>
      </c>
      <c r="BD9" s="49">
        <v>24</v>
      </c>
      <c r="BE9" s="49" t="s">
        <v>196</v>
      </c>
      <c r="BF9" s="49"/>
      <c r="BG9" s="49" t="s">
        <v>196</v>
      </c>
      <c r="BH9" s="49"/>
      <c r="BI9" s="48" t="s">
        <v>316</v>
      </c>
      <c r="BJ9" s="48"/>
      <c r="BK9" s="49"/>
      <c r="BL9" s="49" t="s">
        <v>319</v>
      </c>
      <c r="BM9" s="48"/>
      <c r="BN9" t="s">
        <v>388</v>
      </c>
      <c r="BO9" s="53" t="s">
        <v>239</v>
      </c>
    </row>
    <row r="10" spans="1:67" x14ac:dyDescent="0.15">
      <c r="A10" s="45">
        <v>988</v>
      </c>
      <c r="B10" s="58">
        <v>41136</v>
      </c>
      <c r="C10" s="47" t="s">
        <v>216</v>
      </c>
      <c r="D10" s="48" t="s">
        <v>217</v>
      </c>
      <c r="E10" s="48"/>
      <c r="F10" s="48" t="s">
        <v>237</v>
      </c>
      <c r="G10" s="46">
        <v>41121</v>
      </c>
      <c r="H10" s="49" t="s">
        <v>360</v>
      </c>
      <c r="I10" s="49" t="s">
        <v>181</v>
      </c>
      <c r="J10" s="49"/>
      <c r="K10" s="48" t="s">
        <v>418</v>
      </c>
      <c r="L10" s="48" t="s">
        <v>419</v>
      </c>
      <c r="M10" s="48">
        <v>75.14</v>
      </c>
      <c r="N10" s="48">
        <v>31.03</v>
      </c>
      <c r="O10" s="48" t="s">
        <v>269</v>
      </c>
      <c r="P10" s="50">
        <v>600</v>
      </c>
      <c r="Q10" s="48">
        <v>31.67</v>
      </c>
      <c r="R10" s="56">
        <v>600</v>
      </c>
      <c r="S10" s="57">
        <v>31.67</v>
      </c>
      <c r="T10" s="56">
        <v>600</v>
      </c>
      <c r="U10" s="57">
        <v>31.67</v>
      </c>
      <c r="V10" s="48"/>
      <c r="W10" s="48"/>
      <c r="X10" s="48"/>
      <c r="Y10" s="48"/>
      <c r="Z10" s="48"/>
      <c r="AA10" s="48"/>
      <c r="AB10" s="48"/>
      <c r="AC10" s="48"/>
      <c r="AD10" s="48"/>
      <c r="AE10" s="48"/>
      <c r="AF10" s="50"/>
      <c r="AG10" s="48"/>
      <c r="AH10" s="48"/>
      <c r="AI10" s="48"/>
      <c r="AJ10" s="48"/>
      <c r="AK10" s="48"/>
      <c r="AL10" s="48" t="s">
        <v>270</v>
      </c>
      <c r="AM10" s="49" t="s">
        <v>181</v>
      </c>
      <c r="AN10" s="49"/>
      <c r="AO10" s="49"/>
      <c r="AP10" s="51" t="s">
        <v>271</v>
      </c>
      <c r="AQ10" s="49">
        <v>6.8</v>
      </c>
      <c r="AR10" s="49" t="s">
        <v>181</v>
      </c>
      <c r="AS10" s="48"/>
      <c r="AT10" s="49">
        <v>0</v>
      </c>
      <c r="AU10" s="49">
        <v>0</v>
      </c>
      <c r="AV10" s="49">
        <v>0</v>
      </c>
      <c r="AW10" s="49">
        <v>0</v>
      </c>
      <c r="AX10" s="49">
        <v>0</v>
      </c>
      <c r="AY10" s="49">
        <v>0</v>
      </c>
      <c r="AZ10" s="49">
        <v>0</v>
      </c>
      <c r="BA10" s="49">
        <v>0</v>
      </c>
      <c r="BB10" s="49">
        <v>0</v>
      </c>
      <c r="BC10" s="49">
        <v>0</v>
      </c>
      <c r="BD10" s="49">
        <v>12</v>
      </c>
      <c r="BE10" s="49" t="s">
        <v>360</v>
      </c>
      <c r="BF10" s="49"/>
      <c r="BG10" s="49" t="s">
        <v>181</v>
      </c>
      <c r="BH10" s="49"/>
      <c r="BI10" s="48"/>
      <c r="BJ10" s="48"/>
      <c r="BK10" s="49"/>
      <c r="BL10" s="49" t="s">
        <v>179</v>
      </c>
      <c r="BM10" s="48"/>
      <c r="BN10" t="s">
        <v>420</v>
      </c>
      <c r="BO10" s="53" t="s">
        <v>276</v>
      </c>
    </row>
    <row r="11" spans="1:67" x14ac:dyDescent="0.15">
      <c r="A11" s="45">
        <v>2283</v>
      </c>
      <c r="B11" s="58">
        <v>41135</v>
      </c>
      <c r="C11" s="47" t="s">
        <v>285</v>
      </c>
      <c r="D11" s="48" t="s">
        <v>286</v>
      </c>
      <c r="E11" s="48"/>
      <c r="F11" s="48" t="s">
        <v>424</v>
      </c>
      <c r="G11" s="46">
        <v>41096</v>
      </c>
      <c r="H11" s="49" t="s">
        <v>360</v>
      </c>
      <c r="I11" s="49" t="s">
        <v>181</v>
      </c>
      <c r="J11" s="49"/>
      <c r="K11" s="48" t="s">
        <v>425</v>
      </c>
      <c r="L11" s="48" t="s">
        <v>426</v>
      </c>
      <c r="M11" s="48">
        <v>70.61</v>
      </c>
      <c r="N11" s="48">
        <v>31.32</v>
      </c>
      <c r="O11" s="48" t="s">
        <v>269</v>
      </c>
      <c r="P11" s="50">
        <v>1000</v>
      </c>
      <c r="Q11" s="48">
        <v>35.71</v>
      </c>
      <c r="R11" s="56">
        <v>1000</v>
      </c>
      <c r="S11" s="57">
        <v>35.71</v>
      </c>
      <c r="T11" s="56">
        <v>1000</v>
      </c>
      <c r="U11" s="57">
        <v>35.71</v>
      </c>
      <c r="V11" s="48"/>
      <c r="W11" s="48"/>
      <c r="X11" s="48"/>
      <c r="Y11" s="48"/>
      <c r="Z11" s="50"/>
      <c r="AA11" s="48"/>
      <c r="AB11" s="50"/>
      <c r="AC11" s="48"/>
      <c r="AD11" s="48"/>
      <c r="AE11" s="48"/>
      <c r="AF11" s="50"/>
      <c r="AG11" s="48"/>
      <c r="AH11" s="48"/>
      <c r="AI11" s="48"/>
      <c r="AJ11" s="48"/>
      <c r="AK11" s="48"/>
      <c r="AL11" s="48" t="s">
        <v>270</v>
      </c>
      <c r="AM11" s="49" t="s">
        <v>181</v>
      </c>
      <c r="AN11" s="49"/>
      <c r="AO11" s="49"/>
      <c r="AP11" s="51" t="s">
        <v>271</v>
      </c>
      <c r="AQ11" s="49">
        <v>6.8</v>
      </c>
      <c r="AR11" s="49" t="s">
        <v>180</v>
      </c>
      <c r="AS11" s="48"/>
      <c r="AT11" s="49">
        <v>0</v>
      </c>
      <c r="AU11" s="49">
        <v>0</v>
      </c>
      <c r="AV11" s="49">
        <v>0</v>
      </c>
      <c r="AW11" s="49">
        <v>16</v>
      </c>
      <c r="AX11" s="49">
        <v>0</v>
      </c>
      <c r="AY11" s="49">
        <v>0</v>
      </c>
      <c r="AZ11" s="49">
        <v>0</v>
      </c>
      <c r="BA11" s="49">
        <v>0</v>
      </c>
      <c r="BB11" s="49">
        <v>0</v>
      </c>
      <c r="BC11" s="49">
        <v>0</v>
      </c>
      <c r="BD11" s="49">
        <v>0</v>
      </c>
      <c r="BE11" s="49" t="s">
        <v>181</v>
      </c>
      <c r="BF11" s="49">
        <v>12</v>
      </c>
      <c r="BG11" s="49" t="s">
        <v>181</v>
      </c>
      <c r="BH11" s="49"/>
      <c r="BI11" s="52"/>
      <c r="BJ11" s="52"/>
      <c r="BK11" s="49"/>
      <c r="BL11" s="49" t="s">
        <v>179</v>
      </c>
      <c r="BM11" s="52"/>
      <c r="BN11" t="s">
        <v>435</v>
      </c>
      <c r="BO11" t="s">
        <v>276</v>
      </c>
    </row>
    <row r="12" spans="1:67" x14ac:dyDescent="0.15">
      <c r="A12" s="45">
        <v>1012</v>
      </c>
      <c r="B12" s="58">
        <v>41136</v>
      </c>
      <c r="C12" s="47" t="s">
        <v>216</v>
      </c>
      <c r="D12" s="48" t="s">
        <v>217</v>
      </c>
      <c r="E12" s="48"/>
      <c r="F12" s="48" t="s">
        <v>237</v>
      </c>
      <c r="G12" s="46">
        <v>41121</v>
      </c>
      <c r="H12" s="49" t="s">
        <v>265</v>
      </c>
      <c r="I12" s="49" t="s">
        <v>266</v>
      </c>
      <c r="J12" s="49"/>
      <c r="K12" s="48" t="s">
        <v>421</v>
      </c>
      <c r="L12" s="48" t="s">
        <v>422</v>
      </c>
      <c r="M12" s="48">
        <v>76.33</v>
      </c>
      <c r="N12" s="48">
        <v>31.16</v>
      </c>
      <c r="O12" s="48" t="s">
        <v>269</v>
      </c>
      <c r="P12" s="50">
        <v>1000</v>
      </c>
      <c r="Q12" s="48">
        <v>33.229999999999997</v>
      </c>
      <c r="R12" s="56">
        <v>1000</v>
      </c>
      <c r="S12" s="57">
        <v>33.229999999999997</v>
      </c>
      <c r="T12" s="56">
        <v>1000</v>
      </c>
      <c r="U12" s="57">
        <v>33.229999999999997</v>
      </c>
      <c r="V12" s="48"/>
      <c r="W12" s="48"/>
      <c r="X12" s="48"/>
      <c r="Y12" s="48"/>
      <c r="Z12" s="50"/>
      <c r="AA12" s="48"/>
      <c r="AB12" s="50"/>
      <c r="AC12" s="48"/>
      <c r="AD12" s="48"/>
      <c r="AE12" s="48"/>
      <c r="AF12" s="50"/>
      <c r="AG12" s="48"/>
      <c r="AH12" s="48"/>
      <c r="AI12" s="48"/>
      <c r="AJ12" s="48"/>
      <c r="AK12" s="48"/>
      <c r="AL12" s="48" t="s">
        <v>270</v>
      </c>
      <c r="AM12" s="49" t="s">
        <v>266</v>
      </c>
      <c r="AN12" s="49"/>
      <c r="AO12" s="49"/>
      <c r="AP12" s="51" t="s">
        <v>271</v>
      </c>
      <c r="AQ12" s="49">
        <v>6.8</v>
      </c>
      <c r="AR12" s="49" t="s">
        <v>423</v>
      </c>
      <c r="AS12" s="48"/>
      <c r="AT12" s="49">
        <v>0</v>
      </c>
      <c r="AU12" s="49">
        <v>0</v>
      </c>
      <c r="AV12" s="49">
        <v>0</v>
      </c>
      <c r="AW12" s="49">
        <v>18</v>
      </c>
      <c r="AX12" s="49">
        <v>0</v>
      </c>
      <c r="AY12" s="49">
        <v>0</v>
      </c>
      <c r="AZ12" s="49">
        <v>0</v>
      </c>
      <c r="BA12" s="49">
        <v>0</v>
      </c>
      <c r="BB12" s="49">
        <v>0</v>
      </c>
      <c r="BC12" s="49">
        <v>0</v>
      </c>
      <c r="BD12" s="49">
        <v>24</v>
      </c>
      <c r="BE12" s="49" t="s">
        <v>266</v>
      </c>
      <c r="BF12" s="49"/>
      <c r="BG12" s="49" t="s">
        <v>266</v>
      </c>
      <c r="BH12" s="49"/>
      <c r="BI12" s="48"/>
      <c r="BJ12" s="48"/>
      <c r="BK12" s="49"/>
      <c r="BL12" s="49" t="s">
        <v>378</v>
      </c>
      <c r="BM12" s="48"/>
      <c r="BN12" t="s">
        <v>135</v>
      </c>
      <c r="BO12" s="53" t="s">
        <v>276</v>
      </c>
    </row>
    <row r="13" spans="1:67" x14ac:dyDescent="0.15">
      <c r="A13" s="45">
        <v>2799</v>
      </c>
      <c r="B13" s="58">
        <v>41135</v>
      </c>
      <c r="C13" s="47" t="s">
        <v>298</v>
      </c>
      <c r="D13" s="48" t="s">
        <v>299</v>
      </c>
      <c r="E13" s="48"/>
      <c r="F13" s="48" t="s">
        <v>300</v>
      </c>
      <c r="G13" s="46">
        <v>40841</v>
      </c>
      <c r="H13" s="49" t="s">
        <v>277</v>
      </c>
      <c r="I13" s="49" t="s">
        <v>196</v>
      </c>
      <c r="J13" s="49"/>
      <c r="K13" s="48" t="s">
        <v>301</v>
      </c>
      <c r="L13" s="48" t="s">
        <v>302</v>
      </c>
      <c r="M13" s="48">
        <v>70.33</v>
      </c>
      <c r="N13" s="48">
        <v>28.8</v>
      </c>
      <c r="O13" s="48" t="s">
        <v>305</v>
      </c>
      <c r="P13" s="50">
        <v>300</v>
      </c>
      <c r="Q13" s="48">
        <v>33.39</v>
      </c>
      <c r="R13" s="50">
        <v>300</v>
      </c>
      <c r="S13" s="48">
        <v>33.39</v>
      </c>
      <c r="T13" s="50">
        <v>300</v>
      </c>
      <c r="U13" s="48">
        <v>33.39</v>
      </c>
      <c r="V13" s="48"/>
      <c r="W13" s="48"/>
      <c r="X13" s="48"/>
      <c r="Y13" s="48"/>
      <c r="Z13" s="48"/>
      <c r="AA13" s="48"/>
      <c r="AB13" s="48"/>
      <c r="AC13" s="48"/>
      <c r="AD13" s="48"/>
      <c r="AE13" s="48"/>
      <c r="AF13" s="50"/>
      <c r="AG13" s="48"/>
      <c r="AH13" s="48"/>
      <c r="AI13" s="48"/>
      <c r="AJ13" s="48"/>
      <c r="AK13" s="48"/>
      <c r="AL13" s="48" t="s">
        <v>303</v>
      </c>
      <c r="AM13" s="49" t="s">
        <v>196</v>
      </c>
      <c r="AN13" s="49"/>
      <c r="AO13" s="49"/>
      <c r="AP13" s="51" t="s">
        <v>308</v>
      </c>
      <c r="AQ13" s="49">
        <v>10</v>
      </c>
      <c r="AR13" s="49" t="s">
        <v>196</v>
      </c>
      <c r="AS13" s="48"/>
      <c r="AT13" s="49">
        <v>0</v>
      </c>
      <c r="AU13" s="49">
        <v>0</v>
      </c>
      <c r="AV13" s="49">
        <v>0</v>
      </c>
      <c r="AW13" s="49">
        <v>0</v>
      </c>
      <c r="AX13" s="49">
        <v>0</v>
      </c>
      <c r="AY13" s="49">
        <v>0</v>
      </c>
      <c r="AZ13" s="49">
        <v>0</v>
      </c>
      <c r="BA13" s="49">
        <v>0</v>
      </c>
      <c r="BB13" s="49">
        <v>0</v>
      </c>
      <c r="BC13" s="49">
        <v>0</v>
      </c>
      <c r="BD13" s="49">
        <v>0</v>
      </c>
      <c r="BE13" s="49" t="s">
        <v>196</v>
      </c>
      <c r="BF13" s="49"/>
      <c r="BG13" s="49" t="s">
        <v>196</v>
      </c>
      <c r="BH13" s="49"/>
      <c r="BI13" s="48"/>
      <c r="BJ13" s="48"/>
      <c r="BK13" s="49"/>
      <c r="BL13" s="49" t="s">
        <v>319</v>
      </c>
      <c r="BM13" s="48" t="s">
        <v>304</v>
      </c>
      <c r="BN13" t="s">
        <v>409</v>
      </c>
      <c r="BO13" t="s">
        <v>410</v>
      </c>
    </row>
    <row r="14" spans="1:67" x14ac:dyDescent="0.15">
      <c r="A14" s="45">
        <v>3492</v>
      </c>
      <c r="B14" s="58">
        <v>41137</v>
      </c>
      <c r="C14" s="47" t="s">
        <v>282</v>
      </c>
      <c r="D14" s="48" t="s">
        <v>311</v>
      </c>
      <c r="E14" s="48"/>
      <c r="F14" s="48" t="s">
        <v>312</v>
      </c>
      <c r="G14" s="46">
        <v>41046</v>
      </c>
      <c r="H14" s="49" t="s">
        <v>360</v>
      </c>
      <c r="I14" s="49" t="s">
        <v>181</v>
      </c>
      <c r="J14" s="49"/>
      <c r="K14" s="48" t="s">
        <v>313</v>
      </c>
      <c r="L14" s="48" t="s">
        <v>314</v>
      </c>
      <c r="M14" s="48">
        <v>63.39</v>
      </c>
      <c r="N14" s="48">
        <v>30.5</v>
      </c>
      <c r="O14" s="48" t="s">
        <v>269</v>
      </c>
      <c r="P14" s="50">
        <v>1000</v>
      </c>
      <c r="Q14" s="48">
        <v>34.1</v>
      </c>
      <c r="R14" s="56">
        <v>1000</v>
      </c>
      <c r="S14" s="57">
        <v>34.1</v>
      </c>
      <c r="T14" s="56">
        <v>1000</v>
      </c>
      <c r="U14" s="57">
        <v>34.1</v>
      </c>
      <c r="V14" s="48"/>
      <c r="W14" s="48"/>
      <c r="X14" s="48"/>
      <c r="Y14" s="48"/>
      <c r="Z14" s="48"/>
      <c r="AA14" s="48"/>
      <c r="AB14" s="48"/>
      <c r="AC14" s="48"/>
      <c r="AD14" s="48"/>
      <c r="AE14" s="48"/>
      <c r="AF14" s="48"/>
      <c r="AG14" s="48"/>
      <c r="AH14" s="48"/>
      <c r="AI14" s="48"/>
      <c r="AJ14" s="48"/>
      <c r="AK14" s="48"/>
      <c r="AL14" s="48" t="s">
        <v>270</v>
      </c>
      <c r="AM14" s="49" t="s">
        <v>181</v>
      </c>
      <c r="AN14" s="49"/>
      <c r="AO14" s="49"/>
      <c r="AP14" s="51" t="s">
        <v>271</v>
      </c>
      <c r="AQ14" s="49">
        <v>6.8</v>
      </c>
      <c r="AR14" s="49" t="s">
        <v>181</v>
      </c>
      <c r="AS14" s="48"/>
      <c r="AT14" s="49">
        <v>0</v>
      </c>
      <c r="AU14" s="49">
        <v>0</v>
      </c>
      <c r="AV14" s="49">
        <v>0</v>
      </c>
      <c r="AW14" s="49">
        <v>28</v>
      </c>
      <c r="AX14" s="49">
        <v>0</v>
      </c>
      <c r="AY14" s="49">
        <v>0</v>
      </c>
      <c r="AZ14" s="49">
        <v>0</v>
      </c>
      <c r="BA14" s="49">
        <v>0</v>
      </c>
      <c r="BB14" s="49">
        <v>0</v>
      </c>
      <c r="BC14" s="49">
        <v>0</v>
      </c>
      <c r="BD14" s="49">
        <v>24</v>
      </c>
      <c r="BE14" s="49" t="s">
        <v>360</v>
      </c>
      <c r="BF14" s="49"/>
      <c r="BG14" s="49" t="s">
        <v>181</v>
      </c>
      <c r="BH14" s="49"/>
      <c r="BI14" s="52"/>
      <c r="BJ14" s="48"/>
      <c r="BK14" s="49"/>
      <c r="BL14" s="49" t="s">
        <v>179</v>
      </c>
      <c r="BM14" s="48"/>
      <c r="BN14" t="s">
        <v>389</v>
      </c>
      <c r="BO14" s="53" t="s">
        <v>284</v>
      </c>
    </row>
    <row r="15" spans="1:67" x14ac:dyDescent="0.15">
      <c r="A15" s="45">
        <v>2539</v>
      </c>
      <c r="B15" s="58">
        <v>41090</v>
      </c>
      <c r="C15" s="47" t="s">
        <v>240</v>
      </c>
      <c r="D15" s="48" t="s">
        <v>241</v>
      </c>
      <c r="E15" s="48"/>
      <c r="F15" s="48" t="s">
        <v>290</v>
      </c>
      <c r="G15" s="46">
        <v>41090</v>
      </c>
      <c r="H15" s="49" t="s">
        <v>318</v>
      </c>
      <c r="I15" s="49" t="s">
        <v>196</v>
      </c>
      <c r="J15" s="49"/>
      <c r="K15" s="48" t="s">
        <v>363</v>
      </c>
      <c r="L15" s="48" t="s">
        <v>326</v>
      </c>
      <c r="M15" s="48">
        <v>70.61</v>
      </c>
      <c r="N15" s="48">
        <v>31.3</v>
      </c>
      <c r="O15" s="48" t="s">
        <v>359</v>
      </c>
      <c r="P15" s="50">
        <v>1000</v>
      </c>
      <c r="Q15" s="48">
        <v>35.299999999999997</v>
      </c>
      <c r="R15" s="56">
        <v>1000</v>
      </c>
      <c r="S15" s="57">
        <v>35.299999999999997</v>
      </c>
      <c r="T15" s="56">
        <v>1000</v>
      </c>
      <c r="U15" s="57">
        <v>35.299999999999997</v>
      </c>
      <c r="V15" s="48"/>
      <c r="W15" s="48"/>
      <c r="X15" s="48"/>
      <c r="Y15" s="48"/>
      <c r="Z15" s="48"/>
      <c r="AA15" s="48"/>
      <c r="AB15" s="48"/>
      <c r="AC15" s="48"/>
      <c r="AD15" s="48"/>
      <c r="AE15" s="48"/>
      <c r="AF15" s="50"/>
      <c r="AG15" s="48"/>
      <c r="AH15" s="48"/>
      <c r="AI15" s="48"/>
      <c r="AJ15" s="48"/>
      <c r="AK15" s="48"/>
      <c r="AL15" s="48" t="s">
        <v>291</v>
      </c>
      <c r="AM15" s="49" t="s">
        <v>196</v>
      </c>
      <c r="AN15" s="49"/>
      <c r="AO15" s="49"/>
      <c r="AP15" s="51" t="s">
        <v>327</v>
      </c>
      <c r="AQ15" s="49">
        <v>10</v>
      </c>
      <c r="AR15" s="49" t="s">
        <v>320</v>
      </c>
      <c r="AS15" s="48"/>
      <c r="AT15" s="49">
        <v>0</v>
      </c>
      <c r="AU15" s="49">
        <v>0</v>
      </c>
      <c r="AV15" s="49">
        <v>0</v>
      </c>
      <c r="AW15" s="49">
        <v>10</v>
      </c>
      <c r="AX15" s="49">
        <v>0</v>
      </c>
      <c r="AY15" s="49">
        <v>0</v>
      </c>
      <c r="AZ15" s="49">
        <v>0</v>
      </c>
      <c r="BA15" s="49">
        <v>0</v>
      </c>
      <c r="BB15" s="49">
        <v>0</v>
      </c>
      <c r="BC15" s="49">
        <v>0</v>
      </c>
      <c r="BD15" s="49">
        <v>0</v>
      </c>
      <c r="BE15" s="49" t="s">
        <v>196</v>
      </c>
      <c r="BF15" s="49">
        <v>36</v>
      </c>
      <c r="BG15" s="49" t="s">
        <v>196</v>
      </c>
      <c r="BH15" s="49"/>
      <c r="BI15" s="52"/>
      <c r="BJ15" s="48"/>
      <c r="BK15" s="49"/>
      <c r="BL15" s="49" t="s">
        <v>319</v>
      </c>
      <c r="BM15" s="48"/>
      <c r="BN15" t="s">
        <v>186</v>
      </c>
      <c r="BO15" t="s">
        <v>187</v>
      </c>
    </row>
    <row r="16" spans="1:67" x14ac:dyDescent="0.15">
      <c r="A16" s="45">
        <v>947</v>
      </c>
      <c r="B16" s="55">
        <v>41135</v>
      </c>
      <c r="C16" s="47" t="s">
        <v>392</v>
      </c>
      <c r="D16" s="48" t="s">
        <v>393</v>
      </c>
      <c r="E16" s="48"/>
      <c r="F16" s="48" t="s">
        <v>394</v>
      </c>
      <c r="G16" s="46">
        <v>41102</v>
      </c>
      <c r="H16" s="49" t="s">
        <v>277</v>
      </c>
      <c r="I16" s="49" t="s">
        <v>196</v>
      </c>
      <c r="J16" s="49"/>
      <c r="K16" s="48" t="s">
        <v>201</v>
      </c>
      <c r="L16" s="48" t="s">
        <v>202</v>
      </c>
      <c r="M16" s="48">
        <v>70.900000000000006</v>
      </c>
      <c r="N16" s="48">
        <v>33.270000000000003</v>
      </c>
      <c r="O16" s="48" t="s">
        <v>305</v>
      </c>
      <c r="P16" s="50">
        <v>1000</v>
      </c>
      <c r="Q16" s="48">
        <v>37.950000000000003</v>
      </c>
      <c r="R16" s="50">
        <v>1000</v>
      </c>
      <c r="S16" s="48">
        <v>37.950000000000003</v>
      </c>
      <c r="T16" s="50">
        <v>1000</v>
      </c>
      <c r="U16" s="48">
        <v>37.950000000000003</v>
      </c>
      <c r="V16" s="48"/>
      <c r="W16" s="48">
        <v>30.75</v>
      </c>
      <c r="X16" s="50">
        <v>1000</v>
      </c>
      <c r="Y16" s="48">
        <v>34.49</v>
      </c>
      <c r="Z16" s="50">
        <v>1000</v>
      </c>
      <c r="AA16" s="48">
        <v>34.49</v>
      </c>
      <c r="AB16" s="50">
        <v>1000</v>
      </c>
      <c r="AC16" s="48">
        <v>34.49</v>
      </c>
      <c r="AD16" s="48"/>
      <c r="AE16" s="48">
        <v>15.35</v>
      </c>
      <c r="AF16" s="50"/>
      <c r="AG16" s="48"/>
      <c r="AH16" s="48"/>
      <c r="AI16" s="48"/>
      <c r="AJ16" s="48"/>
      <c r="AK16" s="48"/>
      <c r="AL16" s="48" t="s">
        <v>395</v>
      </c>
      <c r="AM16" s="49" t="s">
        <v>277</v>
      </c>
      <c r="AN16" s="49" t="s">
        <v>396</v>
      </c>
      <c r="AO16" s="49">
        <v>3</v>
      </c>
      <c r="AP16" s="51" t="s">
        <v>308</v>
      </c>
      <c r="AQ16" s="49">
        <v>6.8</v>
      </c>
      <c r="AR16" s="49" t="s">
        <v>423</v>
      </c>
      <c r="AS16" s="48"/>
      <c r="AT16" s="49">
        <v>0</v>
      </c>
      <c r="AU16" s="49">
        <v>0</v>
      </c>
      <c r="AV16" s="49">
        <v>0</v>
      </c>
      <c r="AW16" s="49">
        <v>15</v>
      </c>
      <c r="AX16" s="49">
        <v>0</v>
      </c>
      <c r="AY16" s="49">
        <v>0</v>
      </c>
      <c r="AZ16" s="49">
        <v>0</v>
      </c>
      <c r="BA16" s="49">
        <v>0</v>
      </c>
      <c r="BB16" s="49">
        <v>0</v>
      </c>
      <c r="BC16" s="49">
        <v>2</v>
      </c>
      <c r="BD16" s="49">
        <v>0</v>
      </c>
      <c r="BE16" s="49" t="s">
        <v>196</v>
      </c>
      <c r="BF16" s="49">
        <v>12</v>
      </c>
      <c r="BG16" s="49" t="s">
        <v>196</v>
      </c>
      <c r="BH16" s="49"/>
      <c r="BI16" s="52"/>
      <c r="BJ16" s="52"/>
      <c r="BK16" s="49"/>
      <c r="BL16" s="49" t="s">
        <v>319</v>
      </c>
      <c r="BM16" s="48" t="s">
        <v>377</v>
      </c>
      <c r="BN16" t="s">
        <v>297</v>
      </c>
      <c r="BO16" s="53" t="s">
        <v>391</v>
      </c>
    </row>
    <row r="17" spans="1:67" x14ac:dyDescent="0.15">
      <c r="A17" s="45">
        <v>1879</v>
      </c>
      <c r="B17" s="55">
        <v>41137</v>
      </c>
      <c r="C17" s="47" t="s">
        <v>298</v>
      </c>
      <c r="D17" s="48" t="s">
        <v>299</v>
      </c>
      <c r="E17" s="48"/>
      <c r="F17" s="48" t="s">
        <v>439</v>
      </c>
      <c r="G17" s="54">
        <v>41111</v>
      </c>
      <c r="H17" s="49" t="s">
        <v>440</v>
      </c>
      <c r="I17" s="49" t="s">
        <v>351</v>
      </c>
      <c r="J17" s="49"/>
      <c r="K17" s="48" t="s">
        <v>385</v>
      </c>
      <c r="L17" s="48" t="s">
        <v>386</v>
      </c>
      <c r="M17" s="48">
        <v>79.08</v>
      </c>
      <c r="N17" s="48">
        <v>31.76</v>
      </c>
      <c r="O17" s="48" t="s">
        <v>305</v>
      </c>
      <c r="P17" s="50">
        <v>300</v>
      </c>
      <c r="Q17" s="48">
        <v>33.049999999999997</v>
      </c>
      <c r="R17" s="50">
        <v>1000</v>
      </c>
      <c r="S17" s="48">
        <v>36.36</v>
      </c>
      <c r="T17" s="50">
        <v>2500</v>
      </c>
      <c r="U17" s="48">
        <v>39.42</v>
      </c>
      <c r="V17" s="48"/>
      <c r="W17" s="48"/>
      <c r="X17" s="48"/>
      <c r="Y17" s="48"/>
      <c r="Z17" s="48"/>
      <c r="AA17" s="48"/>
      <c r="AB17" s="48"/>
      <c r="AC17" s="48"/>
      <c r="AD17" s="48"/>
      <c r="AE17" s="48">
        <v>17.93</v>
      </c>
      <c r="AF17" s="50">
        <v>2000</v>
      </c>
      <c r="AG17" s="48">
        <v>18.28</v>
      </c>
      <c r="AH17" s="48"/>
      <c r="AI17" s="48"/>
      <c r="AJ17" s="48"/>
      <c r="AK17" s="48"/>
      <c r="AL17" s="48" t="s">
        <v>352</v>
      </c>
      <c r="AM17" s="49" t="s">
        <v>351</v>
      </c>
      <c r="AN17" s="49"/>
      <c r="AO17" s="49"/>
      <c r="AP17" s="51" t="s">
        <v>308</v>
      </c>
      <c r="AQ17" s="49">
        <v>6.8</v>
      </c>
      <c r="AR17" s="49" t="s">
        <v>351</v>
      </c>
      <c r="AS17" s="48"/>
      <c r="AT17" s="49">
        <v>0</v>
      </c>
      <c r="AU17" s="49">
        <v>0</v>
      </c>
      <c r="AV17" s="49">
        <v>0</v>
      </c>
      <c r="AW17" s="49">
        <v>20</v>
      </c>
      <c r="AX17" s="49">
        <v>0</v>
      </c>
      <c r="AY17" s="49">
        <v>0</v>
      </c>
      <c r="AZ17" s="49">
        <v>0</v>
      </c>
      <c r="BA17" s="49">
        <v>0</v>
      </c>
      <c r="BB17" s="49">
        <v>0</v>
      </c>
      <c r="BC17" s="49">
        <v>0</v>
      </c>
      <c r="BD17" s="49">
        <v>0</v>
      </c>
      <c r="BE17" s="49" t="s">
        <v>351</v>
      </c>
      <c r="BF17" s="49"/>
      <c r="BG17" s="49" t="s">
        <v>351</v>
      </c>
      <c r="BH17" s="49"/>
      <c r="BI17" s="48"/>
      <c r="BJ17" s="48"/>
      <c r="BK17" s="49"/>
      <c r="BL17" s="49" t="s">
        <v>353</v>
      </c>
      <c r="BM17" s="52"/>
      <c r="BN17" t="s">
        <v>339</v>
      </c>
      <c r="BO17" t="s">
        <v>410</v>
      </c>
    </row>
    <row r="18" spans="1:67" x14ac:dyDescent="0.15">
      <c r="A18" s="45">
        <v>2554</v>
      </c>
      <c r="B18" s="55">
        <v>41135</v>
      </c>
      <c r="C18" s="47" t="s">
        <v>174</v>
      </c>
      <c r="D18" s="48" t="s">
        <v>217</v>
      </c>
      <c r="E18" s="48"/>
      <c r="F18" s="48" t="s">
        <v>242</v>
      </c>
      <c r="G18" s="46">
        <v>41090</v>
      </c>
      <c r="H18" s="49" t="s">
        <v>277</v>
      </c>
      <c r="I18" s="49" t="s">
        <v>413</v>
      </c>
      <c r="J18" s="49"/>
      <c r="K18" s="48" t="s">
        <v>414</v>
      </c>
      <c r="L18" s="48" t="s">
        <v>415</v>
      </c>
      <c r="M18" s="48">
        <v>84.39</v>
      </c>
      <c r="N18" s="48">
        <v>34.241</v>
      </c>
      <c r="O18" s="48" t="s">
        <v>177</v>
      </c>
      <c r="P18" s="50">
        <v>1000</v>
      </c>
      <c r="Q18" s="48">
        <v>36.86</v>
      </c>
      <c r="R18" s="50">
        <v>1000</v>
      </c>
      <c r="S18" s="48">
        <v>36.86</v>
      </c>
      <c r="T18" s="50">
        <v>1000</v>
      </c>
      <c r="U18" s="48">
        <v>36.86</v>
      </c>
      <c r="V18" s="48"/>
      <c r="W18" s="48"/>
      <c r="X18" s="48"/>
      <c r="Y18" s="48"/>
      <c r="Z18" s="48"/>
      <c r="AA18" s="48"/>
      <c r="AB18" s="48"/>
      <c r="AC18" s="48"/>
      <c r="AD18" s="48"/>
      <c r="AE18" s="48">
        <v>24.832000000000001</v>
      </c>
      <c r="AF18" s="50"/>
      <c r="AG18" s="48"/>
      <c r="AH18" s="48"/>
      <c r="AI18" s="48"/>
      <c r="AJ18" s="48"/>
      <c r="AK18" s="48"/>
      <c r="AL18" s="48" t="s">
        <v>178</v>
      </c>
      <c r="AM18" s="49" t="s">
        <v>196</v>
      </c>
      <c r="AN18" s="49"/>
      <c r="AO18" s="49"/>
      <c r="AP18" s="51" t="s">
        <v>308</v>
      </c>
      <c r="AQ18" s="49">
        <v>12</v>
      </c>
      <c r="AR18" s="49" t="s">
        <v>196</v>
      </c>
      <c r="AS18" s="48"/>
      <c r="AT18" s="49">
        <v>0</v>
      </c>
      <c r="AU18" s="49">
        <v>0</v>
      </c>
      <c r="AV18" s="49">
        <v>5</v>
      </c>
      <c r="AW18" s="49">
        <v>0</v>
      </c>
      <c r="AX18" s="49">
        <v>0</v>
      </c>
      <c r="AY18" s="49">
        <v>0</v>
      </c>
      <c r="AZ18" s="49">
        <v>0</v>
      </c>
      <c r="BA18" s="49">
        <v>0</v>
      </c>
      <c r="BB18" s="49">
        <v>0</v>
      </c>
      <c r="BC18" s="49">
        <v>0</v>
      </c>
      <c r="BD18" s="49">
        <v>0</v>
      </c>
      <c r="BE18" s="49" t="s">
        <v>196</v>
      </c>
      <c r="BF18" s="49"/>
      <c r="BG18" s="49" t="s">
        <v>196</v>
      </c>
      <c r="BH18" s="49"/>
      <c r="BI18" s="52"/>
      <c r="BJ18" s="48"/>
      <c r="BK18" s="49"/>
      <c r="BL18" s="49" t="s">
        <v>319</v>
      </c>
      <c r="BM18" s="52" t="s">
        <v>416</v>
      </c>
      <c r="BN18" t="s">
        <v>379</v>
      </c>
      <c r="BO18" s="53" t="s">
        <v>410</v>
      </c>
    </row>
    <row r="19" spans="1:67" x14ac:dyDescent="0.15">
      <c r="A19" s="45">
        <v>957</v>
      </c>
      <c r="B19" s="55">
        <v>41094</v>
      </c>
      <c r="C19" s="47" t="s">
        <v>240</v>
      </c>
      <c r="D19" s="48" t="s">
        <v>241</v>
      </c>
      <c r="E19" s="48"/>
      <c r="F19" s="48" t="s">
        <v>242</v>
      </c>
      <c r="G19" s="54">
        <v>41181</v>
      </c>
      <c r="H19" s="49" t="s">
        <v>360</v>
      </c>
      <c r="I19" s="49" t="s">
        <v>219</v>
      </c>
      <c r="J19" s="49"/>
      <c r="K19" s="48" t="s">
        <v>325</v>
      </c>
      <c r="L19" s="48" t="s">
        <v>326</v>
      </c>
      <c r="M19" s="48">
        <v>70.55</v>
      </c>
      <c r="N19" s="48">
        <v>31.95</v>
      </c>
      <c r="O19" s="48" t="s">
        <v>364</v>
      </c>
      <c r="P19" s="50">
        <v>300</v>
      </c>
      <c r="Q19" s="48">
        <v>31.95</v>
      </c>
      <c r="R19" s="50">
        <v>1000</v>
      </c>
      <c r="S19" s="48">
        <v>37.450000000000003</v>
      </c>
      <c r="T19" s="50">
        <v>2500</v>
      </c>
      <c r="U19" s="48">
        <v>37.450000000000003</v>
      </c>
      <c r="V19" s="48"/>
      <c r="W19" s="48"/>
      <c r="X19" s="48"/>
      <c r="Y19" s="48"/>
      <c r="Z19" s="48"/>
      <c r="AA19" s="48"/>
      <c r="AB19" s="48"/>
      <c r="AC19" s="48"/>
      <c r="AD19" s="48"/>
      <c r="AE19" s="48">
        <v>16.100000000000001</v>
      </c>
      <c r="AF19" s="50"/>
      <c r="AG19" s="48"/>
      <c r="AH19" s="48"/>
      <c r="AI19" s="48"/>
      <c r="AJ19" s="48"/>
      <c r="AK19" s="48"/>
      <c r="AL19" s="48" t="s">
        <v>191</v>
      </c>
      <c r="AM19" s="49" t="s">
        <v>219</v>
      </c>
      <c r="AN19" s="49"/>
      <c r="AO19" s="49"/>
      <c r="AP19" s="51" t="s">
        <v>327</v>
      </c>
      <c r="AQ19" s="49">
        <v>7</v>
      </c>
      <c r="AR19" s="49" t="s">
        <v>219</v>
      </c>
      <c r="AS19" s="48"/>
      <c r="AT19" s="49">
        <v>0</v>
      </c>
      <c r="AU19" s="49">
        <v>0</v>
      </c>
      <c r="AV19" s="49">
        <v>0</v>
      </c>
      <c r="AW19" s="49">
        <v>20</v>
      </c>
      <c r="AX19" s="49">
        <v>0</v>
      </c>
      <c r="AY19" s="49">
        <v>0</v>
      </c>
      <c r="AZ19" s="49">
        <v>0</v>
      </c>
      <c r="BA19" s="49">
        <v>0</v>
      </c>
      <c r="BB19" s="49">
        <v>0</v>
      </c>
      <c r="BC19" s="49">
        <v>0</v>
      </c>
      <c r="BD19" s="49">
        <v>0</v>
      </c>
      <c r="BE19" s="49" t="s">
        <v>219</v>
      </c>
      <c r="BF19" s="49"/>
      <c r="BG19" s="49" t="s">
        <v>219</v>
      </c>
      <c r="BH19" s="49"/>
      <c r="BI19" s="48" t="s">
        <v>296</v>
      </c>
      <c r="BJ19" s="48"/>
      <c r="BK19" s="49"/>
      <c r="BL19" s="49" t="s">
        <v>362</v>
      </c>
      <c r="BM19" s="48"/>
      <c r="BN19" t="s">
        <v>194</v>
      </c>
      <c r="BO19" s="53" t="s">
        <v>289</v>
      </c>
    </row>
    <row r="20" spans="1:67" x14ac:dyDescent="0.15">
      <c r="A20" s="45">
        <v>959</v>
      </c>
      <c r="B20" s="55">
        <v>41135</v>
      </c>
      <c r="C20" s="47" t="s">
        <v>216</v>
      </c>
      <c r="D20" s="48" t="s">
        <v>217</v>
      </c>
      <c r="E20" s="48"/>
      <c r="F20" s="48" t="s">
        <v>218</v>
      </c>
      <c r="G20" s="46">
        <v>41121</v>
      </c>
      <c r="H20" s="49" t="s">
        <v>277</v>
      </c>
      <c r="I20" s="49" t="s">
        <v>278</v>
      </c>
      <c r="J20" s="49"/>
      <c r="K20" s="48" t="s">
        <v>267</v>
      </c>
      <c r="L20" s="48" t="s">
        <v>268</v>
      </c>
      <c r="M20" s="48">
        <v>78.45</v>
      </c>
      <c r="N20" s="48">
        <v>29.81</v>
      </c>
      <c r="O20" s="48" t="s">
        <v>269</v>
      </c>
      <c r="P20" s="50">
        <v>300</v>
      </c>
      <c r="Q20" s="48">
        <v>31.95</v>
      </c>
      <c r="R20" s="56">
        <v>1000</v>
      </c>
      <c r="S20" s="57">
        <v>34.979999999999997</v>
      </c>
      <c r="T20" s="56">
        <v>2500</v>
      </c>
      <c r="U20" s="57">
        <v>36.979999999999997</v>
      </c>
      <c r="V20" s="48"/>
      <c r="W20" s="48"/>
      <c r="X20" s="48"/>
      <c r="Y20" s="48"/>
      <c r="Z20" s="48"/>
      <c r="AA20" s="48"/>
      <c r="AB20" s="48"/>
      <c r="AC20" s="48"/>
      <c r="AD20" s="48"/>
      <c r="AE20" s="48">
        <v>15.99</v>
      </c>
      <c r="AF20" s="50"/>
      <c r="AG20" s="48"/>
      <c r="AH20" s="48"/>
      <c r="AI20" s="48"/>
      <c r="AJ20" s="48"/>
      <c r="AK20" s="48"/>
      <c r="AL20" s="48" t="s">
        <v>279</v>
      </c>
      <c r="AM20" s="49" t="s">
        <v>278</v>
      </c>
      <c r="AN20" s="49"/>
      <c r="AO20" s="49"/>
      <c r="AP20" s="51" t="s">
        <v>280</v>
      </c>
      <c r="AQ20" s="49">
        <v>8</v>
      </c>
      <c r="AR20" s="49" t="s">
        <v>278</v>
      </c>
      <c r="AS20" s="48"/>
      <c r="AT20" s="49">
        <v>0</v>
      </c>
      <c r="AU20" s="49">
        <v>0</v>
      </c>
      <c r="AV20" s="49">
        <v>7</v>
      </c>
      <c r="AW20" s="49">
        <v>0</v>
      </c>
      <c r="AX20" s="49">
        <v>0</v>
      </c>
      <c r="AY20" s="49">
        <v>0</v>
      </c>
      <c r="AZ20" s="49">
        <v>0</v>
      </c>
      <c r="BA20" s="49">
        <v>0</v>
      </c>
      <c r="BB20" s="49">
        <v>0</v>
      </c>
      <c r="BC20" s="49">
        <v>0</v>
      </c>
      <c r="BD20" s="49">
        <v>24</v>
      </c>
      <c r="BE20" s="49" t="s">
        <v>277</v>
      </c>
      <c r="BF20" s="49"/>
      <c r="BG20" s="49" t="s">
        <v>278</v>
      </c>
      <c r="BH20" s="49"/>
      <c r="BI20" s="48"/>
      <c r="BJ20" s="48"/>
      <c r="BK20" s="49"/>
      <c r="BL20" s="49" t="s">
        <v>281</v>
      </c>
      <c r="BM20" s="48" t="s">
        <v>274</v>
      </c>
      <c r="BN20" t="s">
        <v>275</v>
      </c>
      <c r="BO20" s="53" t="s">
        <v>276</v>
      </c>
    </row>
    <row r="21" spans="1:67" x14ac:dyDescent="0.15">
      <c r="A21" s="45">
        <v>961</v>
      </c>
      <c r="B21" s="55">
        <v>41094</v>
      </c>
      <c r="C21" s="47" t="s">
        <v>240</v>
      </c>
      <c r="D21" s="48" t="s">
        <v>241</v>
      </c>
      <c r="E21" s="48"/>
      <c r="F21" s="48" t="s">
        <v>242</v>
      </c>
      <c r="G21" s="54">
        <v>41055</v>
      </c>
      <c r="H21" s="49" t="s">
        <v>360</v>
      </c>
      <c r="I21" s="49" t="s">
        <v>219</v>
      </c>
      <c r="J21" s="49"/>
      <c r="K21" s="48" t="s">
        <v>197</v>
      </c>
      <c r="L21" s="48" t="s">
        <v>198</v>
      </c>
      <c r="M21" s="48">
        <v>70.55</v>
      </c>
      <c r="N21" s="48">
        <v>33.5</v>
      </c>
      <c r="O21" s="48" t="s">
        <v>359</v>
      </c>
      <c r="P21" s="50">
        <v>300</v>
      </c>
      <c r="Q21" s="48">
        <v>33.5</v>
      </c>
      <c r="R21" s="50">
        <v>1000</v>
      </c>
      <c r="S21" s="48">
        <v>38.75</v>
      </c>
      <c r="T21" s="50">
        <v>2500</v>
      </c>
      <c r="U21" s="48">
        <v>38.75</v>
      </c>
      <c r="V21" s="48"/>
      <c r="W21" s="48"/>
      <c r="X21" s="48"/>
      <c r="Y21" s="48"/>
      <c r="Z21" s="48"/>
      <c r="AA21" s="48"/>
      <c r="AB21" s="48"/>
      <c r="AC21" s="48"/>
      <c r="AD21" s="48"/>
      <c r="AE21" s="48">
        <v>16.2</v>
      </c>
      <c r="AF21" s="50"/>
      <c r="AG21" s="48"/>
      <c r="AH21" s="48"/>
      <c r="AI21" s="48"/>
      <c r="AJ21" s="48"/>
      <c r="AK21" s="48"/>
      <c r="AL21" s="48" t="s">
        <v>195</v>
      </c>
      <c r="AM21" s="49" t="s">
        <v>196</v>
      </c>
      <c r="AN21" s="49"/>
      <c r="AO21" s="49"/>
      <c r="AP21" s="51" t="s">
        <v>327</v>
      </c>
      <c r="AQ21" s="49">
        <v>7</v>
      </c>
      <c r="AR21" s="49" t="s">
        <v>361</v>
      </c>
      <c r="AS21" s="48"/>
      <c r="AT21" s="49">
        <v>0</v>
      </c>
      <c r="AU21" s="49">
        <v>0</v>
      </c>
      <c r="AV21" s="49">
        <v>0</v>
      </c>
      <c r="AW21" s="49">
        <v>25</v>
      </c>
      <c r="AX21" s="49">
        <v>0</v>
      </c>
      <c r="AY21" s="49">
        <v>0</v>
      </c>
      <c r="AZ21" s="49">
        <v>0</v>
      </c>
      <c r="BA21" s="49">
        <v>0</v>
      </c>
      <c r="BB21" s="49">
        <v>0</v>
      </c>
      <c r="BC21" s="49">
        <v>0</v>
      </c>
      <c r="BD21" s="49">
        <v>0</v>
      </c>
      <c r="BE21" s="49" t="s">
        <v>219</v>
      </c>
      <c r="BF21" s="49"/>
      <c r="BG21" s="49" t="s">
        <v>219</v>
      </c>
      <c r="BH21" s="49"/>
      <c r="BI21" s="48"/>
      <c r="BJ21" s="48"/>
      <c r="BK21" s="49"/>
      <c r="BL21" s="49" t="s">
        <v>362</v>
      </c>
      <c r="BM21" s="48"/>
      <c r="BN21" t="s">
        <v>228</v>
      </c>
      <c r="BO21" s="53" t="s">
        <v>289</v>
      </c>
    </row>
    <row r="22" spans="1:67" x14ac:dyDescent="0.15">
      <c r="A22" s="45">
        <v>966</v>
      </c>
      <c r="B22" s="55">
        <v>41135</v>
      </c>
      <c r="C22" s="47" t="s">
        <v>285</v>
      </c>
      <c r="D22" s="48" t="s">
        <v>286</v>
      </c>
      <c r="E22" s="48"/>
      <c r="F22" s="48" t="s">
        <v>287</v>
      </c>
      <c r="G22" s="46">
        <v>41117</v>
      </c>
      <c r="H22" s="49" t="s">
        <v>360</v>
      </c>
      <c r="I22" s="49" t="s">
        <v>181</v>
      </c>
      <c r="J22" s="49"/>
      <c r="K22" s="48" t="s">
        <v>332</v>
      </c>
      <c r="L22" s="48" t="s">
        <v>333</v>
      </c>
      <c r="M22" s="48">
        <v>79.89</v>
      </c>
      <c r="N22" s="48">
        <v>33.967399999999998</v>
      </c>
      <c r="O22" s="48" t="s">
        <v>269</v>
      </c>
      <c r="P22" s="50">
        <v>1000</v>
      </c>
      <c r="Q22" s="48">
        <v>39.173200000000001</v>
      </c>
      <c r="R22" s="56">
        <v>3500</v>
      </c>
      <c r="S22" s="57">
        <v>38.5</v>
      </c>
      <c r="T22" s="56">
        <v>3500</v>
      </c>
      <c r="U22" s="57">
        <v>38.5</v>
      </c>
      <c r="V22" s="48"/>
      <c r="W22" s="48"/>
      <c r="X22" s="50"/>
      <c r="Y22" s="48"/>
      <c r="Z22" s="50"/>
      <c r="AA22" s="48"/>
      <c r="AB22" s="50"/>
      <c r="AC22" s="48"/>
      <c r="AD22" s="48"/>
      <c r="AE22" s="48">
        <v>14.4869</v>
      </c>
      <c r="AF22" s="50"/>
      <c r="AG22" s="48"/>
      <c r="AH22" s="48"/>
      <c r="AI22" s="48"/>
      <c r="AJ22" s="48"/>
      <c r="AK22" s="48"/>
      <c r="AL22" s="48" t="s">
        <v>288</v>
      </c>
      <c r="AM22" s="49" t="s">
        <v>337</v>
      </c>
      <c r="AN22" s="49"/>
      <c r="AO22" s="49"/>
      <c r="AP22" s="51" t="s">
        <v>338</v>
      </c>
      <c r="AQ22" s="49">
        <v>8.1999999999999993</v>
      </c>
      <c r="AR22" s="49" t="s">
        <v>346</v>
      </c>
      <c r="AS22" s="48"/>
      <c r="AT22" s="49">
        <v>0</v>
      </c>
      <c r="AU22" s="49">
        <v>0</v>
      </c>
      <c r="AV22" s="49">
        <v>0</v>
      </c>
      <c r="AW22" s="49">
        <v>18</v>
      </c>
      <c r="AX22" s="49">
        <v>0</v>
      </c>
      <c r="AY22" s="49">
        <v>0</v>
      </c>
      <c r="AZ22" s="49">
        <v>0</v>
      </c>
      <c r="BA22" s="49">
        <v>2</v>
      </c>
      <c r="BB22" s="49">
        <v>0</v>
      </c>
      <c r="BC22" s="49">
        <v>0</v>
      </c>
      <c r="BD22" s="49">
        <v>0</v>
      </c>
      <c r="BE22" s="49" t="s">
        <v>337</v>
      </c>
      <c r="BF22" s="49">
        <v>12</v>
      </c>
      <c r="BG22" s="49" t="s">
        <v>337</v>
      </c>
      <c r="BH22" s="49"/>
      <c r="BI22" s="52"/>
      <c r="BJ22" s="52"/>
      <c r="BK22" s="49"/>
      <c r="BL22" s="49" t="s">
        <v>342</v>
      </c>
      <c r="BM22" s="48"/>
      <c r="BN22" t="s">
        <v>336</v>
      </c>
      <c r="BO22" s="53" t="s">
        <v>276</v>
      </c>
    </row>
    <row r="23" spans="1:67" x14ac:dyDescent="0.15">
      <c r="A23" s="45">
        <v>975</v>
      </c>
      <c r="B23" s="55">
        <v>41094</v>
      </c>
      <c r="C23" s="47" t="s">
        <v>240</v>
      </c>
      <c r="D23" s="48" t="s">
        <v>241</v>
      </c>
      <c r="E23" s="48"/>
      <c r="F23" s="48" t="s">
        <v>242</v>
      </c>
      <c r="G23" s="46">
        <v>41060</v>
      </c>
      <c r="H23" s="49" t="s">
        <v>360</v>
      </c>
      <c r="I23" s="49" t="s">
        <v>219</v>
      </c>
      <c r="J23" s="49"/>
      <c r="K23" s="48" t="s">
        <v>256</v>
      </c>
      <c r="L23" s="48" t="s">
        <v>315</v>
      </c>
      <c r="M23" s="48">
        <v>79.569999999999993</v>
      </c>
      <c r="N23" s="48">
        <v>30.97</v>
      </c>
      <c r="O23" s="48" t="s">
        <v>364</v>
      </c>
      <c r="P23" s="50">
        <v>1000</v>
      </c>
      <c r="Q23" s="48">
        <v>36.06</v>
      </c>
      <c r="R23" s="56">
        <v>1000</v>
      </c>
      <c r="S23" s="57">
        <v>36.06</v>
      </c>
      <c r="T23" s="56">
        <v>1000</v>
      </c>
      <c r="U23" s="57">
        <v>36.06</v>
      </c>
      <c r="V23" s="48"/>
      <c r="W23" s="48"/>
      <c r="X23" s="48"/>
      <c r="Y23" s="48"/>
      <c r="Z23" s="48"/>
      <c r="AA23" s="48"/>
      <c r="AB23" s="48"/>
      <c r="AC23" s="48"/>
      <c r="AD23" s="48"/>
      <c r="AE23" s="48">
        <v>15.4</v>
      </c>
      <c r="AF23" s="50"/>
      <c r="AG23" s="48"/>
      <c r="AH23" s="48"/>
      <c r="AI23" s="48"/>
      <c r="AJ23" s="48"/>
      <c r="AK23" s="48"/>
      <c r="AL23" s="48" t="s">
        <v>191</v>
      </c>
      <c r="AM23" s="49" t="s">
        <v>196</v>
      </c>
      <c r="AN23" s="49"/>
      <c r="AO23" s="49"/>
      <c r="AP23" s="51" t="s">
        <v>327</v>
      </c>
      <c r="AQ23" s="49">
        <v>7</v>
      </c>
      <c r="AR23" s="49" t="s">
        <v>219</v>
      </c>
      <c r="AS23" s="48"/>
      <c r="AT23" s="49">
        <v>0</v>
      </c>
      <c r="AU23" s="49">
        <v>0</v>
      </c>
      <c r="AV23" s="49">
        <v>12</v>
      </c>
      <c r="AW23" s="49">
        <v>0</v>
      </c>
      <c r="AX23" s="49">
        <v>0</v>
      </c>
      <c r="AY23" s="49">
        <v>0</v>
      </c>
      <c r="AZ23" s="49">
        <v>0</v>
      </c>
      <c r="BA23" s="49">
        <v>0</v>
      </c>
      <c r="BB23" s="49">
        <v>0</v>
      </c>
      <c r="BC23" s="49">
        <v>0</v>
      </c>
      <c r="BD23" s="49">
        <v>24</v>
      </c>
      <c r="BE23" s="49" t="s">
        <v>219</v>
      </c>
      <c r="BF23" s="49"/>
      <c r="BG23" s="49" t="s">
        <v>219</v>
      </c>
      <c r="BH23" s="49"/>
      <c r="BI23" s="48" t="s">
        <v>316</v>
      </c>
      <c r="BJ23" s="48"/>
      <c r="BK23" s="49"/>
      <c r="BL23" s="49" t="s">
        <v>362</v>
      </c>
      <c r="BM23" s="48"/>
      <c r="BN23" t="s">
        <v>317</v>
      </c>
      <c r="BO23" s="53" t="s">
        <v>239</v>
      </c>
    </row>
    <row r="24" spans="1:67" x14ac:dyDescent="0.15">
      <c r="A24" s="45">
        <v>985</v>
      </c>
      <c r="B24" s="55">
        <v>41136</v>
      </c>
      <c r="C24" s="47" t="s">
        <v>216</v>
      </c>
      <c r="D24" s="48" t="s">
        <v>217</v>
      </c>
      <c r="E24" s="48"/>
      <c r="F24" s="48" t="s">
        <v>218</v>
      </c>
      <c r="G24" s="46">
        <v>41121</v>
      </c>
      <c r="H24" s="49" t="s">
        <v>360</v>
      </c>
      <c r="I24" s="49" t="s">
        <v>181</v>
      </c>
      <c r="J24" s="49"/>
      <c r="K24" s="48" t="s">
        <v>418</v>
      </c>
      <c r="L24" s="48" t="s">
        <v>419</v>
      </c>
      <c r="M24" s="48">
        <v>75.14</v>
      </c>
      <c r="N24" s="48">
        <v>31.03</v>
      </c>
      <c r="O24" s="48" t="s">
        <v>269</v>
      </c>
      <c r="P24" s="50">
        <v>600</v>
      </c>
      <c r="Q24" s="48">
        <v>31.67</v>
      </c>
      <c r="R24" s="56">
        <v>600</v>
      </c>
      <c r="S24" s="57">
        <v>31.67</v>
      </c>
      <c r="T24" s="56">
        <v>600</v>
      </c>
      <c r="U24" s="57">
        <v>31.67</v>
      </c>
      <c r="V24" s="48"/>
      <c r="W24" s="48"/>
      <c r="X24" s="48"/>
      <c r="Y24" s="48"/>
      <c r="Z24" s="48"/>
      <c r="AA24" s="48"/>
      <c r="AB24" s="48"/>
      <c r="AC24" s="48"/>
      <c r="AD24" s="48"/>
      <c r="AE24" s="48">
        <v>21.06</v>
      </c>
      <c r="AF24" s="50"/>
      <c r="AG24" s="48"/>
      <c r="AH24" s="48"/>
      <c r="AI24" s="48"/>
      <c r="AJ24" s="48"/>
      <c r="AK24" s="48"/>
      <c r="AL24" s="48" t="s">
        <v>288</v>
      </c>
      <c r="AM24" s="49" t="s">
        <v>181</v>
      </c>
      <c r="AN24" s="49"/>
      <c r="AO24" s="49"/>
      <c r="AP24" s="51" t="s">
        <v>271</v>
      </c>
      <c r="AQ24" s="49">
        <v>6.8</v>
      </c>
      <c r="AR24" s="49" t="s">
        <v>181</v>
      </c>
      <c r="AS24" s="48"/>
      <c r="AT24" s="49">
        <v>0</v>
      </c>
      <c r="AU24" s="49">
        <v>0</v>
      </c>
      <c r="AV24" s="49">
        <v>0</v>
      </c>
      <c r="AW24" s="49">
        <v>0</v>
      </c>
      <c r="AX24" s="49">
        <v>0</v>
      </c>
      <c r="AY24" s="49">
        <v>0</v>
      </c>
      <c r="AZ24" s="49">
        <v>0</v>
      </c>
      <c r="BA24" s="49">
        <v>0</v>
      </c>
      <c r="BB24" s="49">
        <v>0</v>
      </c>
      <c r="BC24" s="49">
        <v>0</v>
      </c>
      <c r="BD24" s="49">
        <v>12</v>
      </c>
      <c r="BE24" s="49" t="s">
        <v>360</v>
      </c>
      <c r="BF24" s="49"/>
      <c r="BG24" s="49" t="s">
        <v>181</v>
      </c>
      <c r="BH24" s="49"/>
      <c r="BI24" s="48"/>
      <c r="BJ24" s="48"/>
      <c r="BK24" s="49"/>
      <c r="BL24" s="49" t="s">
        <v>179</v>
      </c>
      <c r="BM24" s="48"/>
      <c r="BN24" t="s">
        <v>420</v>
      </c>
      <c r="BO24" s="53" t="s">
        <v>276</v>
      </c>
    </row>
    <row r="25" spans="1:67" x14ac:dyDescent="0.15">
      <c r="A25" s="45">
        <v>2284</v>
      </c>
      <c r="B25" s="55">
        <v>41135</v>
      </c>
      <c r="C25" s="47" t="s">
        <v>216</v>
      </c>
      <c r="D25" s="48" t="s">
        <v>217</v>
      </c>
      <c r="E25" s="48"/>
      <c r="F25" s="48" t="s">
        <v>218</v>
      </c>
      <c r="G25" s="46">
        <v>41096</v>
      </c>
      <c r="H25" s="49" t="s">
        <v>427</v>
      </c>
      <c r="I25" s="49" t="s">
        <v>428</v>
      </c>
      <c r="J25" s="49"/>
      <c r="K25" s="48" t="s">
        <v>425</v>
      </c>
      <c r="L25" s="48" t="s">
        <v>426</v>
      </c>
      <c r="M25" s="48">
        <v>70.61</v>
      </c>
      <c r="N25" s="48">
        <v>31.32</v>
      </c>
      <c r="O25" s="48" t="s">
        <v>269</v>
      </c>
      <c r="P25" s="50">
        <v>1000</v>
      </c>
      <c r="Q25" s="48">
        <v>35.71</v>
      </c>
      <c r="R25" s="56">
        <v>1000</v>
      </c>
      <c r="S25" s="57">
        <v>35.71</v>
      </c>
      <c r="T25" s="56">
        <v>1000</v>
      </c>
      <c r="U25" s="57">
        <v>35.71</v>
      </c>
      <c r="V25" s="48"/>
      <c r="W25" s="48"/>
      <c r="X25" s="48"/>
      <c r="Y25" s="48"/>
      <c r="Z25" s="50"/>
      <c r="AA25" s="48"/>
      <c r="AB25" s="50"/>
      <c r="AC25" s="48"/>
      <c r="AD25" s="48"/>
      <c r="AE25" s="48">
        <v>15.2</v>
      </c>
      <c r="AF25" s="50"/>
      <c r="AG25" s="48"/>
      <c r="AH25" s="48"/>
      <c r="AI25" s="48"/>
      <c r="AJ25" s="48"/>
      <c r="AK25" s="48"/>
      <c r="AL25" s="48" t="s">
        <v>288</v>
      </c>
      <c r="AM25" s="49" t="s">
        <v>429</v>
      </c>
      <c r="AN25" s="49"/>
      <c r="AO25" s="49"/>
      <c r="AP25" s="51" t="s">
        <v>271</v>
      </c>
      <c r="AQ25" s="49">
        <v>6.8</v>
      </c>
      <c r="AR25" s="49" t="s">
        <v>430</v>
      </c>
      <c r="AS25" s="48"/>
      <c r="AT25" s="49">
        <v>0</v>
      </c>
      <c r="AU25" s="49">
        <v>0</v>
      </c>
      <c r="AV25" s="49">
        <v>0</v>
      </c>
      <c r="AW25" s="49">
        <v>16</v>
      </c>
      <c r="AX25" s="49">
        <v>0</v>
      </c>
      <c r="AY25" s="49">
        <v>0</v>
      </c>
      <c r="AZ25" s="49">
        <v>0</v>
      </c>
      <c r="BA25" s="49">
        <v>0</v>
      </c>
      <c r="BB25" s="49">
        <v>0</v>
      </c>
      <c r="BC25" s="49">
        <v>0</v>
      </c>
      <c r="BD25" s="49">
        <v>0</v>
      </c>
      <c r="BE25" s="49" t="s">
        <v>431</v>
      </c>
      <c r="BF25" s="49">
        <v>12</v>
      </c>
      <c r="BG25" s="49" t="s">
        <v>431</v>
      </c>
      <c r="BH25" s="49"/>
      <c r="BI25" s="52"/>
      <c r="BJ25" s="52"/>
      <c r="BK25" s="49"/>
      <c r="BL25" s="49" t="s">
        <v>432</v>
      </c>
      <c r="BM25" s="52"/>
      <c r="BN25" t="s">
        <v>435</v>
      </c>
      <c r="BO25" t="s">
        <v>276</v>
      </c>
    </row>
    <row r="26" spans="1:67" x14ac:dyDescent="0.15">
      <c r="A26" s="45">
        <v>1009</v>
      </c>
      <c r="B26" s="55">
        <v>41136</v>
      </c>
      <c r="C26" s="47" t="s">
        <v>285</v>
      </c>
      <c r="D26" s="48" t="s">
        <v>286</v>
      </c>
      <c r="E26" s="48"/>
      <c r="F26" s="48" t="s">
        <v>287</v>
      </c>
      <c r="G26" s="46">
        <v>41121</v>
      </c>
      <c r="H26" s="49" t="s">
        <v>360</v>
      </c>
      <c r="I26" s="49" t="s">
        <v>181</v>
      </c>
      <c r="J26" s="49"/>
      <c r="K26" s="48" t="s">
        <v>421</v>
      </c>
      <c r="L26" s="48" t="s">
        <v>422</v>
      </c>
      <c r="M26" s="48">
        <v>76.33</v>
      </c>
      <c r="N26" s="48">
        <v>31.16</v>
      </c>
      <c r="O26" s="48" t="s">
        <v>269</v>
      </c>
      <c r="P26" s="50">
        <v>1000</v>
      </c>
      <c r="Q26" s="48">
        <v>33.229999999999997</v>
      </c>
      <c r="R26" s="56">
        <v>1000</v>
      </c>
      <c r="S26" s="57">
        <v>33.229999999999997</v>
      </c>
      <c r="T26" s="56">
        <v>1000</v>
      </c>
      <c r="U26" s="57">
        <v>33.229999999999997</v>
      </c>
      <c r="V26" s="48"/>
      <c r="W26" s="48"/>
      <c r="X26" s="48"/>
      <c r="Y26" s="48"/>
      <c r="Z26" s="50"/>
      <c r="AA26" s="48"/>
      <c r="AB26" s="50"/>
      <c r="AC26" s="48"/>
      <c r="AD26" s="48"/>
      <c r="AE26" s="48">
        <v>16.5</v>
      </c>
      <c r="AF26" s="50"/>
      <c r="AG26" s="48"/>
      <c r="AH26" s="48"/>
      <c r="AI26" s="48"/>
      <c r="AJ26" s="48"/>
      <c r="AK26" s="48"/>
      <c r="AL26" s="48" t="s">
        <v>288</v>
      </c>
      <c r="AM26" s="49" t="s">
        <v>181</v>
      </c>
      <c r="AN26" s="49"/>
      <c r="AO26" s="49"/>
      <c r="AP26" s="51" t="s">
        <v>271</v>
      </c>
      <c r="AQ26" s="49">
        <v>6.8</v>
      </c>
      <c r="AR26" s="49" t="s">
        <v>180</v>
      </c>
      <c r="AS26" s="48"/>
      <c r="AT26" s="49">
        <v>0</v>
      </c>
      <c r="AU26" s="49">
        <v>0</v>
      </c>
      <c r="AV26" s="49">
        <v>0</v>
      </c>
      <c r="AW26" s="49">
        <v>18</v>
      </c>
      <c r="AX26" s="49">
        <v>0</v>
      </c>
      <c r="AY26" s="49">
        <v>0</v>
      </c>
      <c r="AZ26" s="49">
        <v>0</v>
      </c>
      <c r="BA26" s="49">
        <v>0</v>
      </c>
      <c r="BB26" s="49">
        <v>0</v>
      </c>
      <c r="BC26" s="49">
        <v>0</v>
      </c>
      <c r="BD26" s="49">
        <v>24</v>
      </c>
      <c r="BE26" s="49" t="s">
        <v>181</v>
      </c>
      <c r="BF26" s="49"/>
      <c r="BG26" s="49" t="s">
        <v>181</v>
      </c>
      <c r="BH26" s="49"/>
      <c r="BI26" s="48"/>
      <c r="BJ26" s="48"/>
      <c r="BK26" s="49"/>
      <c r="BL26" s="49" t="s">
        <v>179</v>
      </c>
      <c r="BM26" s="48"/>
      <c r="BN26" t="s">
        <v>135</v>
      </c>
      <c r="BO26" s="53" t="s">
        <v>276</v>
      </c>
    </row>
    <row r="27" spans="1:67" x14ac:dyDescent="0.15">
      <c r="A27" s="45">
        <v>2798</v>
      </c>
      <c r="B27" s="55">
        <v>41135</v>
      </c>
      <c r="C27" s="47" t="s">
        <v>174</v>
      </c>
      <c r="D27" s="48" t="s">
        <v>217</v>
      </c>
      <c r="E27" s="48"/>
      <c r="F27" s="48" t="s">
        <v>242</v>
      </c>
      <c r="G27" s="46">
        <v>40841</v>
      </c>
      <c r="H27" s="49" t="s">
        <v>199</v>
      </c>
      <c r="I27" s="49" t="s">
        <v>200</v>
      </c>
      <c r="J27" s="49"/>
      <c r="K27" s="48" t="s">
        <v>301</v>
      </c>
      <c r="L27" s="48" t="s">
        <v>302</v>
      </c>
      <c r="M27" s="48">
        <v>70.33</v>
      </c>
      <c r="N27" s="48">
        <v>28.8</v>
      </c>
      <c r="O27" s="48" t="s">
        <v>305</v>
      </c>
      <c r="P27" s="50">
        <v>300</v>
      </c>
      <c r="Q27" s="48">
        <v>33.39</v>
      </c>
      <c r="R27" s="50">
        <v>300</v>
      </c>
      <c r="S27" s="48">
        <v>33.39</v>
      </c>
      <c r="T27" s="50">
        <v>300</v>
      </c>
      <c r="U27" s="48">
        <v>33.39</v>
      </c>
      <c r="V27" s="48"/>
      <c r="W27" s="48"/>
      <c r="X27" s="50"/>
      <c r="Y27" s="48"/>
      <c r="Z27" s="50"/>
      <c r="AA27" s="48"/>
      <c r="AB27" s="48"/>
      <c r="AC27" s="48"/>
      <c r="AD27" s="48"/>
      <c r="AE27" s="48">
        <v>14.23</v>
      </c>
      <c r="AF27" s="50"/>
      <c r="AG27" s="48"/>
      <c r="AH27" s="48"/>
      <c r="AI27" s="48"/>
      <c r="AJ27" s="48"/>
      <c r="AK27" s="48"/>
      <c r="AL27" s="48" t="s">
        <v>411</v>
      </c>
      <c r="AM27" s="49" t="s">
        <v>196</v>
      </c>
      <c r="AN27" s="49"/>
      <c r="AO27" s="49"/>
      <c r="AP27" s="51" t="s">
        <v>412</v>
      </c>
      <c r="AQ27" s="49">
        <v>10</v>
      </c>
      <c r="AR27" s="49" t="s">
        <v>196</v>
      </c>
      <c r="AS27" s="48"/>
      <c r="AT27" s="49">
        <v>0</v>
      </c>
      <c r="AU27" s="49">
        <v>0</v>
      </c>
      <c r="AV27" s="49">
        <v>0</v>
      </c>
      <c r="AW27" s="49">
        <v>0</v>
      </c>
      <c r="AX27" s="49">
        <v>0</v>
      </c>
      <c r="AY27" s="49">
        <v>0</v>
      </c>
      <c r="AZ27" s="49">
        <v>0</v>
      </c>
      <c r="BA27" s="49">
        <v>0</v>
      </c>
      <c r="BB27" s="49">
        <v>0</v>
      </c>
      <c r="BC27" s="49">
        <v>0</v>
      </c>
      <c r="BD27" s="49">
        <v>0</v>
      </c>
      <c r="BE27" s="49" t="s">
        <v>196</v>
      </c>
      <c r="BF27" s="49"/>
      <c r="BG27" s="49" t="s">
        <v>196</v>
      </c>
      <c r="BH27" s="49"/>
      <c r="BI27" s="48"/>
      <c r="BJ27" s="48"/>
      <c r="BK27" s="49"/>
      <c r="BL27" s="49" t="s">
        <v>319</v>
      </c>
      <c r="BM27" s="48" t="s">
        <v>304</v>
      </c>
      <c r="BN27" t="s">
        <v>409</v>
      </c>
      <c r="BO27" t="s">
        <v>410</v>
      </c>
    </row>
    <row r="28" spans="1:67" x14ac:dyDescent="0.15">
      <c r="A28" s="45">
        <v>3491</v>
      </c>
      <c r="B28" s="55">
        <v>41137</v>
      </c>
      <c r="C28" s="47" t="s">
        <v>285</v>
      </c>
      <c r="D28" s="48" t="s">
        <v>286</v>
      </c>
      <c r="E28" s="48"/>
      <c r="F28" s="48" t="s">
        <v>287</v>
      </c>
      <c r="G28" s="46">
        <v>41046</v>
      </c>
      <c r="H28" s="49" t="s">
        <v>360</v>
      </c>
      <c r="I28" s="49" t="s">
        <v>181</v>
      </c>
      <c r="J28" s="49"/>
      <c r="K28" s="48" t="s">
        <v>313</v>
      </c>
      <c r="L28" s="48" t="s">
        <v>314</v>
      </c>
      <c r="M28" s="48">
        <v>63.39</v>
      </c>
      <c r="N28" s="48">
        <v>30.5</v>
      </c>
      <c r="O28" s="48" t="s">
        <v>269</v>
      </c>
      <c r="P28" s="50">
        <v>1000</v>
      </c>
      <c r="Q28" s="48">
        <v>34.1</v>
      </c>
      <c r="R28" s="56">
        <v>1000</v>
      </c>
      <c r="S28" s="57">
        <v>34.1</v>
      </c>
      <c r="T28" s="56">
        <v>1000</v>
      </c>
      <c r="U28" s="57">
        <v>34.1</v>
      </c>
      <c r="V28" s="48"/>
      <c r="W28" s="48"/>
      <c r="X28" s="48"/>
      <c r="Y28" s="48"/>
      <c r="Z28" s="48"/>
      <c r="AA28" s="48"/>
      <c r="AB28" s="48"/>
      <c r="AC28" s="48"/>
      <c r="AD28" s="48"/>
      <c r="AE28" s="48">
        <v>17.47</v>
      </c>
      <c r="AF28" s="50"/>
      <c r="AG28" s="48"/>
      <c r="AH28" s="48"/>
      <c r="AI28" s="48"/>
      <c r="AJ28" s="48"/>
      <c r="AK28" s="48"/>
      <c r="AL28" s="48" t="s">
        <v>288</v>
      </c>
      <c r="AM28" s="49" t="s">
        <v>181</v>
      </c>
      <c r="AN28" s="49"/>
      <c r="AO28" s="49"/>
      <c r="AP28" s="51" t="s">
        <v>271</v>
      </c>
      <c r="AQ28" s="49">
        <v>6.8</v>
      </c>
      <c r="AR28" s="49" t="s">
        <v>181</v>
      </c>
      <c r="AS28" s="48"/>
      <c r="AT28" s="49">
        <v>0</v>
      </c>
      <c r="AU28" s="49">
        <v>0</v>
      </c>
      <c r="AV28" s="49">
        <v>0</v>
      </c>
      <c r="AW28" s="49">
        <v>28</v>
      </c>
      <c r="AX28" s="49">
        <v>0</v>
      </c>
      <c r="AY28" s="49">
        <v>0</v>
      </c>
      <c r="AZ28" s="49">
        <v>0</v>
      </c>
      <c r="BA28" s="49">
        <v>0</v>
      </c>
      <c r="BB28" s="49">
        <v>0</v>
      </c>
      <c r="BC28" s="49">
        <v>0</v>
      </c>
      <c r="BD28" s="49">
        <v>24</v>
      </c>
      <c r="BE28" s="49" t="s">
        <v>360</v>
      </c>
      <c r="BF28" s="49"/>
      <c r="BG28" s="49" t="s">
        <v>181</v>
      </c>
      <c r="BH28" s="49"/>
      <c r="BI28" s="52"/>
      <c r="BJ28" s="48"/>
      <c r="BK28" s="49"/>
      <c r="BL28" s="49" t="s">
        <v>179</v>
      </c>
      <c r="BM28" s="48"/>
      <c r="BN28" t="s">
        <v>417</v>
      </c>
      <c r="BO28" s="53" t="s">
        <v>284</v>
      </c>
    </row>
    <row r="29" spans="1:67" x14ac:dyDescent="0.15">
      <c r="A29" s="45">
        <v>2540</v>
      </c>
      <c r="B29" s="55">
        <v>41090</v>
      </c>
      <c r="C29" s="47" t="s">
        <v>240</v>
      </c>
      <c r="D29" s="48" t="s">
        <v>241</v>
      </c>
      <c r="E29" s="48"/>
      <c r="F29" s="48" t="s">
        <v>242</v>
      </c>
      <c r="G29" s="46">
        <v>41090</v>
      </c>
      <c r="H29" s="49" t="s">
        <v>318</v>
      </c>
      <c r="I29" s="49" t="s">
        <v>196</v>
      </c>
      <c r="J29" s="49"/>
      <c r="K29" s="48" t="s">
        <v>363</v>
      </c>
      <c r="L29" s="48" t="s">
        <v>326</v>
      </c>
      <c r="M29" s="48">
        <v>70.61</v>
      </c>
      <c r="N29" s="48">
        <v>31.3</v>
      </c>
      <c r="O29" s="48" t="s">
        <v>185</v>
      </c>
      <c r="P29" s="50">
        <v>1000</v>
      </c>
      <c r="Q29" s="48">
        <v>35.299999999999997</v>
      </c>
      <c r="R29" s="56">
        <v>1000</v>
      </c>
      <c r="S29" s="57">
        <v>35.299999999999997</v>
      </c>
      <c r="T29" s="56">
        <v>1000</v>
      </c>
      <c r="U29" s="57">
        <v>35.299999999999997</v>
      </c>
      <c r="V29" s="48"/>
      <c r="W29" s="48"/>
      <c r="X29" s="48"/>
      <c r="Y29" s="48"/>
      <c r="Z29" s="48"/>
      <c r="AA29" s="48"/>
      <c r="AB29" s="48"/>
      <c r="AC29" s="48"/>
      <c r="AD29" s="48"/>
      <c r="AE29" s="48">
        <v>15.2</v>
      </c>
      <c r="AF29" s="50"/>
      <c r="AG29" s="48"/>
      <c r="AH29" s="48"/>
      <c r="AI29" s="48"/>
      <c r="AJ29" s="48"/>
      <c r="AK29" s="48"/>
      <c r="AL29" s="48" t="s">
        <v>191</v>
      </c>
      <c r="AM29" s="49" t="s">
        <v>196</v>
      </c>
      <c r="AN29" s="49"/>
      <c r="AO29" s="49"/>
      <c r="AP29" s="51" t="s">
        <v>327</v>
      </c>
      <c r="AQ29" s="49">
        <v>10</v>
      </c>
      <c r="AR29" s="49" t="s">
        <v>320</v>
      </c>
      <c r="AS29" s="48"/>
      <c r="AT29" s="49">
        <v>0</v>
      </c>
      <c r="AU29" s="49">
        <v>0</v>
      </c>
      <c r="AV29" s="49">
        <v>0</v>
      </c>
      <c r="AW29" s="49">
        <v>10</v>
      </c>
      <c r="AX29" s="49">
        <v>0</v>
      </c>
      <c r="AY29" s="49">
        <v>0</v>
      </c>
      <c r="AZ29" s="49">
        <v>0</v>
      </c>
      <c r="BA29" s="49">
        <v>0</v>
      </c>
      <c r="BB29" s="49">
        <v>0</v>
      </c>
      <c r="BC29" s="49">
        <v>0</v>
      </c>
      <c r="BD29" s="49">
        <v>0</v>
      </c>
      <c r="BE29" s="49" t="s">
        <v>196</v>
      </c>
      <c r="BF29" s="49">
        <v>36</v>
      </c>
      <c r="BG29" s="49" t="s">
        <v>196</v>
      </c>
      <c r="BH29" s="49"/>
      <c r="BI29" s="52"/>
      <c r="BJ29" s="48"/>
      <c r="BK29" s="49"/>
      <c r="BL29" s="49" t="s">
        <v>319</v>
      </c>
      <c r="BM29" s="48"/>
      <c r="BN29" t="s">
        <v>186</v>
      </c>
      <c r="BO29" t="s">
        <v>187</v>
      </c>
    </row>
  </sheetData>
  <sheetProtection algorithmName="SHA-512" hashValue="hIGebWqbEDKin+mr1bWJP/x/zAKRW60Qb0tHDoOuTlfM9hlgJ11jOPM9JnnOUuz64fNVRf0rNT+sSiXBaP2z8Q==" saltValue="72SSEZ10hx8wsW/6IabWiQ==" spinCount="100000" sheet="1" objects="1" scenarios="1"/>
  <sortState xmlns:xlrd2="http://schemas.microsoft.com/office/spreadsheetml/2017/richdata2" ref="A1:XFD1048576">
    <sortCondition descending="1" ref="F2:F1048576"/>
    <sortCondition ref="K2:K1048576"/>
  </sortState>
  <phoneticPr fontId="8"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D37C4-9FBE-0B45-B4B8-F40AB850E45F}">
  <sheetPr codeName="Sheet24"/>
  <dimension ref="A1:BMM622"/>
  <sheetViews>
    <sheetView zoomScale="90" zoomScaleNormal="90" workbookViewId="0">
      <selection activeCell="S1" sqref="S1:X1048576"/>
    </sheetView>
  </sheetViews>
  <sheetFormatPr baseColWidth="10" defaultRowHeight="14" x14ac:dyDescent="0.15"/>
  <cols>
    <col min="1" max="1" width="22" style="187" customWidth="1"/>
    <col min="2" max="2" width="26.33203125" style="187" customWidth="1"/>
    <col min="3" max="10" width="13.83203125" style="187" customWidth="1"/>
    <col min="11" max="12" width="13.83203125" style="187" hidden="1" customWidth="1"/>
    <col min="13" max="18" width="13.83203125" style="187" customWidth="1"/>
    <col min="19" max="24" width="13.83203125" style="187" hidden="1" customWidth="1"/>
    <col min="25" max="28" width="13.83203125" style="187" customWidth="1"/>
    <col min="29" max="1703" width="10.83203125" style="187"/>
    <col min="1704" max="16384" width="10.83203125" style="213"/>
  </cols>
  <sheetData>
    <row r="1" spans="1:46" s="187" customFormat="1" x14ac:dyDescent="0.15">
      <c r="A1" s="360" t="s">
        <v>340</v>
      </c>
      <c r="B1" s="360"/>
      <c r="C1" s="360"/>
      <c r="D1" s="360"/>
      <c r="E1" s="361"/>
      <c r="F1" s="361"/>
      <c r="G1" s="361"/>
      <c r="H1" s="361"/>
      <c r="I1" s="361"/>
      <c r="J1" s="361"/>
      <c r="K1" s="361">
        <v>3</v>
      </c>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row>
    <row r="2" spans="1:46" s="187" customFormat="1" x14ac:dyDescent="0.15">
      <c r="A2" s="362" t="s">
        <v>153</v>
      </c>
      <c r="B2" s="360"/>
      <c r="C2" s="360"/>
      <c r="D2" s="360"/>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row>
    <row r="3" spans="1:46" s="187" customFormat="1" x14ac:dyDescent="0.15">
      <c r="A3" s="362"/>
      <c r="B3" s="360"/>
      <c r="C3" s="360"/>
      <c r="D3" s="360"/>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row>
    <row r="4" spans="1:46" s="187" customFormat="1" x14ac:dyDescent="0.15">
      <c r="A4" s="331" t="s">
        <v>341</v>
      </c>
      <c r="B4" s="332"/>
      <c r="C4" s="175">
        <v>3</v>
      </c>
      <c r="D4" s="361"/>
      <c r="E4" s="329" t="s">
        <v>366</v>
      </c>
      <c r="F4" s="333">
        <f>IF(C4&lt;K1,(703),(1406))</f>
        <v>1406</v>
      </c>
      <c r="G4" s="331"/>
      <c r="H4" s="178" t="s">
        <v>367</v>
      </c>
      <c r="I4" s="179" t="s">
        <v>368</v>
      </c>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row>
    <row r="5" spans="1:46" s="187" customFormat="1" x14ac:dyDescent="0.15">
      <c r="A5" s="334" t="s">
        <v>369</v>
      </c>
      <c r="B5" s="335"/>
      <c r="C5" s="182">
        <v>1500</v>
      </c>
      <c r="D5" s="361"/>
      <c r="E5" s="329" t="s">
        <v>370</v>
      </c>
      <c r="F5" s="330">
        <f>C5-(F4-F6)</f>
        <v>892.60800000000006</v>
      </c>
      <c r="G5" s="334" t="s">
        <v>371</v>
      </c>
      <c r="H5" s="184">
        <f>F5*80/100</f>
        <v>714.08640000000003</v>
      </c>
      <c r="I5" s="185">
        <f>F5*20/100</f>
        <v>178.52160000000001</v>
      </c>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row>
    <row r="6" spans="1:46" s="187" customFormat="1" x14ac:dyDescent="0.15">
      <c r="A6" s="361"/>
      <c r="B6" s="361"/>
      <c r="C6" s="361"/>
      <c r="D6" s="361"/>
      <c r="E6" s="329" t="s">
        <v>372</v>
      </c>
      <c r="F6" s="330">
        <f>IF(C4&lt;K1,(F4*30.2/100),(F4*56.8/100))</f>
        <v>798.60800000000006</v>
      </c>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row>
    <row r="7" spans="1:46" s="187" customFormat="1" ht="15" thickBot="1" x14ac:dyDescent="0.2">
      <c r="A7" s="36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row>
    <row r="8" spans="1:46" s="187" customFormat="1" x14ac:dyDescent="0.15">
      <c r="A8" s="336" t="s">
        <v>356</v>
      </c>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268"/>
      <c r="AC8" s="361"/>
      <c r="AD8" s="361"/>
      <c r="AE8" s="361"/>
      <c r="AF8" s="361"/>
      <c r="AG8" s="361"/>
      <c r="AH8" s="361"/>
      <c r="AI8" s="361"/>
      <c r="AJ8" s="361"/>
      <c r="AK8" s="361"/>
      <c r="AL8" s="361"/>
      <c r="AM8" s="361"/>
      <c r="AN8" s="361"/>
      <c r="AO8" s="361"/>
      <c r="AP8" s="361"/>
      <c r="AQ8" s="361"/>
      <c r="AR8" s="361"/>
      <c r="AS8" s="361"/>
      <c r="AT8" s="361"/>
    </row>
    <row r="9" spans="1:46" s="187" customFormat="1" ht="90" x14ac:dyDescent="0.15">
      <c r="A9" s="271" t="s">
        <v>231</v>
      </c>
      <c r="B9" s="272" t="s">
        <v>243</v>
      </c>
      <c r="C9" s="279" t="s">
        <v>244</v>
      </c>
      <c r="D9" s="279" t="s">
        <v>227</v>
      </c>
      <c r="E9" s="279" t="s">
        <v>357</v>
      </c>
      <c r="F9" s="279" t="s">
        <v>358</v>
      </c>
      <c r="G9" s="279" t="s">
        <v>321</v>
      </c>
      <c r="H9" s="279" t="s">
        <v>328</v>
      </c>
      <c r="I9" s="279" t="s">
        <v>329</v>
      </c>
      <c r="J9" s="273" t="s">
        <v>799</v>
      </c>
      <c r="K9" s="280" t="s">
        <v>246</v>
      </c>
      <c r="L9" s="280" t="s">
        <v>247</v>
      </c>
      <c r="M9" s="274" t="s">
        <v>636</v>
      </c>
      <c r="N9" s="275" t="s">
        <v>249</v>
      </c>
      <c r="O9" s="275" t="s">
        <v>250</v>
      </c>
      <c r="P9" s="275" t="s">
        <v>251</v>
      </c>
      <c r="Q9" s="275" t="s">
        <v>365</v>
      </c>
      <c r="R9" s="276" t="s">
        <v>373</v>
      </c>
      <c r="S9" s="281" t="s">
        <v>637</v>
      </c>
      <c r="T9" s="281" t="s">
        <v>638</v>
      </c>
      <c r="U9" s="282" t="s">
        <v>255</v>
      </c>
      <c r="V9" s="282" t="s">
        <v>224</v>
      </c>
      <c r="W9" s="282" t="s">
        <v>374</v>
      </c>
      <c r="X9" s="282" t="s">
        <v>375</v>
      </c>
      <c r="Y9" s="276" t="s">
        <v>376</v>
      </c>
      <c r="Z9" s="276" t="s">
        <v>436</v>
      </c>
      <c r="AA9" s="275" t="s">
        <v>155</v>
      </c>
      <c r="AB9" s="277" t="s">
        <v>221</v>
      </c>
      <c r="AC9" s="361"/>
      <c r="AD9" s="361"/>
      <c r="AE9" s="361"/>
      <c r="AF9" s="361"/>
      <c r="AG9" s="361"/>
      <c r="AH9" s="361"/>
      <c r="AI9" s="361"/>
      <c r="AJ9" s="361"/>
      <c r="AK9" s="361"/>
      <c r="AL9" s="361"/>
      <c r="AM9" s="361"/>
      <c r="AN9" s="361"/>
      <c r="AO9" s="361"/>
      <c r="AP9" s="361"/>
      <c r="AQ9" s="361"/>
      <c r="AR9" s="361"/>
      <c r="AS9" s="361"/>
      <c r="AT9" s="361"/>
    </row>
    <row r="10" spans="1:46" s="187" customFormat="1" x14ac:dyDescent="0.15">
      <c r="A10" s="186" t="str">
        <f>'Tariff Jul 2023'!K2</f>
        <v>AGL</v>
      </c>
      <c r="B10" s="187" t="str">
        <f>'Tariff Jul 2023'!L2</f>
        <v>Solar Savers</v>
      </c>
      <c r="C10" s="188">
        <f>IF('Tariff Jul 2023'!BP2=0,91*'Tariff Jul 2023'!M2/100,(91*'Tariff Jul 2023'!M2/100)+'Tariff Jul 2023'!BP2/4)</f>
        <v>101.00999999999998</v>
      </c>
      <c r="D10" s="188">
        <f>IF('Tariff Jul 2023'!O2="",$F$5*'Tariff Jul 2023'!N2/100,IF($F$5&gt;='Tariff Jul 2023'!P2,('Tariff Jul 2023'!P2*'Tariff Jul 2023'!N2/100),($F$5*'Tariff Jul 2023'!N2/100)))</f>
        <v>379.60183854545454</v>
      </c>
      <c r="E10" s="188">
        <f>IF(AND('Tariff Jul 2023'!P2&gt;0,'Tariff Jul 2023'!R2&gt;0),IF($F$5&lt;'Tariff Jul 2023'!P2,0,IF($F$5&lt;=('Tariff Jul 2023'!R2+'Tariff Jul 2023'!P2),(($F$5-'Tariff Jul 2023'!P2)*'Tariff Jul 2023'!Q2/100),(('Tariff Jul 2023'!R2)*'Tariff Jul 2023'!Q2/100))),0)</f>
        <v>0</v>
      </c>
      <c r="F10" s="189">
        <f>IF(AND('Tariff Jul 2023'!Q2&gt;0,'Tariff Jul 2023'!S2&gt;0),IF($F$5&lt;('Tariff Jul 2023'!R2+'Tariff Jul 2023'!P2),0,IF($F$5&lt;=('Tariff Jul 2023'!T2+'Tariff Jul 2023'!R2+'Tariff Jul 2023'!P2),(($F$5-('Tariff Jul 2023'!R2+'Tariff Jul 2023'!P2))*'Tariff Jul 2023'!S2/100),('Tariff Jul 2023'!T2*'Tariff Jul 2023'!S2/100))),0)</f>
        <v>0</v>
      </c>
      <c r="G10" s="188">
        <v>0</v>
      </c>
      <c r="H10" s="188">
        <v>0</v>
      </c>
      <c r="I10" s="189">
        <f>IF('Tariff Jul 2023'!T2&gt;0,IF(($F$5&lt;'Tariff Jul 2023'!T2),(0),($F$5-'Tariff Jul 2023'!T2)*'Tariff Jul 2023'!U2/100),IF(AND('Tariff Jul 2023'!R2&gt;0,'Tariff Jul 2023'!T2=""),IF(($F$5&lt;'Tariff Jul 2023'!R2),(0),($F$5-'Tariff Jul 2023'!R2)*'Tariff Jul 2023'!S2/100),IF(AND('Tariff Jul 2023'!P2&gt;0,'Tariff Jul 2023'!R2=""),IF(($F$5&lt;'Tariff Jul 2023'!P2),(0),($F$5-'Tariff Jul 2023'!P2)*'Tariff Jul 2023'!Q2/100),0)))</f>
        <v>0</v>
      </c>
      <c r="J10" s="188">
        <f>SUM(C10:I10)</f>
        <v>480.61183854545453</v>
      </c>
      <c r="K10" s="283">
        <f>(J10-C10)*4</f>
        <v>1518.4073541818182</v>
      </c>
      <c r="L10" s="283">
        <f>J10*4</f>
        <v>1922.4473541818181</v>
      </c>
      <c r="M10" s="191">
        <f>L10*1.1</f>
        <v>2114.6920896000001</v>
      </c>
      <c r="N10" s="187">
        <f>'Tariff Jul 2023'!AZ2</f>
        <v>0</v>
      </c>
      <c r="O10" s="187">
        <f>'Tariff Jul 2023'!BA2</f>
        <v>0</v>
      </c>
      <c r="P10" s="187">
        <f>'Tariff Jul 2023'!BB2</f>
        <v>0</v>
      </c>
      <c r="Q10" s="187">
        <f>'Tariff Jul 2023'!BC2</f>
        <v>0</v>
      </c>
      <c r="R10" s="192">
        <f>($F$6*'Tariff Jul 2023'!AT2/100)*4</f>
        <v>319.44320000000005</v>
      </c>
      <c r="S10" s="193" t="str">
        <f t="shared" ref="S10:S22" si="0">IF(SUM(N10:Q10)=0,"No discount",IF(N10&gt;0,"Guaranteed off bill",IF(O10&gt;0,"Guaranteed off usage",IF(P10&gt;0,"Pay-on-time off bill","Pay-on-time off usage"))))</f>
        <v>No discount</v>
      </c>
      <c r="T10" s="193" t="str">
        <f t="shared" ref="T10:T22" si="1">IF(OR(A10="Origin Energy",A10="Red Energy",A10="Powershop"),"Inclusive","Exclusive")</f>
        <v>Exclusive</v>
      </c>
      <c r="U10" s="304">
        <f t="shared" ref="U10:U22" si="2">IF(AND(S10="Guaranteed off bill",T10="Inclusive"),((L10*1.1)-((L10*1.1)*N10/100))/1.1,IF(AND(S10="Guaranteed off usage",T10="Inclusive"),((L10*1.1)-((K10*1.1)*O10/100))/1.1,IF(AND(S10="Guaranteed off bill",T10="Exclusive"),L10-(L10*N10/100),IF(AND(S10="Guaranteed off usage",T10="Exclusive"),L10-(K10*O10/100),IF(T10="Inclusive",((L10*1.1))/1.1,L10)))))</f>
        <v>1922.4473541818181</v>
      </c>
      <c r="V10" s="283">
        <f t="shared" ref="V10:V22" si="3">IF(AND(S10="Pay-on-time off bill",T10="Inclusive"),((U10*1.1)-((U10*1.1)*P10/100))/1.1,IF(AND(S10="Pay-on-time off usage",T10="Inclusive"),((U10*1.1)-((K10*1.1)*Q10/100))/1.1,IF(AND(S10="Pay-on-time off bill",T10="Exclusive"),U10-(U10*P10/100),IF(AND(S10="Pay-on-time off usage",T10="Exclusive"),U10-(K10*Q10/100),IF(T10="Inclusive",((U10*1.1))/1.1,U10)))))</f>
        <v>1922.4473541818181</v>
      </c>
      <c r="W10" s="283">
        <f t="shared" ref="W10:W22" si="4">U10-R10</f>
        <v>1603.0041541818182</v>
      </c>
      <c r="X10" s="283">
        <f t="shared" ref="X10:X22" si="5">V10-R10</f>
        <v>1603.0041541818182</v>
      </c>
      <c r="Y10" s="285">
        <f t="shared" ref="Y10:Z22" si="6">W10*1.1</f>
        <v>1763.3045696000001</v>
      </c>
      <c r="Z10" s="285">
        <f t="shared" si="6"/>
        <v>1763.3045696000001</v>
      </c>
      <c r="AA10" s="194">
        <f>'Tariff Jul 2023'!AT2</f>
        <v>10</v>
      </c>
      <c r="AB10" s="196">
        <f>'Tariff Jul 2023'!G2</f>
        <v>43648</v>
      </c>
      <c r="AC10" s="361"/>
      <c r="AD10" s="361"/>
      <c r="AE10" s="361"/>
      <c r="AF10" s="361"/>
      <c r="AG10" s="361"/>
      <c r="AH10" s="361"/>
      <c r="AI10" s="361"/>
      <c r="AJ10" s="361"/>
      <c r="AK10" s="361"/>
      <c r="AL10" s="361"/>
      <c r="AM10" s="361"/>
      <c r="AN10" s="361"/>
      <c r="AO10" s="361"/>
      <c r="AP10" s="361"/>
      <c r="AQ10" s="361"/>
      <c r="AR10" s="361"/>
      <c r="AS10" s="361"/>
      <c r="AT10" s="361"/>
    </row>
    <row r="11" spans="1:46" s="187" customFormat="1" x14ac:dyDescent="0.15">
      <c r="A11" s="186" t="str">
        <f>'Tariff Jul 2023'!K3</f>
        <v>Alinta Energy</v>
      </c>
      <c r="B11" s="187" t="str">
        <f>'Tariff Jul 2023'!L3</f>
        <v>Home Deal</v>
      </c>
      <c r="C11" s="188">
        <f>IF('Tariff Jul 2023'!BP3=0,91*'Tariff Jul 2023'!M3/100,(91*'Tariff Jul 2023'!M3/100)+'Tariff Jul 2023'!BP3/4)</f>
        <v>84.208090909090899</v>
      </c>
      <c r="D11" s="188">
        <f>IF('Tariff Jul 2023'!O3="",$F$5*'Tariff Jul 2023'!N3/100,IF($F$5&gt;='Tariff Jul 2023'!P3,('Tariff Jul 2023'!P3*'Tariff Jul 2023'!N3/100),($F$5*'Tariff Jul 2023'!N3/100)))</f>
        <v>385.6066560000001</v>
      </c>
      <c r="E11" s="188">
        <f>IF(AND('Tariff Jul 2023'!P3&gt;0,'Tariff Jul 2023'!R3&gt;0),IF($F$5&lt;'Tariff Jul 2023'!P3,0,IF($F$5&lt;=('Tariff Jul 2023'!R3+'Tariff Jul 2023'!P3),(($F$5-'Tariff Jul 2023'!P3)*'Tariff Jul 2023'!Q3/100),(('Tariff Jul 2023'!R3)*'Tariff Jul 2023'!Q3/100))),0)</f>
        <v>0</v>
      </c>
      <c r="F11" s="189">
        <f>IF(AND('Tariff Jul 2023'!Q3&gt;0,'Tariff Jul 2023'!S3&gt;0),IF($F$5&lt;('Tariff Jul 2023'!R3+'Tariff Jul 2023'!P3),0,IF($F$5&lt;=('Tariff Jul 2023'!T3+'Tariff Jul 2023'!R3+'Tariff Jul 2023'!P3),(($F$5-('Tariff Jul 2023'!R3+'Tariff Jul 2023'!P3))*'Tariff Jul 2023'!S3/100),('Tariff Jul 2023'!T3*'Tariff Jul 2023'!S3/100))),0)</f>
        <v>0</v>
      </c>
      <c r="G11" s="188">
        <v>0</v>
      </c>
      <c r="H11" s="188">
        <v>0</v>
      </c>
      <c r="I11" s="189">
        <f>IF('Tariff Jul 2023'!T3&gt;0,IF(($F$5&lt;'Tariff Jul 2023'!T3),(0),($F$5-'Tariff Jul 2023'!T3)*'Tariff Jul 2023'!U3/100),IF(AND('Tariff Jul 2023'!R3&gt;0,'Tariff Jul 2023'!T3=""),IF(($F$5&lt;'Tariff Jul 2023'!R3),(0),($F$5-'Tariff Jul 2023'!R3)*'Tariff Jul 2023'!S3/100),IF(AND('Tariff Jul 2023'!P3&gt;0,'Tariff Jul 2023'!R3=""),IF(($F$5&lt;'Tariff Jul 2023'!P3),(0),($F$5-'Tariff Jul 2023'!P3)*'Tariff Jul 2023'!Q3/100),0)))</f>
        <v>0</v>
      </c>
      <c r="J11" s="188">
        <f t="shared" ref="J11:J22" si="7">SUM(C11:I11)</f>
        <v>469.81474690909101</v>
      </c>
      <c r="K11" s="283">
        <f>(J11-C11)*4</f>
        <v>1542.4266240000004</v>
      </c>
      <c r="L11" s="283">
        <f t="shared" ref="L11:L22" si="8">J11*4</f>
        <v>1879.2589876363641</v>
      </c>
      <c r="M11" s="191">
        <f t="shared" ref="M11:M22" si="9">L11*1.1</f>
        <v>2067.1848864000008</v>
      </c>
      <c r="N11" s="187">
        <f>'Tariff Jul 2023'!AZ3</f>
        <v>0</v>
      </c>
      <c r="O11" s="187">
        <f>'Tariff Jul 2023'!BA3</f>
        <v>0</v>
      </c>
      <c r="P11" s="187">
        <f>'Tariff Jul 2023'!BB3</f>
        <v>0</v>
      </c>
      <c r="Q11" s="187">
        <f>'Tariff Jul 2023'!BC3</f>
        <v>0</v>
      </c>
      <c r="R11" s="192">
        <f>($F$6*'Tariff Jul 2023'!AT3/100)*4</f>
        <v>255.55456000000001</v>
      </c>
      <c r="S11" s="193" t="str">
        <f t="shared" si="0"/>
        <v>No discount</v>
      </c>
      <c r="T11" s="193" t="str">
        <f t="shared" si="1"/>
        <v>Exclusive</v>
      </c>
      <c r="U11" s="304">
        <f t="shared" si="2"/>
        <v>1879.2589876363641</v>
      </c>
      <c r="V11" s="283">
        <f t="shared" si="3"/>
        <v>1879.2589876363641</v>
      </c>
      <c r="W11" s="283">
        <f t="shared" si="4"/>
        <v>1623.704427636364</v>
      </c>
      <c r="X11" s="283">
        <f t="shared" si="5"/>
        <v>1623.704427636364</v>
      </c>
      <c r="Y11" s="285">
        <f t="shared" si="6"/>
        <v>1786.0748704000005</v>
      </c>
      <c r="Z11" s="285">
        <f t="shared" si="6"/>
        <v>1786.0748704000005</v>
      </c>
      <c r="AA11" s="194">
        <f>'Tariff Jul 2023'!AT3</f>
        <v>8</v>
      </c>
      <c r="AB11" s="196">
        <f>'Tariff Jul 2023'!G3</f>
        <v>43646</v>
      </c>
      <c r="AC11" s="361"/>
      <c r="AD11" s="361"/>
      <c r="AE11" s="361"/>
      <c r="AF11" s="361"/>
      <c r="AG11" s="361"/>
      <c r="AH11" s="361"/>
      <c r="AI11" s="361"/>
      <c r="AJ11" s="361"/>
      <c r="AK11" s="361"/>
      <c r="AL11" s="361"/>
      <c r="AM11" s="361"/>
      <c r="AN11" s="361"/>
      <c r="AO11" s="361"/>
      <c r="AP11" s="361"/>
      <c r="AQ11" s="361"/>
      <c r="AR11" s="361"/>
      <c r="AS11" s="361"/>
      <c r="AT11" s="361"/>
    </row>
    <row r="12" spans="1:46" s="187" customFormat="1" x14ac:dyDescent="0.15">
      <c r="A12" s="186" t="str">
        <f>'Tariff Jul 2023'!K4</f>
        <v>Diamond Energy</v>
      </c>
      <c r="B12" s="187" t="str">
        <f>'Tariff Jul 2023'!L4</f>
        <v>Renewable Saver</v>
      </c>
      <c r="C12" s="188">
        <f>IF('Tariff Jul 2023'!BP4=0,91*'Tariff Jul 2023'!M4/100,(91*'Tariff Jul 2023'!M4/100)+'Tariff Jul 2023'!BP4/4)</f>
        <v>72.8</v>
      </c>
      <c r="D12" s="188">
        <f>IF('Tariff Jul 2023'!O4="",$F$5*'Tariff Jul 2023'!N4/100,IF($F$5&gt;='Tariff Jul 2023'!P4,('Tariff Jul 2023'!P4*'Tariff Jul 2023'!N4/100),($F$5*'Tariff Jul 2023'!N4/100)))</f>
        <v>128.99999999999997</v>
      </c>
      <c r="E12" s="188">
        <f>IF(AND('Tariff Jul 2023'!P4&gt;0,'Tariff Jul 2023'!R4&gt;0),IF($F$5&lt;'Tariff Jul 2023'!P4,0,IF($F$5&lt;=('Tariff Jul 2023'!R4+'Tariff Jul 2023'!P4),(($F$5-'Tariff Jul 2023'!P4)*'Tariff Jul 2023'!Q4/100),(('Tariff Jul 2023'!R4)*'Tariff Jul 2023'!Q4/100))),0)</f>
        <v>157.47210763636363</v>
      </c>
      <c r="F12" s="189">
        <f>IF(AND('Tariff Jul 2023'!Q4&gt;0,'Tariff Jul 2023'!S4&gt;0),IF($F$5&lt;('Tariff Jul 2023'!R4+'Tariff Jul 2023'!P4),0,IF($F$5&lt;=('Tariff Jul 2023'!T4+'Tariff Jul 2023'!R4+'Tariff Jul 2023'!P4),(($F$5-('Tariff Jul 2023'!R4+'Tariff Jul 2023'!P4))*'Tariff Jul 2023'!S4/100),('Tariff Jul 2023'!T4*'Tariff Jul 2023'!S4/100))),0)</f>
        <v>0</v>
      </c>
      <c r="G12" s="188">
        <v>0</v>
      </c>
      <c r="H12" s="188">
        <v>0</v>
      </c>
      <c r="I12" s="189">
        <f>IF('Tariff Jul 2023'!T4&gt;0,IF(($F$5&lt;'Tariff Jul 2023'!T4),(0),($F$5-'Tariff Jul 2023'!T4)*'Tariff Jul 2023'!U4/100),IF(AND('Tariff Jul 2023'!R4&gt;0,'Tariff Jul 2023'!T4=""),IF(($F$5&lt;'Tariff Jul 2023'!R4),(0),($F$5-'Tariff Jul 2023'!R4)*'Tariff Jul 2023'!S4/100),IF(AND('Tariff Jul 2023'!P4&gt;0,'Tariff Jul 2023'!R4=""),IF(($F$5&lt;'Tariff Jul 2023'!P4),(0),($F$5-'Tariff Jul 2023'!P4)*'Tariff Jul 2023'!Q4/100),0)))</f>
        <v>0</v>
      </c>
      <c r="J12" s="188">
        <f t="shared" si="7"/>
        <v>359.27210763636356</v>
      </c>
      <c r="K12" s="283">
        <f t="shared" ref="K12:K22" si="10">(J12-C12)*4</f>
        <v>1145.8884305454542</v>
      </c>
      <c r="L12" s="283">
        <f t="shared" si="8"/>
        <v>1437.0884305454542</v>
      </c>
      <c r="M12" s="191">
        <f t="shared" si="9"/>
        <v>1580.7972735999997</v>
      </c>
      <c r="N12" s="187">
        <f>'Tariff Jul 2023'!AZ4</f>
        <v>0</v>
      </c>
      <c r="O12" s="187">
        <f>'Tariff Jul 2023'!BA4</f>
        <v>0</v>
      </c>
      <c r="P12" s="187">
        <f>'Tariff Jul 2023'!BB4</f>
        <v>2</v>
      </c>
      <c r="Q12" s="187">
        <f>'Tariff Jul 2023'!BC4</f>
        <v>0</v>
      </c>
      <c r="R12" s="192">
        <f>($F$6*'Tariff Jul 2023'!AT4/100)*4</f>
        <v>166.11046400000004</v>
      </c>
      <c r="S12" s="193" t="str">
        <f t="shared" si="0"/>
        <v>Pay-on-time off bill</v>
      </c>
      <c r="T12" s="193" t="str">
        <f t="shared" si="1"/>
        <v>Exclusive</v>
      </c>
      <c r="U12" s="304">
        <f t="shared" si="2"/>
        <v>1437.0884305454542</v>
      </c>
      <c r="V12" s="283">
        <f t="shared" si="3"/>
        <v>1408.3466619345452</v>
      </c>
      <c r="W12" s="283">
        <f t="shared" si="4"/>
        <v>1270.9779665454541</v>
      </c>
      <c r="X12" s="283">
        <f t="shared" si="5"/>
        <v>1242.2361979345451</v>
      </c>
      <c r="Y12" s="285">
        <f t="shared" si="6"/>
        <v>1398.0757631999998</v>
      </c>
      <c r="Z12" s="285">
        <f t="shared" si="6"/>
        <v>1366.4598177279997</v>
      </c>
      <c r="AA12" s="194">
        <f>'Tariff Jul 2023'!AT4</f>
        <v>5.2</v>
      </c>
      <c r="AB12" s="196">
        <f>'Tariff Jul 2023'!G4</f>
        <v>43646</v>
      </c>
      <c r="AC12" s="361"/>
      <c r="AD12" s="361"/>
      <c r="AE12" s="361"/>
      <c r="AF12" s="361"/>
      <c r="AG12" s="361"/>
      <c r="AH12" s="361"/>
      <c r="AI12" s="361"/>
      <c r="AJ12" s="361"/>
      <c r="AK12" s="361"/>
      <c r="AL12" s="361"/>
      <c r="AM12" s="361"/>
      <c r="AN12" s="361"/>
      <c r="AO12" s="361"/>
      <c r="AP12" s="361"/>
      <c r="AQ12" s="361"/>
      <c r="AR12" s="361"/>
      <c r="AS12" s="361"/>
      <c r="AT12" s="361"/>
    </row>
    <row r="13" spans="1:46" s="187" customFormat="1" x14ac:dyDescent="0.15">
      <c r="A13" s="186" t="str">
        <f>'Tariff Jul 2023'!K5</f>
        <v>EnergyAustralia</v>
      </c>
      <c r="B13" s="187" t="str">
        <f>'Tariff Jul 2023'!L5</f>
        <v>Solar Max</v>
      </c>
      <c r="C13" s="188">
        <f>IF('Tariff Jul 2023'!BP5=0,91*'Tariff Jul 2023'!M5/100,(91*'Tariff Jul 2023'!M5/100)+'Tariff Jul 2023'!BP5/4)</f>
        <v>86.449999999999989</v>
      </c>
      <c r="D13" s="188">
        <f>IF('Tariff Jul 2023'!O5="",$F$5*'Tariff Jul 2023'!N5/100,IF($F$5&gt;='Tariff Jul 2023'!P5,('Tariff Jul 2023'!P5*'Tariff Jul 2023'!N5/100),($F$5*'Tariff Jul 2023'!N5/100)))</f>
        <v>383.65914763636363</v>
      </c>
      <c r="E13" s="188">
        <f>IF(AND('Tariff Jul 2023'!P5&gt;0,'Tariff Jul 2023'!R5&gt;0),IF($F$5&lt;'Tariff Jul 2023'!P5,0,IF($F$5&lt;=('Tariff Jul 2023'!R5+'Tariff Jul 2023'!P5),(($F$5-'Tariff Jul 2023'!P5)*'Tariff Jul 2023'!Q5/100),(('Tariff Jul 2023'!R5)*'Tariff Jul 2023'!Q5/100))),0)</f>
        <v>0</v>
      </c>
      <c r="F13" s="189">
        <f>IF(AND('Tariff Jul 2023'!Q5&gt;0,'Tariff Jul 2023'!S5&gt;0),IF($F$5&lt;('Tariff Jul 2023'!R5+'Tariff Jul 2023'!P5),0,IF($F$5&lt;=('Tariff Jul 2023'!T5+'Tariff Jul 2023'!R5+'Tariff Jul 2023'!P5),(($F$5-('Tariff Jul 2023'!R5+'Tariff Jul 2023'!P5))*'Tariff Jul 2023'!S5/100),('Tariff Jul 2023'!T5*'Tariff Jul 2023'!S5/100))),0)</f>
        <v>0</v>
      </c>
      <c r="G13" s="188">
        <v>0</v>
      </c>
      <c r="H13" s="188">
        <v>0</v>
      </c>
      <c r="I13" s="189">
        <f>IF('Tariff Jul 2023'!T5&gt;0,IF(($F$5&lt;'Tariff Jul 2023'!T5),(0),($F$5-'Tariff Jul 2023'!T5)*'Tariff Jul 2023'!U5/100),IF(AND('Tariff Jul 2023'!R5&gt;0,'Tariff Jul 2023'!T5=""),IF(($F$5&lt;'Tariff Jul 2023'!R5),(0),($F$5-'Tariff Jul 2023'!R5)*'Tariff Jul 2023'!S5/100),IF(AND('Tariff Jul 2023'!P5&gt;0,'Tariff Jul 2023'!R5=""),IF(($F$5&lt;'Tariff Jul 2023'!P5),(0),($F$5-'Tariff Jul 2023'!P5)*'Tariff Jul 2023'!Q5/100),0)))</f>
        <v>0</v>
      </c>
      <c r="J13" s="188">
        <f t="shared" si="7"/>
        <v>470.10914763636362</v>
      </c>
      <c r="K13" s="283">
        <f t="shared" si="10"/>
        <v>1534.6365905454545</v>
      </c>
      <c r="L13" s="283">
        <f t="shared" si="8"/>
        <v>1880.4365905454545</v>
      </c>
      <c r="M13" s="191">
        <f t="shared" si="9"/>
        <v>2068.4802496000002</v>
      </c>
      <c r="N13" s="187">
        <f>'Tariff Jul 2023'!AZ5</f>
        <v>0</v>
      </c>
      <c r="O13" s="187">
        <f>'Tariff Jul 2023'!BA5</f>
        <v>0</v>
      </c>
      <c r="P13" s="187">
        <f>'Tariff Jul 2023'!BB5</f>
        <v>0</v>
      </c>
      <c r="Q13" s="187">
        <f>'Tariff Jul 2023'!BC5</f>
        <v>0</v>
      </c>
      <c r="R13" s="192">
        <f>($F$6*'Tariff Jul 2023'!AT5/100)*4</f>
        <v>479.16480000000001</v>
      </c>
      <c r="S13" s="193" t="str">
        <f t="shared" si="0"/>
        <v>No discount</v>
      </c>
      <c r="T13" s="193" t="str">
        <f t="shared" si="1"/>
        <v>Exclusive</v>
      </c>
      <c r="U13" s="304">
        <f t="shared" si="2"/>
        <v>1880.4365905454545</v>
      </c>
      <c r="V13" s="283">
        <f t="shared" si="3"/>
        <v>1880.4365905454545</v>
      </c>
      <c r="W13" s="283">
        <f t="shared" si="4"/>
        <v>1401.2717905454545</v>
      </c>
      <c r="X13" s="283">
        <f t="shared" si="5"/>
        <v>1401.2717905454545</v>
      </c>
      <c r="Y13" s="285">
        <f t="shared" si="6"/>
        <v>1541.3989696000001</v>
      </c>
      <c r="Z13" s="285">
        <f t="shared" si="6"/>
        <v>1541.3989696000001</v>
      </c>
      <c r="AA13" s="194">
        <f>'Tariff Jul 2023'!AT5</f>
        <v>15</v>
      </c>
      <c r="AB13" s="196">
        <f>'Tariff Jul 2023'!G5</f>
        <v>43646</v>
      </c>
      <c r="AC13" s="361"/>
      <c r="AD13" s="361"/>
      <c r="AE13" s="361"/>
      <c r="AF13" s="361"/>
      <c r="AG13" s="361"/>
      <c r="AH13" s="361"/>
      <c r="AI13" s="361"/>
      <c r="AJ13" s="361"/>
      <c r="AK13" s="361"/>
      <c r="AL13" s="361"/>
      <c r="AM13" s="361"/>
      <c r="AN13" s="361"/>
      <c r="AO13" s="361"/>
      <c r="AP13" s="361"/>
      <c r="AQ13" s="361"/>
      <c r="AR13" s="361"/>
      <c r="AS13" s="361"/>
      <c r="AT13" s="361"/>
    </row>
    <row r="14" spans="1:46" s="187" customFormat="1" x14ac:dyDescent="0.15">
      <c r="A14" s="186" t="str">
        <f>'Tariff Jul 2023'!K6</f>
        <v>Lumo Energy</v>
      </c>
      <c r="B14" s="187" t="str">
        <f>'Tariff Jul 2023'!L6</f>
        <v>Plus</v>
      </c>
      <c r="C14" s="188">
        <f>IF('Tariff Jul 2023'!BP6=0,91*'Tariff Jul 2023'!M6/100,(91*'Tariff Jul 2023'!M6/100)+'Tariff Jul 2023'!BP6/4)</f>
        <v>76.580636363636344</v>
      </c>
      <c r="D14" s="188">
        <f>IF('Tariff Jul 2023'!O6="",$F$5*'Tariff Jul 2023'!N6/100,IF($F$5&gt;='Tariff Jul 2023'!P6,('Tariff Jul 2023'!P6*'Tariff Jul 2023'!N6/100),($F$5*'Tariff Jul 2023'!N6/100)))</f>
        <v>294.39834763636361</v>
      </c>
      <c r="E14" s="188">
        <f>IF(AND('Tariff Jul 2023'!P6&gt;0,'Tariff Jul 2023'!R6&gt;0),IF($F$5&lt;'Tariff Jul 2023'!P6,0,IF($F$5&lt;=('Tariff Jul 2023'!R6+'Tariff Jul 2023'!P6),(($F$5-'Tariff Jul 2023'!P6)*'Tariff Jul 2023'!Q6/100),(('Tariff Jul 2023'!R6)*'Tariff Jul 2023'!Q6/100))),0)</f>
        <v>0</v>
      </c>
      <c r="F14" s="189">
        <f>IF(AND('Tariff Jul 2023'!Q6&gt;0,'Tariff Jul 2023'!S6&gt;0),IF($F$5&lt;('Tariff Jul 2023'!R6+'Tariff Jul 2023'!P6),0,IF($F$5&lt;=('Tariff Jul 2023'!T6+'Tariff Jul 2023'!R6+'Tariff Jul 2023'!P6),(($F$5-('Tariff Jul 2023'!R6+'Tariff Jul 2023'!P6))*'Tariff Jul 2023'!S6/100),('Tariff Jul 2023'!T6*'Tariff Jul 2023'!S6/100))),0)</f>
        <v>0</v>
      </c>
      <c r="G14" s="188">
        <v>0</v>
      </c>
      <c r="H14" s="188">
        <v>0</v>
      </c>
      <c r="I14" s="189">
        <f>IF('Tariff Jul 2023'!T6&gt;0,IF(($F$5&lt;'Tariff Jul 2023'!T6),(0),($F$5-'Tariff Jul 2023'!T6)*'Tariff Jul 2023'!U6/100),IF(AND('Tariff Jul 2023'!R6&gt;0,'Tariff Jul 2023'!T6=""),IF(($F$5&lt;'Tariff Jul 2023'!R6),(0),($F$5-'Tariff Jul 2023'!R6)*'Tariff Jul 2023'!S6/100),IF(AND('Tariff Jul 2023'!P6&gt;0,'Tariff Jul 2023'!R6=""),IF(($F$5&lt;'Tariff Jul 2023'!P6),(0),($F$5-'Tariff Jul 2023'!P6)*'Tariff Jul 2023'!Q6/100),0)))</f>
        <v>0</v>
      </c>
      <c r="J14" s="188">
        <f t="shared" si="7"/>
        <v>370.97898399999997</v>
      </c>
      <c r="K14" s="283">
        <f t="shared" si="10"/>
        <v>1177.5933905454544</v>
      </c>
      <c r="L14" s="283">
        <f t="shared" si="8"/>
        <v>1483.9159359999999</v>
      </c>
      <c r="M14" s="191">
        <f t="shared" si="9"/>
        <v>1632.3075296</v>
      </c>
      <c r="N14" s="187">
        <f>'Tariff Jul 2023'!AZ6</f>
        <v>0</v>
      </c>
      <c r="O14" s="187">
        <f>'Tariff Jul 2023'!BA6</f>
        <v>0</v>
      </c>
      <c r="P14" s="187">
        <f>'Tariff Jul 2023'!BB6</f>
        <v>0</v>
      </c>
      <c r="Q14" s="187">
        <f>'Tariff Jul 2023'!BC6</f>
        <v>0</v>
      </c>
      <c r="R14" s="192">
        <f>($F$6*'Tariff Jul 2023'!AT6/100)*4</f>
        <v>95.83296</v>
      </c>
      <c r="S14" s="193" t="str">
        <f t="shared" si="0"/>
        <v>No discount</v>
      </c>
      <c r="T14" s="193" t="str">
        <f t="shared" si="1"/>
        <v>Exclusive</v>
      </c>
      <c r="U14" s="304">
        <f t="shared" si="2"/>
        <v>1483.9159359999999</v>
      </c>
      <c r="V14" s="283">
        <f t="shared" si="3"/>
        <v>1483.9159359999999</v>
      </c>
      <c r="W14" s="283">
        <f t="shared" si="4"/>
        <v>1388.0829759999999</v>
      </c>
      <c r="X14" s="283">
        <f t="shared" si="5"/>
        <v>1388.0829759999999</v>
      </c>
      <c r="Y14" s="285">
        <f t="shared" si="6"/>
        <v>1526.8912736</v>
      </c>
      <c r="Z14" s="285">
        <f t="shared" si="6"/>
        <v>1526.8912736</v>
      </c>
      <c r="AA14" s="194">
        <f>'Tariff Jul 2023'!AT6</f>
        <v>3</v>
      </c>
      <c r="AB14" s="196">
        <f>'Tariff Jul 2023'!G6</f>
        <v>43646</v>
      </c>
      <c r="AC14" s="361"/>
      <c r="AD14" s="361"/>
      <c r="AE14" s="361"/>
      <c r="AF14" s="361"/>
      <c r="AG14" s="361"/>
      <c r="AH14" s="361"/>
      <c r="AI14" s="361"/>
      <c r="AJ14" s="361"/>
      <c r="AK14" s="361"/>
      <c r="AL14" s="361"/>
      <c r="AM14" s="361"/>
      <c r="AN14" s="361"/>
      <c r="AO14" s="361"/>
      <c r="AP14" s="361"/>
      <c r="AQ14" s="361"/>
      <c r="AR14" s="361"/>
      <c r="AS14" s="361"/>
      <c r="AT14" s="361"/>
    </row>
    <row r="15" spans="1:46" s="187" customFormat="1" x14ac:dyDescent="0.15">
      <c r="A15" s="186" t="str">
        <f>'Tariff Jul 2023'!K7</f>
        <v>Origin Energy</v>
      </c>
      <c r="B15" s="187" t="str">
        <f>'Tariff Jul 2023'!L7</f>
        <v>Solar Boost</v>
      </c>
      <c r="C15" s="188">
        <f>IF('Tariff Jul 2023'!BP7=0,91*'Tariff Jul 2023'!M7/100,(91*'Tariff Jul 2023'!M7/100)+'Tariff Jul 2023'!BP7/4)</f>
        <v>89.899727272727262</v>
      </c>
      <c r="D15" s="188">
        <f>IF('Tariff Jul 2023'!O7="",$F$5*'Tariff Jul 2023'!N7/100,IF($F$5&gt;='Tariff Jul 2023'!P7,('Tariff Jul 2023'!P7*'Tariff Jul 2023'!N7/100),($F$5*'Tariff Jul 2023'!N7/100)))</f>
        <v>380.49444654545454</v>
      </c>
      <c r="E15" s="188">
        <f>IF(AND('Tariff Jul 2023'!P7&gt;0,'Tariff Jul 2023'!R7&gt;0),IF($F$5&lt;'Tariff Jul 2023'!P7,0,IF($F$5&lt;=('Tariff Jul 2023'!R7+'Tariff Jul 2023'!P7),(($F$5-'Tariff Jul 2023'!P7)*'Tariff Jul 2023'!Q7/100),(('Tariff Jul 2023'!R7)*'Tariff Jul 2023'!Q7/100))),0)</f>
        <v>0</v>
      </c>
      <c r="F15" s="189">
        <f>IF(AND('Tariff Jul 2023'!Q7&gt;0,'Tariff Jul 2023'!S7&gt;0),IF($F$5&lt;('Tariff Jul 2023'!R7+'Tariff Jul 2023'!P7),0,IF($F$5&lt;=('Tariff Jul 2023'!T7+'Tariff Jul 2023'!R7+'Tariff Jul 2023'!P7),(($F$5-('Tariff Jul 2023'!R7+'Tariff Jul 2023'!P7))*'Tariff Jul 2023'!S7/100),('Tariff Jul 2023'!T7*'Tariff Jul 2023'!S7/100))),0)</f>
        <v>0</v>
      </c>
      <c r="G15" s="188">
        <v>0</v>
      </c>
      <c r="H15" s="188">
        <v>0</v>
      </c>
      <c r="I15" s="189">
        <f>IF('Tariff Jul 2023'!T7&gt;0,IF(($F$5&lt;'Tariff Jul 2023'!T7),(0),($F$5-'Tariff Jul 2023'!T7)*'Tariff Jul 2023'!U7/100),IF(AND('Tariff Jul 2023'!R7&gt;0,'Tariff Jul 2023'!T7=""),IF(($F$5&lt;'Tariff Jul 2023'!R7),(0),($F$5-'Tariff Jul 2023'!R7)*'Tariff Jul 2023'!S7/100),IF(AND('Tariff Jul 2023'!P7&gt;0,'Tariff Jul 2023'!R7=""),IF(($F$5&lt;'Tariff Jul 2023'!P7),(0),($F$5-'Tariff Jul 2023'!P7)*'Tariff Jul 2023'!Q7/100),0)))</f>
        <v>0</v>
      </c>
      <c r="J15" s="188">
        <f t="shared" si="7"/>
        <v>470.3941738181818</v>
      </c>
      <c r="K15" s="283">
        <f t="shared" si="10"/>
        <v>1521.9777861818181</v>
      </c>
      <c r="L15" s="283">
        <f t="shared" si="8"/>
        <v>1881.5766952727272</v>
      </c>
      <c r="M15" s="191">
        <f t="shared" si="9"/>
        <v>2069.7343648000001</v>
      </c>
      <c r="N15" s="187">
        <f>'Tariff Jul 2023'!AZ7</f>
        <v>0</v>
      </c>
      <c r="O15" s="187">
        <f>'Tariff Jul 2023'!BA7</f>
        <v>0</v>
      </c>
      <c r="P15" s="187">
        <f>'Tariff Jul 2023'!BB7</f>
        <v>0</v>
      </c>
      <c r="Q15" s="187">
        <f>'Tariff Jul 2023'!BC7</f>
        <v>0</v>
      </c>
      <c r="R15" s="192">
        <f>($F$6*'Tariff Jul 2023'!AT7/100)*4</f>
        <v>383.33184</v>
      </c>
      <c r="S15" s="193" t="str">
        <f t="shared" si="0"/>
        <v>No discount</v>
      </c>
      <c r="T15" s="193" t="str">
        <f t="shared" si="1"/>
        <v>Inclusive</v>
      </c>
      <c r="U15" s="304">
        <f t="shared" si="2"/>
        <v>1881.5766952727272</v>
      </c>
      <c r="V15" s="283">
        <f t="shared" si="3"/>
        <v>1881.5766952727272</v>
      </c>
      <c r="W15" s="283">
        <f t="shared" si="4"/>
        <v>1498.2448552727271</v>
      </c>
      <c r="X15" s="283">
        <f t="shared" si="5"/>
        <v>1498.2448552727271</v>
      </c>
      <c r="Y15" s="285">
        <f t="shared" si="6"/>
        <v>1648.0693408</v>
      </c>
      <c r="Z15" s="285">
        <f t="shared" si="6"/>
        <v>1648.0693408</v>
      </c>
      <c r="AA15" s="194">
        <f>'Tariff Jul 2023'!AT7</f>
        <v>12</v>
      </c>
      <c r="AB15" s="196">
        <f>'Tariff Jul 2023'!G7</f>
        <v>43287</v>
      </c>
      <c r="AC15" s="361"/>
      <c r="AD15" s="361"/>
      <c r="AE15" s="361"/>
      <c r="AF15" s="361"/>
      <c r="AG15" s="361"/>
      <c r="AH15" s="361"/>
      <c r="AI15" s="361"/>
      <c r="AJ15" s="361"/>
      <c r="AK15" s="361"/>
      <c r="AL15" s="361"/>
      <c r="AM15" s="361"/>
      <c r="AN15" s="361"/>
      <c r="AO15" s="361"/>
      <c r="AP15" s="361"/>
      <c r="AQ15" s="361"/>
      <c r="AR15" s="361"/>
      <c r="AS15" s="361"/>
      <c r="AT15" s="361"/>
    </row>
    <row r="16" spans="1:46" s="187" customFormat="1" x14ac:dyDescent="0.15">
      <c r="A16" s="186" t="str">
        <f>'Tariff Jul 2023'!K8</f>
        <v>Red Energy</v>
      </c>
      <c r="B16" s="187" t="str">
        <f>'Tariff Jul 2023'!L8</f>
        <v>Living Energy Saver</v>
      </c>
      <c r="C16" s="188">
        <f>IF('Tariff Jul 2023'!BP8=0,91*'Tariff Jul 2023'!M8/100,(91*'Tariff Jul 2023'!M8/100)+'Tariff Jul 2023'!BP8/4)</f>
        <v>77.349999999999994</v>
      </c>
      <c r="D16" s="188">
        <f>IF('Tariff Jul 2023'!O8="",$F$5*'Tariff Jul 2023'!N8/100,IF($F$5&gt;='Tariff Jul 2023'!P8,('Tariff Jul 2023'!P8*'Tariff Jul 2023'!N8/100),($F$5*'Tariff Jul 2023'!N8/100)))</f>
        <v>301.29577309090911</v>
      </c>
      <c r="E16" s="188">
        <f>IF(AND('Tariff Jul 2023'!P8&gt;0,'Tariff Jul 2023'!R8&gt;0),IF($F$5&lt;'Tariff Jul 2023'!P8,0,IF($F$5&lt;=('Tariff Jul 2023'!R8+'Tariff Jul 2023'!P8),(($F$5-'Tariff Jul 2023'!P8)*'Tariff Jul 2023'!Q8/100),(('Tariff Jul 2023'!R8)*'Tariff Jul 2023'!Q8/100))),0)</f>
        <v>0</v>
      </c>
      <c r="F16" s="189">
        <f>IF(AND('Tariff Jul 2023'!Q8&gt;0,'Tariff Jul 2023'!S8&gt;0),IF($F$5&lt;('Tariff Jul 2023'!R8+'Tariff Jul 2023'!P8),0,IF($F$5&lt;=('Tariff Jul 2023'!T8+'Tariff Jul 2023'!R8+'Tariff Jul 2023'!P8),(($F$5-('Tariff Jul 2023'!R8+'Tariff Jul 2023'!P8))*'Tariff Jul 2023'!S8/100),('Tariff Jul 2023'!T8*'Tariff Jul 2023'!S8/100))),0)</f>
        <v>0</v>
      </c>
      <c r="G16" s="188">
        <v>0</v>
      </c>
      <c r="H16" s="188">
        <v>0</v>
      </c>
      <c r="I16" s="189">
        <f>IF('Tariff Jul 2023'!T8&gt;0,IF(($F$5&lt;'Tariff Jul 2023'!T8),(0),($F$5-'Tariff Jul 2023'!T8)*'Tariff Jul 2023'!U8/100),IF(AND('Tariff Jul 2023'!R8&gt;0,'Tariff Jul 2023'!T8=""),IF(($F$5&lt;'Tariff Jul 2023'!R8),(0),($F$5-'Tariff Jul 2023'!R8)*'Tariff Jul 2023'!S8/100),IF(AND('Tariff Jul 2023'!P8&gt;0,'Tariff Jul 2023'!R8=""),IF(($F$5&lt;'Tariff Jul 2023'!P8),(0),($F$5-'Tariff Jul 2023'!P8)*'Tariff Jul 2023'!Q8/100),0)))</f>
        <v>0</v>
      </c>
      <c r="J16" s="188">
        <f t="shared" si="7"/>
        <v>378.64577309090907</v>
      </c>
      <c r="K16" s="283">
        <f t="shared" si="10"/>
        <v>1205.1830923636362</v>
      </c>
      <c r="L16" s="283">
        <f t="shared" si="8"/>
        <v>1514.5830923636363</v>
      </c>
      <c r="M16" s="191">
        <f t="shared" si="9"/>
        <v>1666.0414016</v>
      </c>
      <c r="N16" s="187">
        <f>'Tariff Jul 2023'!AZ8</f>
        <v>0</v>
      </c>
      <c r="O16" s="187">
        <f>'Tariff Jul 2023'!BA8</f>
        <v>0</v>
      </c>
      <c r="P16" s="187">
        <f>'Tariff Jul 2023'!BB8</f>
        <v>0</v>
      </c>
      <c r="Q16" s="187">
        <f>'Tariff Jul 2023'!BC8</f>
        <v>0</v>
      </c>
      <c r="R16" s="192">
        <f>($F$6*'Tariff Jul 2023'!AT8/100)*4</f>
        <v>95.83296</v>
      </c>
      <c r="S16" s="193" t="str">
        <f t="shared" si="0"/>
        <v>No discount</v>
      </c>
      <c r="T16" s="193" t="str">
        <f t="shared" si="1"/>
        <v>Inclusive</v>
      </c>
      <c r="U16" s="304">
        <f t="shared" si="2"/>
        <v>1514.5830923636363</v>
      </c>
      <c r="V16" s="283">
        <f t="shared" si="3"/>
        <v>1514.5830923636363</v>
      </c>
      <c r="W16" s="283">
        <f t="shared" si="4"/>
        <v>1418.7501323636363</v>
      </c>
      <c r="X16" s="283">
        <f t="shared" si="5"/>
        <v>1418.7501323636363</v>
      </c>
      <c r="Y16" s="285">
        <f t="shared" si="6"/>
        <v>1560.6251456</v>
      </c>
      <c r="Z16" s="285">
        <f t="shared" si="6"/>
        <v>1560.6251456</v>
      </c>
      <c r="AA16" s="194">
        <f>'Tariff Jul 2023'!AT8</f>
        <v>3</v>
      </c>
      <c r="AB16" s="196">
        <f>'Tariff Jul 2023'!G8</f>
        <v>43646</v>
      </c>
      <c r="AC16" s="361"/>
      <c r="AD16" s="361"/>
      <c r="AE16" s="361"/>
      <c r="AF16" s="361"/>
      <c r="AG16" s="361"/>
      <c r="AH16" s="361"/>
      <c r="AI16" s="361"/>
      <c r="AJ16" s="361"/>
      <c r="AK16" s="361"/>
      <c r="AL16" s="361"/>
      <c r="AM16" s="361"/>
      <c r="AN16" s="361"/>
      <c r="AO16" s="361"/>
      <c r="AP16" s="361"/>
      <c r="AQ16" s="361"/>
      <c r="AR16" s="361"/>
      <c r="AS16" s="361"/>
      <c r="AT16" s="361"/>
    </row>
    <row r="17" spans="1:46" s="187" customFormat="1" x14ac:dyDescent="0.15">
      <c r="A17" s="186" t="str">
        <f>'Tariff Jul 2023'!K9</f>
        <v>Energy Locals</v>
      </c>
      <c r="B17" s="187" t="str">
        <f>'Tariff Jul 2023'!L9</f>
        <v>Online Member</v>
      </c>
      <c r="C17" s="188">
        <f>IF('Tariff Jul 2023'!BP9=0,91*'Tariff Jul 2023'!M9/100,(91*'Tariff Jul 2023'!M9/100)+'Tariff Jul 2023'!BP9/4)</f>
        <v>87.013636363636351</v>
      </c>
      <c r="D17" s="188">
        <f>IF('Tariff Jul 2023'!O9="",$F$5*'Tariff Jul 2023'!N9/100,IF($F$5&gt;='Tariff Jul 2023'!P9,('Tariff Jul 2023'!P9*'Tariff Jul 2023'!N9/100),($F$5*'Tariff Jul 2023'!N9/100)))</f>
        <v>344.87127272727275</v>
      </c>
      <c r="E17" s="188">
        <f>IF(AND('Tariff Jul 2023'!P9&gt;0,'Tariff Jul 2023'!R9&gt;0),IF($F$5&lt;'Tariff Jul 2023'!P9,0,IF($F$5&lt;=('Tariff Jul 2023'!R9+'Tariff Jul 2023'!P9),(($F$5-'Tariff Jul 2023'!P9)*'Tariff Jul 2023'!Q9/100),(('Tariff Jul 2023'!R9)*'Tariff Jul 2023'!Q9/100))),0)</f>
        <v>0</v>
      </c>
      <c r="F17" s="189">
        <f>IF(AND('Tariff Jul 2023'!Q9&gt;0,'Tariff Jul 2023'!S9&gt;0),IF($F$5&lt;('Tariff Jul 2023'!R9+'Tariff Jul 2023'!P9),0,IF($F$5&lt;=('Tariff Jul 2023'!T9+'Tariff Jul 2023'!R9+'Tariff Jul 2023'!P9),(($F$5-('Tariff Jul 2023'!R9+'Tariff Jul 2023'!P9))*'Tariff Jul 2023'!S9/100),('Tariff Jul 2023'!T9*'Tariff Jul 2023'!S9/100))),0)</f>
        <v>0</v>
      </c>
      <c r="G17" s="188">
        <v>0</v>
      </c>
      <c r="H17" s="188">
        <v>0</v>
      </c>
      <c r="I17" s="189">
        <f>IF('Tariff Jul 2023'!T9&gt;0,IF(($F$5&lt;'Tariff Jul 2023'!T9),(0),($F$5-'Tariff Jul 2023'!T9)*'Tariff Jul 2023'!U9/100),IF(AND('Tariff Jul 2023'!R9&gt;0,'Tariff Jul 2023'!T9=""),IF(($F$5&lt;'Tariff Jul 2023'!R9),(0),($F$5-'Tariff Jul 2023'!R9)*'Tariff Jul 2023'!S9/100),IF(AND('Tariff Jul 2023'!P9&gt;0,'Tariff Jul 2023'!R9=""),IF(($F$5&lt;'Tariff Jul 2023'!P9),(0),($F$5-'Tariff Jul 2023'!P9)*'Tariff Jul 2023'!Q9/100),0)))</f>
        <v>0</v>
      </c>
      <c r="J17" s="188">
        <f t="shared" si="7"/>
        <v>431.8849090909091</v>
      </c>
      <c r="K17" s="283">
        <f t="shared" si="10"/>
        <v>1379.485090909091</v>
      </c>
      <c r="L17" s="283">
        <f t="shared" si="8"/>
        <v>1727.5396363636364</v>
      </c>
      <c r="M17" s="191">
        <f t="shared" si="9"/>
        <v>1900.2936000000002</v>
      </c>
      <c r="N17" s="187">
        <f>'Tariff Jul 2023'!AZ9</f>
        <v>0</v>
      </c>
      <c r="O17" s="187">
        <f>'Tariff Jul 2023'!BA9</f>
        <v>0</v>
      </c>
      <c r="P17" s="187">
        <f>'Tariff Jul 2023'!BB9</f>
        <v>0</v>
      </c>
      <c r="Q17" s="187">
        <f>'Tariff Jul 2023'!BC9</f>
        <v>0</v>
      </c>
      <c r="R17" s="192">
        <f>($F$6*'Tariff Jul 2023'!AT9/100)*4</f>
        <v>303.47104000000002</v>
      </c>
      <c r="S17" s="193" t="str">
        <f t="shared" si="0"/>
        <v>No discount</v>
      </c>
      <c r="T17" s="193" t="str">
        <f t="shared" si="1"/>
        <v>Exclusive</v>
      </c>
      <c r="U17" s="304">
        <f t="shared" si="2"/>
        <v>1727.5396363636364</v>
      </c>
      <c r="V17" s="283">
        <f t="shared" si="3"/>
        <v>1727.5396363636364</v>
      </c>
      <c r="W17" s="283">
        <f t="shared" si="4"/>
        <v>1424.0685963636365</v>
      </c>
      <c r="X17" s="283">
        <f t="shared" si="5"/>
        <v>1424.0685963636365</v>
      </c>
      <c r="Y17" s="285">
        <f t="shared" si="6"/>
        <v>1566.4754560000003</v>
      </c>
      <c r="Z17" s="285">
        <f t="shared" si="6"/>
        <v>1566.4754560000003</v>
      </c>
      <c r="AA17" s="194">
        <f>'Tariff Jul 2023'!AT9</f>
        <v>9.5</v>
      </c>
      <c r="AB17" s="196">
        <f>'Tariff Jul 2023'!G9</f>
        <v>43646</v>
      </c>
      <c r="AC17" s="361"/>
      <c r="AD17" s="361"/>
      <c r="AE17" s="361"/>
      <c r="AF17" s="361"/>
      <c r="AG17" s="361"/>
      <c r="AH17" s="361"/>
      <c r="AI17" s="361"/>
      <c r="AJ17" s="361"/>
      <c r="AK17" s="361"/>
      <c r="AL17" s="361"/>
      <c r="AM17" s="361"/>
      <c r="AN17" s="361"/>
      <c r="AO17" s="361"/>
      <c r="AP17" s="361"/>
      <c r="AQ17" s="361"/>
      <c r="AR17" s="361"/>
      <c r="AS17" s="361"/>
      <c r="AT17" s="361"/>
    </row>
    <row r="18" spans="1:46" s="187" customFormat="1" x14ac:dyDescent="0.15">
      <c r="A18" s="186" t="str">
        <f>'Tariff Jul 2023'!K10</f>
        <v>Simply Energy</v>
      </c>
      <c r="B18" s="187" t="str">
        <f>'Tariff Jul 2023'!L10</f>
        <v>Solar</v>
      </c>
      <c r="C18" s="188">
        <f>IF('Tariff Jul 2023'!BP10=0,91*'Tariff Jul 2023'!M10/100,(91*'Tariff Jul 2023'!M10/100)+'Tariff Jul 2023'!BP10/4)</f>
        <v>99.909727272727267</v>
      </c>
      <c r="D18" s="188">
        <f>IF('Tariff Jul 2023'!O10="",$F$5*'Tariff Jul 2023'!N10/100,IF($F$5&gt;='Tariff Jul 2023'!P10,('Tariff Jul 2023'!P10*'Tariff Jul 2023'!N10/100),($F$5*'Tariff Jul 2023'!N10/100)))</f>
        <v>371.56836654545458</v>
      </c>
      <c r="E18" s="188">
        <f>IF(AND('Tariff Jul 2023'!P10&gt;0,'Tariff Jul 2023'!R10&gt;0),IF($F$5&lt;'Tariff Jul 2023'!P10,0,IF($F$5&lt;=('Tariff Jul 2023'!R10+'Tariff Jul 2023'!P10),(($F$5-'Tariff Jul 2023'!P10)*'Tariff Jul 2023'!Q10/100),(('Tariff Jul 2023'!R10)*'Tariff Jul 2023'!Q10/100))),0)</f>
        <v>0</v>
      </c>
      <c r="F18" s="189">
        <f>IF(AND('Tariff Jul 2023'!Q10&gt;0,'Tariff Jul 2023'!S10&gt;0),IF($F$5&lt;('Tariff Jul 2023'!R10+'Tariff Jul 2023'!P10),0,IF($F$5&lt;=('Tariff Jul 2023'!T10+'Tariff Jul 2023'!R10+'Tariff Jul 2023'!P10),(($F$5-('Tariff Jul 2023'!R10+'Tariff Jul 2023'!P10))*'Tariff Jul 2023'!S10/100),('Tariff Jul 2023'!T10*'Tariff Jul 2023'!S10/100))),0)</f>
        <v>0</v>
      </c>
      <c r="G18" s="188">
        <v>0</v>
      </c>
      <c r="H18" s="188">
        <v>0</v>
      </c>
      <c r="I18" s="189">
        <f>IF('Tariff Jul 2023'!T10&gt;0,IF(($F$5&lt;'Tariff Jul 2023'!T10),(0),($F$5-'Tariff Jul 2023'!T10)*'Tariff Jul 2023'!U10/100),IF(AND('Tariff Jul 2023'!R10&gt;0,'Tariff Jul 2023'!T10=""),IF(($F$5&lt;'Tariff Jul 2023'!R10),(0),($F$5-'Tariff Jul 2023'!R10)*'Tariff Jul 2023'!S10/100),IF(AND('Tariff Jul 2023'!P10&gt;0,'Tariff Jul 2023'!R10=""),IF(($F$5&lt;'Tariff Jul 2023'!P10),(0),($F$5-'Tariff Jul 2023'!P10)*'Tariff Jul 2023'!Q10/100),0)))</f>
        <v>0</v>
      </c>
      <c r="J18" s="188">
        <f t="shared" si="7"/>
        <v>471.47809381818183</v>
      </c>
      <c r="K18" s="283">
        <f t="shared" si="10"/>
        <v>1486.2734661818183</v>
      </c>
      <c r="L18" s="283">
        <f t="shared" si="8"/>
        <v>1885.9123752727273</v>
      </c>
      <c r="M18" s="191">
        <f t="shared" si="9"/>
        <v>2074.5036128000002</v>
      </c>
      <c r="N18" s="187">
        <f>'Tariff Jul 2023'!AZ10</f>
        <v>0</v>
      </c>
      <c r="O18" s="187">
        <f>'Tariff Jul 2023'!BA10</f>
        <v>0</v>
      </c>
      <c r="P18" s="187">
        <f>'Tariff Jul 2023'!BB10</f>
        <v>0</v>
      </c>
      <c r="Q18" s="187">
        <f>'Tariff Jul 2023'!BC10</f>
        <v>0</v>
      </c>
      <c r="R18" s="192">
        <f>($F$6*'Tariff Jul 2023'!AT10/100)*4</f>
        <v>255.55456000000001</v>
      </c>
      <c r="S18" s="193" t="str">
        <f t="shared" si="0"/>
        <v>No discount</v>
      </c>
      <c r="T18" s="193" t="str">
        <f t="shared" si="1"/>
        <v>Exclusive</v>
      </c>
      <c r="U18" s="304">
        <f t="shared" si="2"/>
        <v>1885.9123752727273</v>
      </c>
      <c r="V18" s="283">
        <f t="shared" si="3"/>
        <v>1885.9123752727273</v>
      </c>
      <c r="W18" s="283">
        <f t="shared" si="4"/>
        <v>1630.3578152727273</v>
      </c>
      <c r="X18" s="283">
        <f t="shared" si="5"/>
        <v>1630.3578152727273</v>
      </c>
      <c r="Y18" s="285">
        <f t="shared" si="6"/>
        <v>1793.3935968000001</v>
      </c>
      <c r="Z18" s="285">
        <f t="shared" si="6"/>
        <v>1793.3935968000001</v>
      </c>
      <c r="AA18" s="194">
        <f>'Tariff Jul 2023'!AT10</f>
        <v>8</v>
      </c>
      <c r="AB18" s="196">
        <f>'Tariff Jul 2023'!G10</f>
        <v>43646</v>
      </c>
      <c r="AC18" s="361"/>
      <c r="AD18" s="361"/>
      <c r="AE18" s="361"/>
      <c r="AF18" s="361"/>
      <c r="AG18" s="361"/>
      <c r="AH18" s="361"/>
      <c r="AI18" s="361"/>
      <c r="AJ18" s="361"/>
      <c r="AK18" s="361"/>
      <c r="AL18" s="361"/>
      <c r="AM18" s="361"/>
      <c r="AN18" s="361"/>
      <c r="AO18" s="361"/>
      <c r="AP18" s="361"/>
      <c r="AQ18" s="361"/>
      <c r="AR18" s="361"/>
      <c r="AS18" s="361"/>
      <c r="AT18" s="361"/>
    </row>
    <row r="19" spans="1:46" s="187" customFormat="1" x14ac:dyDescent="0.15">
      <c r="A19" s="186" t="str">
        <f>'Tariff Jul 2023'!K11</f>
        <v>Powershop</v>
      </c>
      <c r="B19" s="187" t="str">
        <f>'Tariff Jul 2023'!L11</f>
        <v>Carbon neutral</v>
      </c>
      <c r="C19" s="188">
        <f>IF('Tariff Jul 2023'!BP11=0,91*'Tariff Jul 2023'!M11/100,(91*'Tariff Jul 2023'!M11/100)+'Tariff Jul 2023'!BP11/4)</f>
        <v>121.63390909090909</v>
      </c>
      <c r="D19" s="188">
        <f>IF('Tariff Jul 2023'!O11="",$F$5*'Tariff Jul 2023'!N11/100,IF($F$5&gt;='Tariff Jul 2023'!P11,('Tariff Jul 2023'!P11*'Tariff Jul 2023'!N11/100),($F$5*'Tariff Jul 2023'!N11/100)))</f>
        <v>333.99768436363638</v>
      </c>
      <c r="E19" s="188">
        <f>IF(AND('Tariff Jul 2023'!P11&gt;0,'Tariff Jul 2023'!R11&gt;0),IF($F$5&lt;'Tariff Jul 2023'!P11,0,IF($F$5&lt;=('Tariff Jul 2023'!R11+'Tariff Jul 2023'!P11),(($F$5-'Tariff Jul 2023'!P11)*'Tariff Jul 2023'!Q11/100),(('Tariff Jul 2023'!R11)*'Tariff Jul 2023'!Q11/100))),0)</f>
        <v>0</v>
      </c>
      <c r="F19" s="189">
        <f>IF(AND('Tariff Jul 2023'!Q11&gt;0,'Tariff Jul 2023'!S11&gt;0),IF($F$5&lt;('Tariff Jul 2023'!R11+'Tariff Jul 2023'!P11),0,IF($F$5&lt;=('Tariff Jul 2023'!T11+'Tariff Jul 2023'!R11+'Tariff Jul 2023'!P11),(($F$5-('Tariff Jul 2023'!R11+'Tariff Jul 2023'!P11))*'Tariff Jul 2023'!S11/100),('Tariff Jul 2023'!T11*'Tariff Jul 2023'!S11/100))),0)</f>
        <v>0</v>
      </c>
      <c r="G19" s="188">
        <v>0</v>
      </c>
      <c r="H19" s="188">
        <v>0</v>
      </c>
      <c r="I19" s="189">
        <f>IF('Tariff Jul 2023'!T11&gt;0,IF(($F$5&lt;'Tariff Jul 2023'!T11),(0),($F$5-'Tariff Jul 2023'!T11)*'Tariff Jul 2023'!U11/100),IF(AND('Tariff Jul 2023'!R11&gt;0,'Tariff Jul 2023'!T11=""),IF(($F$5&lt;'Tariff Jul 2023'!R11),(0),($F$5-'Tariff Jul 2023'!R11)*'Tariff Jul 2023'!S11/100),IF(AND('Tariff Jul 2023'!P11&gt;0,'Tariff Jul 2023'!R11=""),IF(($F$5&lt;'Tariff Jul 2023'!P11),(0),($F$5-'Tariff Jul 2023'!P11)*'Tariff Jul 2023'!Q11/100),0)))</f>
        <v>0</v>
      </c>
      <c r="J19" s="188">
        <f t="shared" si="7"/>
        <v>455.63159345454545</v>
      </c>
      <c r="K19" s="283">
        <f t="shared" si="10"/>
        <v>1335.9907374545455</v>
      </c>
      <c r="L19" s="283">
        <f t="shared" si="8"/>
        <v>1822.5263738181818</v>
      </c>
      <c r="M19" s="191">
        <f t="shared" si="9"/>
        <v>2004.7790112000002</v>
      </c>
      <c r="N19" s="187">
        <f>'Tariff Jul 2023'!AZ11</f>
        <v>0</v>
      </c>
      <c r="O19" s="187">
        <f>'Tariff Jul 2023'!BA11</f>
        <v>0</v>
      </c>
      <c r="P19" s="187">
        <f>'Tariff Jul 2023'!BB11</f>
        <v>0</v>
      </c>
      <c r="Q19" s="187">
        <f>'Tariff Jul 2023'!BC11</f>
        <v>0</v>
      </c>
      <c r="R19" s="192">
        <f>($F$6*'Tariff Jul 2023'!AT11/100)*4</f>
        <v>159.72160000000002</v>
      </c>
      <c r="S19" s="193" t="str">
        <f t="shared" si="0"/>
        <v>No discount</v>
      </c>
      <c r="T19" s="193" t="str">
        <f t="shared" si="1"/>
        <v>Inclusive</v>
      </c>
      <c r="U19" s="304">
        <f t="shared" si="2"/>
        <v>1822.5263738181818</v>
      </c>
      <c r="V19" s="283">
        <f t="shared" si="3"/>
        <v>1822.5263738181818</v>
      </c>
      <c r="W19" s="283">
        <f t="shared" si="4"/>
        <v>1662.8047738181817</v>
      </c>
      <c r="X19" s="283">
        <f t="shared" si="5"/>
        <v>1662.8047738181817</v>
      </c>
      <c r="Y19" s="285">
        <f t="shared" si="6"/>
        <v>1829.0852512000001</v>
      </c>
      <c r="Z19" s="285">
        <f t="shared" si="6"/>
        <v>1829.0852512000001</v>
      </c>
      <c r="AA19" s="194">
        <f>'Tariff Jul 2023'!AT11</f>
        <v>5</v>
      </c>
      <c r="AB19" s="196">
        <f>'Tariff Jul 2023'!G11</f>
        <v>43646</v>
      </c>
      <c r="AC19" s="361"/>
      <c r="AD19" s="361"/>
      <c r="AE19" s="361"/>
      <c r="AF19" s="361"/>
      <c r="AG19" s="361"/>
      <c r="AH19" s="361"/>
      <c r="AI19" s="361"/>
      <c r="AJ19" s="361"/>
      <c r="AK19" s="361"/>
      <c r="AL19" s="361"/>
      <c r="AM19" s="361"/>
      <c r="AN19" s="361"/>
      <c r="AO19" s="361"/>
      <c r="AP19" s="361"/>
      <c r="AQ19" s="361"/>
      <c r="AR19" s="361"/>
      <c r="AS19" s="361"/>
      <c r="AT19" s="361"/>
    </row>
    <row r="20" spans="1:46" s="187" customFormat="1" x14ac:dyDescent="0.15">
      <c r="A20" s="186" t="str">
        <f>'Tariff Jul 2023'!K12</f>
        <v>Amber Electric</v>
      </c>
      <c r="B20" s="187" t="str">
        <f>'Tariff Jul 2023'!L12</f>
        <v>Amber Plan</v>
      </c>
      <c r="C20" s="188">
        <f>IF('Tariff Jul 2023'!BP12=0,91*'Tariff Jul 2023'!M12/100,(91*'Tariff Jul 2023'!M12/100)+'Tariff Jul 2023'!BP12/4)</f>
        <v>138.25163636363635</v>
      </c>
      <c r="D20" s="188">
        <f>IF('Tariff Jul 2023'!O12="",$F$5*'Tariff Jul 2023'!N12/100,IF($F$5&gt;='Tariff Jul 2023'!P12,('Tariff Jul 2023'!P12*'Tariff Jul 2023'!N12/100),($F$5*'Tariff Jul 2023'!N12/100)))</f>
        <v>412.54718836363639</v>
      </c>
      <c r="E20" s="188">
        <f>IF(AND('Tariff Jul 2023'!P12&gt;0,'Tariff Jul 2023'!R12&gt;0),IF($F$5&lt;'Tariff Jul 2023'!P12,0,IF($F$5&lt;=('Tariff Jul 2023'!R12+'Tariff Jul 2023'!P12),(($F$5-'Tariff Jul 2023'!P12)*'Tariff Jul 2023'!Q12/100),(('Tariff Jul 2023'!R12)*'Tariff Jul 2023'!Q12/100))),0)</f>
        <v>0</v>
      </c>
      <c r="F20" s="189">
        <f>IF(AND('Tariff Jul 2023'!Q12&gt;0,'Tariff Jul 2023'!S12&gt;0),IF($F$5&lt;('Tariff Jul 2023'!R12+'Tariff Jul 2023'!P12),0,IF($F$5&lt;=('Tariff Jul 2023'!T12+'Tariff Jul 2023'!R12+'Tariff Jul 2023'!P12),(($F$5-('Tariff Jul 2023'!R12+'Tariff Jul 2023'!P12))*'Tariff Jul 2023'!S12/100),('Tariff Jul 2023'!T12*'Tariff Jul 2023'!S12/100))),0)</f>
        <v>0</v>
      </c>
      <c r="G20" s="188">
        <v>0</v>
      </c>
      <c r="H20" s="188">
        <v>0</v>
      </c>
      <c r="I20" s="189">
        <f>IF('Tariff Jul 2023'!T12&gt;0,IF(($F$5&lt;'Tariff Jul 2023'!T12),(0),($F$5-'Tariff Jul 2023'!T12)*'Tariff Jul 2023'!U12/100),IF(AND('Tariff Jul 2023'!R12&gt;0,'Tariff Jul 2023'!T12=""),IF(($F$5&lt;'Tariff Jul 2023'!R12),(0),($F$5-'Tariff Jul 2023'!R12)*'Tariff Jul 2023'!S12/100),IF(AND('Tariff Jul 2023'!P12&gt;0,'Tariff Jul 2023'!R12=""),IF(($F$5&lt;'Tariff Jul 2023'!P12),(0),($F$5-'Tariff Jul 2023'!P12)*'Tariff Jul 2023'!Q12/100),0)))</f>
        <v>0</v>
      </c>
      <c r="J20" s="188">
        <f t="shared" si="7"/>
        <v>550.79882472727274</v>
      </c>
      <c r="K20" s="283">
        <f t="shared" si="10"/>
        <v>1650.1887534545456</v>
      </c>
      <c r="L20" s="283">
        <f t="shared" si="8"/>
        <v>2203.195298909091</v>
      </c>
      <c r="M20" s="191">
        <f t="shared" si="9"/>
        <v>2423.5148288000005</v>
      </c>
      <c r="N20" s="187">
        <f>'Tariff Jul 2023'!AZ12</f>
        <v>0</v>
      </c>
      <c r="O20" s="187">
        <f>'Tariff Jul 2023'!BA12</f>
        <v>0</v>
      </c>
      <c r="P20" s="187">
        <f>'Tariff Jul 2023'!BB12</f>
        <v>0</v>
      </c>
      <c r="Q20" s="187">
        <f>'Tariff Jul 2023'!BC12</f>
        <v>0</v>
      </c>
      <c r="R20" s="192">
        <f>($F$6*'Tariff Jul 2023'!AT12/100)*4</f>
        <v>0</v>
      </c>
      <c r="S20" s="193" t="str">
        <f t="shared" si="0"/>
        <v>No discount</v>
      </c>
      <c r="T20" s="193" t="str">
        <f t="shared" si="1"/>
        <v>Exclusive</v>
      </c>
      <c r="U20" s="304">
        <f t="shared" si="2"/>
        <v>2203.195298909091</v>
      </c>
      <c r="V20" s="283">
        <f t="shared" si="3"/>
        <v>2203.195298909091</v>
      </c>
      <c r="W20" s="283">
        <f t="shared" si="4"/>
        <v>2203.195298909091</v>
      </c>
      <c r="X20" s="283">
        <f t="shared" si="5"/>
        <v>2203.195298909091</v>
      </c>
      <c r="Y20" s="285">
        <f t="shared" si="6"/>
        <v>2423.5148288000005</v>
      </c>
      <c r="Z20" s="285">
        <f t="shared" si="6"/>
        <v>2423.5148288000005</v>
      </c>
      <c r="AA20" s="194">
        <f>'Tariff Jul 2023'!AT12</f>
        <v>0</v>
      </c>
      <c r="AB20" s="196">
        <f>'Tariff Jul 2023'!G12</f>
        <v>43646</v>
      </c>
      <c r="AC20" s="361"/>
      <c r="AD20" s="361"/>
      <c r="AE20" s="361"/>
      <c r="AF20" s="361"/>
      <c r="AG20" s="361"/>
      <c r="AH20" s="361"/>
      <c r="AI20" s="361"/>
      <c r="AJ20" s="361"/>
      <c r="AK20" s="361"/>
      <c r="AL20" s="361"/>
      <c r="AM20" s="361"/>
      <c r="AN20" s="361"/>
      <c r="AO20" s="361"/>
      <c r="AP20" s="361"/>
      <c r="AQ20" s="361"/>
      <c r="AR20" s="361"/>
      <c r="AS20" s="361"/>
      <c r="AT20" s="361"/>
    </row>
    <row r="21" spans="1:46" s="187" customFormat="1" x14ac:dyDescent="0.15">
      <c r="A21" s="186" t="str">
        <f>'Tariff Jul 2023'!K13</f>
        <v>GloBird Energy</v>
      </c>
      <c r="B21" s="187" t="str">
        <f>'Tariff Jul 2023'!L13</f>
        <v>GloSave</v>
      </c>
      <c r="C21" s="188">
        <f>IF('Tariff Jul 2023'!BP13=0,91*'Tariff Jul 2023'!M13/100,(91*'Tariff Jul 2023'!M13/100)+'Tariff Jul 2023'!BP13/4)</f>
        <v>80.079999999999984</v>
      </c>
      <c r="D21" s="188">
        <f>IF('Tariff Jul 2023'!O13="",$F$5*'Tariff Jul 2023'!N13/100,IF($F$5&gt;='Tariff Jul 2023'!P13,('Tariff Jul 2023'!P13*'Tariff Jul 2023'!N13/100),($F$5*'Tariff Jul 2023'!N13/100)))</f>
        <v>291.88281599999999</v>
      </c>
      <c r="E21" s="188">
        <f>IF(AND('Tariff Jul 2023'!P13&gt;0,'Tariff Jul 2023'!R13&gt;0),IF($F$5&lt;'Tariff Jul 2023'!P13,0,IF($F$5&lt;=('Tariff Jul 2023'!R13+'Tariff Jul 2023'!P13),(($F$5-'Tariff Jul 2023'!P13)*'Tariff Jul 2023'!Q13/100),(('Tariff Jul 2023'!R13)*'Tariff Jul 2023'!Q13/100))),0)</f>
        <v>0</v>
      </c>
      <c r="F21" s="189">
        <f>IF(AND('Tariff Jul 2023'!Q13&gt;0,'Tariff Jul 2023'!S13&gt;0),IF($F$5&lt;('Tariff Jul 2023'!R13+'Tariff Jul 2023'!P13),0,IF($F$5&lt;=('Tariff Jul 2023'!T13+'Tariff Jul 2023'!R13+'Tariff Jul 2023'!P13),(($F$5-('Tariff Jul 2023'!R13+'Tariff Jul 2023'!P13))*'Tariff Jul 2023'!S13/100),('Tariff Jul 2023'!T13*'Tariff Jul 2023'!S13/100))),0)</f>
        <v>0</v>
      </c>
      <c r="G21" s="188">
        <v>0</v>
      </c>
      <c r="H21" s="188">
        <v>0</v>
      </c>
      <c r="I21" s="189">
        <f>IF('Tariff Jul 2023'!T13&gt;0,IF(($F$5&lt;'Tariff Jul 2023'!T13),(0),($F$5-'Tariff Jul 2023'!T13)*'Tariff Jul 2023'!U13/100),IF(AND('Tariff Jul 2023'!R13&gt;0,'Tariff Jul 2023'!T13=""),IF(($F$5&lt;'Tariff Jul 2023'!R13),(0),($F$5-'Tariff Jul 2023'!R13)*'Tariff Jul 2023'!S13/100),IF(AND('Tariff Jul 2023'!P13&gt;0,'Tariff Jul 2023'!R13=""),IF(($F$5&lt;'Tariff Jul 2023'!P13),(0),($F$5-'Tariff Jul 2023'!P13)*'Tariff Jul 2023'!Q13/100),0)))</f>
        <v>0</v>
      </c>
      <c r="J21" s="188">
        <f t="shared" si="7"/>
        <v>371.96281599999998</v>
      </c>
      <c r="K21" s="283">
        <f>(J21-C21)*4</f>
        <v>1167.531264</v>
      </c>
      <c r="L21" s="283">
        <f t="shared" si="8"/>
        <v>1487.8512639999999</v>
      </c>
      <c r="M21" s="191">
        <f t="shared" si="9"/>
        <v>1636.6363904</v>
      </c>
      <c r="N21" s="187">
        <f>'Tariff Jul 2023'!AZ13</f>
        <v>0</v>
      </c>
      <c r="O21" s="187">
        <f>'Tariff Jul 2023'!BA13</f>
        <v>0</v>
      </c>
      <c r="P21" s="187">
        <f>'Tariff Jul 2023'!BB13</f>
        <v>2</v>
      </c>
      <c r="Q21" s="187">
        <f>'Tariff Jul 2023'!BC13</f>
        <v>0</v>
      </c>
      <c r="R21" s="192">
        <f>($F$6*'Tariff Jul 2023'!AT13/100)*4</f>
        <v>31.944320000000001</v>
      </c>
      <c r="S21" s="193" t="str">
        <f t="shared" si="0"/>
        <v>Pay-on-time off bill</v>
      </c>
      <c r="T21" s="193" t="str">
        <f t="shared" si="1"/>
        <v>Exclusive</v>
      </c>
      <c r="U21" s="304">
        <f t="shared" si="2"/>
        <v>1487.8512639999999</v>
      </c>
      <c r="V21" s="283">
        <f t="shared" si="3"/>
        <v>1458.0942387199998</v>
      </c>
      <c r="W21" s="283">
        <f t="shared" si="4"/>
        <v>1455.9069439999998</v>
      </c>
      <c r="X21" s="283">
        <f t="shared" si="5"/>
        <v>1426.1499187199997</v>
      </c>
      <c r="Y21" s="285">
        <f t="shared" si="6"/>
        <v>1601.4976383999999</v>
      </c>
      <c r="Z21" s="285">
        <f t="shared" si="6"/>
        <v>1568.7649105919998</v>
      </c>
      <c r="AA21" s="194">
        <f>'Tariff Jul 2023'!AT13</f>
        <v>1</v>
      </c>
      <c r="AB21" s="196">
        <f>'Tariff Jul 2023'!G13</f>
        <v>43652</v>
      </c>
      <c r="AC21" s="361"/>
      <c r="AD21" s="361"/>
      <c r="AE21" s="361"/>
      <c r="AF21" s="361"/>
      <c r="AG21" s="361"/>
      <c r="AH21" s="361"/>
      <c r="AI21" s="361"/>
      <c r="AJ21" s="361"/>
      <c r="AK21" s="361"/>
      <c r="AL21" s="361"/>
      <c r="AM21" s="361"/>
      <c r="AN21" s="361"/>
      <c r="AO21" s="361"/>
      <c r="AP21" s="361"/>
      <c r="AQ21" s="361"/>
      <c r="AR21" s="361"/>
      <c r="AS21" s="361"/>
      <c r="AT21" s="361"/>
    </row>
    <row r="22" spans="1:46" s="187" customFormat="1" x14ac:dyDescent="0.15">
      <c r="A22" s="186" t="str">
        <f>'Tariff Jul 2023'!K14</f>
        <v>Kogan Energy</v>
      </c>
      <c r="B22" s="187" t="str">
        <f>'Tariff Jul 2023'!L14</f>
        <v>Free Kogan First Membership</v>
      </c>
      <c r="C22" s="188">
        <f>IF('Tariff Jul 2023'!BP14=0,91*'Tariff Jul 2023'!M14/100,(91*'Tariff Jul 2023'!M14/100)+'Tariff Jul 2023'!BP14/4)</f>
        <v>121.63390909090909</v>
      </c>
      <c r="D22" s="188">
        <f>IF('Tariff Jul 2023'!O14="",$F$5*'Tariff Jul 2023'!N14/100,IF($F$5&gt;='Tariff Jul 2023'!P14,('Tariff Jul 2023'!P14*'Tariff Jul 2023'!N14/100),($F$5*'Tariff Jul 2023'!N14/100)))</f>
        <v>333.99768436363638</v>
      </c>
      <c r="E22" s="188">
        <f>IF(AND('Tariff Jul 2023'!P14&gt;0,'Tariff Jul 2023'!R14&gt;0),IF($F$5&lt;'Tariff Jul 2023'!P14,0,IF($F$5&lt;=('Tariff Jul 2023'!R14+'Tariff Jul 2023'!P14),(($F$5-'Tariff Jul 2023'!P14)*'Tariff Jul 2023'!Q14/100),(('Tariff Jul 2023'!R14)*'Tariff Jul 2023'!Q14/100))),0)</f>
        <v>0</v>
      </c>
      <c r="F22" s="189">
        <f>IF(AND('Tariff Jul 2023'!Q14&gt;0,'Tariff Jul 2023'!S14&gt;0),IF($F$5&lt;('Tariff Jul 2023'!R14+'Tariff Jul 2023'!P14),0,IF($F$5&lt;=('Tariff Jul 2023'!T14+'Tariff Jul 2023'!R14+'Tariff Jul 2023'!P14),(($F$5-('Tariff Jul 2023'!R14+'Tariff Jul 2023'!P14))*'Tariff Jul 2023'!S14/100),('Tariff Jul 2023'!T14*'Tariff Jul 2023'!S14/100))),0)</f>
        <v>0</v>
      </c>
      <c r="G22" s="188">
        <v>0</v>
      </c>
      <c r="H22" s="188">
        <v>0</v>
      </c>
      <c r="I22" s="189">
        <f>IF('Tariff Jul 2023'!T14&gt;0,IF(($F$5&lt;'Tariff Jul 2023'!T14),(0),($F$5-'Tariff Jul 2023'!T14)*'Tariff Jul 2023'!U14/100),IF(AND('Tariff Jul 2023'!R14&gt;0,'Tariff Jul 2023'!T14=""),IF(($F$5&lt;'Tariff Jul 2023'!R14),(0),($F$5-'Tariff Jul 2023'!R14)*'Tariff Jul 2023'!S14/100),IF(AND('Tariff Jul 2023'!P14&gt;0,'Tariff Jul 2023'!R14=""),IF(($F$5&lt;'Tariff Jul 2023'!P14),(0),($F$5-'Tariff Jul 2023'!P14)*'Tariff Jul 2023'!Q14/100),0)))</f>
        <v>0</v>
      </c>
      <c r="J22" s="188">
        <f t="shared" si="7"/>
        <v>455.63159345454545</v>
      </c>
      <c r="K22" s="283">
        <f t="shared" si="10"/>
        <v>1335.9907374545455</v>
      </c>
      <c r="L22" s="283">
        <f t="shared" si="8"/>
        <v>1822.5263738181818</v>
      </c>
      <c r="M22" s="191">
        <f t="shared" si="9"/>
        <v>2004.7790112000002</v>
      </c>
      <c r="N22" s="187">
        <f>'Tariff Jul 2023'!AZ14</f>
        <v>0</v>
      </c>
      <c r="O22" s="187">
        <f>'Tariff Jul 2023'!BA14</f>
        <v>0</v>
      </c>
      <c r="P22" s="187">
        <f>'Tariff Jul 2023'!BB14</f>
        <v>0</v>
      </c>
      <c r="Q22" s="187">
        <f>'Tariff Jul 2023'!BC14</f>
        <v>0</v>
      </c>
      <c r="R22" s="192">
        <f>($F$6*'Tariff Jul 2023'!AT14/100)*4</f>
        <v>159.72160000000002</v>
      </c>
      <c r="S22" s="193" t="str">
        <f t="shared" si="0"/>
        <v>No discount</v>
      </c>
      <c r="T22" s="193" t="str">
        <f t="shared" si="1"/>
        <v>Exclusive</v>
      </c>
      <c r="U22" s="304">
        <f t="shared" si="2"/>
        <v>1822.5263738181818</v>
      </c>
      <c r="V22" s="283">
        <f t="shared" si="3"/>
        <v>1822.5263738181818</v>
      </c>
      <c r="W22" s="283">
        <f t="shared" si="4"/>
        <v>1662.8047738181817</v>
      </c>
      <c r="X22" s="283">
        <f t="shared" si="5"/>
        <v>1662.8047738181817</v>
      </c>
      <c r="Y22" s="285">
        <f t="shared" si="6"/>
        <v>1829.0852512000001</v>
      </c>
      <c r="Z22" s="285">
        <f t="shared" si="6"/>
        <v>1829.0852512000001</v>
      </c>
      <c r="AA22" s="194">
        <f>'Tariff Jul 2023'!AT14</f>
        <v>5</v>
      </c>
      <c r="AB22" s="196">
        <f>'Tariff Jul 2023'!G14</f>
        <v>43646</v>
      </c>
      <c r="AC22" s="361"/>
      <c r="AD22" s="361"/>
      <c r="AE22" s="361"/>
      <c r="AF22" s="361"/>
      <c r="AG22" s="361"/>
      <c r="AH22" s="361"/>
      <c r="AI22" s="361"/>
      <c r="AJ22" s="361"/>
      <c r="AK22" s="361"/>
      <c r="AL22" s="361"/>
      <c r="AM22" s="361"/>
      <c r="AN22" s="361"/>
      <c r="AO22" s="361"/>
      <c r="AP22" s="361"/>
      <c r="AQ22" s="361"/>
      <c r="AR22" s="361"/>
      <c r="AS22" s="361"/>
      <c r="AT22" s="361"/>
    </row>
    <row r="23" spans="1:46" s="187" customFormat="1" x14ac:dyDescent="0.15">
      <c r="A23" s="186" t="str">
        <f>'Tariff Jul 2023'!K15</f>
        <v>Momentum</v>
      </c>
      <c r="B23" s="187" t="str">
        <f>'Tariff Jul 2023'!L15</f>
        <v>Suit Yourself</v>
      </c>
      <c r="C23" s="188">
        <f>IF('Tariff Jul 2023'!BP15=0,91*'Tariff Jul 2023'!M15/100,(91*'Tariff Jul 2023'!M15/100)+'Tariff Jul 2023'!BP15/4)</f>
        <v>141.505</v>
      </c>
      <c r="D23" s="188">
        <f>IF('Tariff Jul 2023'!O15="",$F$5*'Tariff Jul 2023'!N15/100,IF($F$5&gt;='Tariff Jul 2023'!P15,('Tariff Jul 2023'!P15*'Tariff Jul 2023'!N15/100),($F$5*'Tariff Jul 2023'!N15/100)))</f>
        <v>333.83539200000001</v>
      </c>
      <c r="E23" s="188">
        <f>IF(AND('Tariff Jul 2023'!P15&gt;0,'Tariff Jul 2023'!R15&gt;0),IF($F$5&lt;'Tariff Jul 2023'!P15,0,IF($F$5&lt;=('Tariff Jul 2023'!R15+'Tariff Jul 2023'!P15),(($F$5-'Tariff Jul 2023'!P15)*'Tariff Jul 2023'!Q15/100),(('Tariff Jul 2023'!R15)*'Tariff Jul 2023'!Q15/100))),0)</f>
        <v>0</v>
      </c>
      <c r="F23" s="189">
        <f>IF(AND('Tariff Jul 2023'!Q15&gt;0,'Tariff Jul 2023'!S15&gt;0),IF($F$5&lt;('Tariff Jul 2023'!R15+'Tariff Jul 2023'!P15),0,IF($F$5&lt;=('Tariff Jul 2023'!T15+'Tariff Jul 2023'!R15+'Tariff Jul 2023'!P15),(($F$5-('Tariff Jul 2023'!R15+'Tariff Jul 2023'!P15))*'Tariff Jul 2023'!S15/100),('Tariff Jul 2023'!T15*'Tariff Jul 2023'!S15/100))),0)</f>
        <v>0</v>
      </c>
      <c r="G23" s="188">
        <v>0</v>
      </c>
      <c r="H23" s="188">
        <v>0</v>
      </c>
      <c r="I23" s="189">
        <f>IF('Tariff Jul 2023'!T15&gt;0,IF(($F$5&lt;'Tariff Jul 2023'!T15),(0),($F$5-'Tariff Jul 2023'!T15)*'Tariff Jul 2023'!U15/100),IF(AND('Tariff Jul 2023'!R15&gt;0,'Tariff Jul 2023'!T15=""),IF(($F$5&lt;'Tariff Jul 2023'!R15),(0),($F$5-'Tariff Jul 2023'!R15)*'Tariff Jul 2023'!S15/100),IF(AND('Tariff Jul 2023'!P15&gt;0,'Tariff Jul 2023'!R15=""),IF(($F$5&lt;'Tariff Jul 2023'!P15),(0),($F$5-'Tariff Jul 2023'!P15)*'Tariff Jul 2023'!Q15/100),0)))</f>
        <v>0</v>
      </c>
      <c r="J23" s="188">
        <f t="shared" ref="J23:J26" si="11">SUM(C23:I23)</f>
        <v>475.34039200000001</v>
      </c>
      <c r="K23" s="283">
        <f t="shared" ref="K23:K26" si="12">(J23-C23)*4</f>
        <v>1335.3415680000001</v>
      </c>
      <c r="L23" s="283">
        <f t="shared" ref="L23:L26" si="13">J23*4</f>
        <v>1901.361568</v>
      </c>
      <c r="M23" s="191">
        <f t="shared" ref="M23:M26" si="14">L23*1.1</f>
        <v>2091.4977248</v>
      </c>
      <c r="N23" s="187">
        <f>'Tariff Jul 2023'!AZ15</f>
        <v>0</v>
      </c>
      <c r="O23" s="187">
        <f>'Tariff Jul 2023'!BA15</f>
        <v>0</v>
      </c>
      <c r="P23" s="187">
        <f>'Tariff Jul 2023'!BB15</f>
        <v>0</v>
      </c>
      <c r="Q23" s="187">
        <f>'Tariff Jul 2023'!BC15</f>
        <v>0</v>
      </c>
      <c r="R23" s="192">
        <f>($F$6*'Tariff Jul 2023'!AT15/100)*4</f>
        <v>111.80512</v>
      </c>
      <c r="S23" s="193" t="str">
        <f t="shared" ref="S23:S26" si="15">IF(SUM(N23:Q23)=0,"No discount",IF(N23&gt;0,"Guaranteed off bill",IF(O23&gt;0,"Guaranteed off usage",IF(P23&gt;0,"Pay-on-time off bill","Pay-on-time off usage"))))</f>
        <v>No discount</v>
      </c>
      <c r="T23" s="193" t="str">
        <f t="shared" ref="T23:T26" si="16">IF(OR(A23="Origin Energy",A23="Red Energy",A23="Powershop"),"Inclusive","Exclusive")</f>
        <v>Exclusive</v>
      </c>
      <c r="U23" s="304">
        <f t="shared" ref="U23:U26" si="17">IF(AND(S23="Guaranteed off bill",T23="Inclusive"),((L23*1.1)-((L23*1.1)*N23/100))/1.1,IF(AND(S23="Guaranteed off usage",T23="Inclusive"),((L23*1.1)-((K23*1.1)*O23/100))/1.1,IF(AND(S23="Guaranteed off bill",T23="Exclusive"),L23-(L23*N23/100),IF(AND(S23="Guaranteed off usage",T23="Exclusive"),L23-(K23*O23/100),IF(T23="Inclusive",((L23*1.1))/1.1,L23)))))</f>
        <v>1901.361568</v>
      </c>
      <c r="V23" s="283">
        <f t="shared" ref="V23:V26" si="18">IF(AND(S23="Pay-on-time off bill",T23="Inclusive"),((U23*1.1)-((U23*1.1)*P23/100))/1.1,IF(AND(S23="Pay-on-time off usage",T23="Inclusive"),((U23*1.1)-((K23*1.1)*Q23/100))/1.1,IF(AND(S23="Pay-on-time off bill",T23="Exclusive"),U23-(U23*P23/100),IF(AND(S23="Pay-on-time off usage",T23="Exclusive"),U23-(K23*Q23/100),IF(T23="Inclusive",((U23*1.1))/1.1,U23)))))</f>
        <v>1901.361568</v>
      </c>
      <c r="W23" s="283">
        <f t="shared" ref="W23:W26" si="19">U23-R23</f>
        <v>1789.556448</v>
      </c>
      <c r="X23" s="283">
        <f t="shared" ref="X23:X26" si="20">V23-R23</f>
        <v>1789.556448</v>
      </c>
      <c r="Y23" s="285">
        <f t="shared" ref="Y23:Y26" si="21">W23*1.1</f>
        <v>1968.5120928000001</v>
      </c>
      <c r="Z23" s="285">
        <f t="shared" ref="Z23:Z26" si="22">X23*1.1</f>
        <v>1968.5120928000001</v>
      </c>
      <c r="AA23" s="194">
        <f>'Tariff Jul 2023'!AT15</f>
        <v>3.5</v>
      </c>
      <c r="AB23" s="196">
        <f>'Tariff Jul 2023'!G15</f>
        <v>43646</v>
      </c>
      <c r="AC23" s="361"/>
      <c r="AD23" s="361"/>
      <c r="AE23" s="361"/>
      <c r="AF23" s="361"/>
      <c r="AG23" s="361"/>
      <c r="AH23" s="361"/>
      <c r="AI23" s="361"/>
      <c r="AJ23" s="361"/>
      <c r="AK23" s="361"/>
      <c r="AL23" s="361"/>
      <c r="AM23" s="361"/>
      <c r="AN23" s="361"/>
      <c r="AO23" s="361"/>
      <c r="AP23" s="361"/>
      <c r="AQ23" s="361"/>
      <c r="AR23" s="361"/>
      <c r="AS23" s="361"/>
      <c r="AT23" s="361"/>
    </row>
    <row r="24" spans="1:46" s="187" customFormat="1" x14ac:dyDescent="0.15">
      <c r="A24" s="186" t="str">
        <f>'Tariff Jul 2023'!K16</f>
        <v>OVO</v>
      </c>
      <c r="B24" s="187" t="str">
        <f>'Tariff Jul 2023'!L16</f>
        <v>Solar Plan</v>
      </c>
      <c r="C24" s="188">
        <f>IF('Tariff Jul 2023'!BP16=0,91*'Tariff Jul 2023'!M16/100,(91*'Tariff Jul 2023'!M16/100)+'Tariff Jul 2023'!BP16/4)</f>
        <v>105.37799999999999</v>
      </c>
      <c r="D24" s="188">
        <f>IF('Tariff Jul 2023'!O16="",$F$5*'Tariff Jul 2023'!N16/100,IF($F$5&gt;='Tariff Jul 2023'!P16,('Tariff Jul 2023'!P16*'Tariff Jul 2023'!N16/100),($F$5*'Tariff Jul 2023'!N16/100)))</f>
        <v>333.10507636363633</v>
      </c>
      <c r="E24" s="188">
        <f>IF(AND('Tariff Jul 2023'!P16&gt;0,'Tariff Jul 2023'!R16&gt;0),IF($F$5&lt;'Tariff Jul 2023'!P16,0,IF($F$5&lt;=('Tariff Jul 2023'!R16+'Tariff Jul 2023'!P16),(($F$5-'Tariff Jul 2023'!P16)*'Tariff Jul 2023'!Q16/100),(('Tariff Jul 2023'!R16)*'Tariff Jul 2023'!Q16/100))),0)</f>
        <v>0</v>
      </c>
      <c r="F24" s="189">
        <f>IF(AND('Tariff Jul 2023'!Q16&gt;0,'Tariff Jul 2023'!S16&gt;0),IF($F$5&lt;('Tariff Jul 2023'!R16+'Tariff Jul 2023'!P16),0,IF($F$5&lt;=('Tariff Jul 2023'!T16+'Tariff Jul 2023'!R16+'Tariff Jul 2023'!P16),(($F$5-('Tariff Jul 2023'!R16+'Tariff Jul 2023'!P16))*'Tariff Jul 2023'!S16/100),('Tariff Jul 2023'!T16*'Tariff Jul 2023'!S16/100))),0)</f>
        <v>0</v>
      </c>
      <c r="G24" s="188">
        <v>0</v>
      </c>
      <c r="H24" s="188">
        <v>0</v>
      </c>
      <c r="I24" s="189">
        <f>IF('Tariff Jul 2023'!T16&gt;0,IF(($F$5&lt;'Tariff Jul 2023'!T16),(0),($F$5-'Tariff Jul 2023'!T16)*'Tariff Jul 2023'!U16/100),IF(AND('Tariff Jul 2023'!R16&gt;0,'Tariff Jul 2023'!T16=""),IF(($F$5&lt;'Tariff Jul 2023'!R16),(0),($F$5-'Tariff Jul 2023'!R16)*'Tariff Jul 2023'!S16/100),IF(AND('Tariff Jul 2023'!P16&gt;0,'Tariff Jul 2023'!R16=""),IF(($F$5&lt;'Tariff Jul 2023'!P16),(0),($F$5-'Tariff Jul 2023'!P16)*'Tariff Jul 2023'!Q16/100),0)))</f>
        <v>0</v>
      </c>
      <c r="J24" s="188">
        <f t="shared" si="11"/>
        <v>438.48307636363631</v>
      </c>
      <c r="K24" s="283">
        <f t="shared" si="12"/>
        <v>1332.4203054545453</v>
      </c>
      <c r="L24" s="283">
        <f t="shared" si="13"/>
        <v>1753.9323054545453</v>
      </c>
      <c r="M24" s="191">
        <f t="shared" si="14"/>
        <v>1929.3255359999998</v>
      </c>
      <c r="N24" s="187">
        <f>'Tariff Jul 2023'!AZ16</f>
        <v>0</v>
      </c>
      <c r="O24" s="187">
        <f>'Tariff Jul 2023'!BA16</f>
        <v>0</v>
      </c>
      <c r="P24" s="187">
        <f>'Tariff Jul 2023'!BB16</f>
        <v>0</v>
      </c>
      <c r="Q24" s="187">
        <f>'Tariff Jul 2023'!BC16</f>
        <v>0</v>
      </c>
      <c r="R24" s="192">
        <f>($F$6*'Tariff Jul 2023'!AT16/100)*4</f>
        <v>447.22048000000001</v>
      </c>
      <c r="S24" s="193" t="str">
        <f t="shared" si="15"/>
        <v>No discount</v>
      </c>
      <c r="T24" s="193" t="str">
        <f t="shared" si="16"/>
        <v>Exclusive</v>
      </c>
      <c r="U24" s="304">
        <f t="shared" si="17"/>
        <v>1753.9323054545453</v>
      </c>
      <c r="V24" s="283">
        <f t="shared" si="18"/>
        <v>1753.9323054545453</v>
      </c>
      <c r="W24" s="283">
        <f t="shared" si="19"/>
        <v>1306.7118254545453</v>
      </c>
      <c r="X24" s="283">
        <f t="shared" si="20"/>
        <v>1306.7118254545453</v>
      </c>
      <c r="Y24" s="285">
        <f t="shared" si="21"/>
        <v>1437.383008</v>
      </c>
      <c r="Z24" s="285">
        <f t="shared" si="22"/>
        <v>1437.383008</v>
      </c>
      <c r="AA24" s="194">
        <f>'Tariff Jul 2023'!AT16</f>
        <v>14</v>
      </c>
      <c r="AB24" s="196">
        <f>'Tariff Jul 2023'!G16</f>
        <v>43651</v>
      </c>
      <c r="AC24" s="361"/>
      <c r="AD24" s="361"/>
      <c r="AE24" s="361"/>
      <c r="AF24" s="361"/>
      <c r="AG24" s="361"/>
      <c r="AH24" s="361"/>
      <c r="AI24" s="361"/>
      <c r="AJ24" s="361"/>
      <c r="AK24" s="361"/>
      <c r="AL24" s="361"/>
      <c r="AM24" s="361"/>
      <c r="AN24" s="361"/>
      <c r="AO24" s="361"/>
      <c r="AP24" s="361"/>
      <c r="AQ24" s="361"/>
      <c r="AR24" s="361"/>
      <c r="AS24" s="361"/>
      <c r="AT24" s="361"/>
    </row>
    <row r="25" spans="1:46" s="187" customFormat="1" x14ac:dyDescent="0.15">
      <c r="A25" s="186" t="str">
        <f>'Tariff Jul 2023'!K17</f>
        <v>Sumo Power</v>
      </c>
      <c r="B25" s="187" t="str">
        <f>'Tariff Jul 2023'!L17</f>
        <v>Lite</v>
      </c>
      <c r="C25" s="188">
        <f>IF('Tariff Jul 2023'!BP17=0,91*'Tariff Jul 2023'!M17/100,(91*'Tariff Jul 2023'!M17/100)+'Tariff Jul 2023'!BP17/4)</f>
        <v>96.45999999999998</v>
      </c>
      <c r="D25" s="188">
        <f>IF('Tariff Jul 2023'!O17="",$F$5*'Tariff Jul 2023'!N17/100,IF($F$5&gt;='Tariff Jul 2023'!P17,('Tariff Jul 2023'!P17*'Tariff Jul 2023'!N17/100),($F$5*'Tariff Jul 2023'!N17/100)))</f>
        <v>374.89535999999998</v>
      </c>
      <c r="E25" s="188">
        <f>IF(AND('Tariff Jul 2023'!P17&gt;0,'Tariff Jul 2023'!R17&gt;0),IF($F$5&lt;'Tariff Jul 2023'!P17,0,IF($F$5&lt;=('Tariff Jul 2023'!R17+'Tariff Jul 2023'!P17),(($F$5-'Tariff Jul 2023'!P17)*'Tariff Jul 2023'!Q17/100),(('Tariff Jul 2023'!R17)*'Tariff Jul 2023'!Q17/100))),0)</f>
        <v>0</v>
      </c>
      <c r="F25" s="189">
        <f>IF(AND('Tariff Jul 2023'!Q17&gt;0,'Tariff Jul 2023'!S17&gt;0),IF($F$5&lt;('Tariff Jul 2023'!R17+'Tariff Jul 2023'!P17),0,IF($F$5&lt;=('Tariff Jul 2023'!T17+'Tariff Jul 2023'!R17+'Tariff Jul 2023'!P17),(($F$5-('Tariff Jul 2023'!R17+'Tariff Jul 2023'!P17))*'Tariff Jul 2023'!S17/100),('Tariff Jul 2023'!T17*'Tariff Jul 2023'!S17/100))),0)</f>
        <v>0</v>
      </c>
      <c r="G25" s="188">
        <v>0</v>
      </c>
      <c r="H25" s="188">
        <v>0</v>
      </c>
      <c r="I25" s="189">
        <f>IF('Tariff Jul 2023'!T17&gt;0,IF(($F$5&lt;'Tariff Jul 2023'!T17),(0),($F$5-'Tariff Jul 2023'!T17)*'Tariff Jul 2023'!U17/100),IF(AND('Tariff Jul 2023'!R17&gt;0,'Tariff Jul 2023'!T17=""),IF(($F$5&lt;'Tariff Jul 2023'!R17),(0),($F$5-'Tariff Jul 2023'!R17)*'Tariff Jul 2023'!S17/100),IF(AND('Tariff Jul 2023'!P17&gt;0,'Tariff Jul 2023'!R17=""),IF(($F$5&lt;'Tariff Jul 2023'!P17),(0),($F$5-'Tariff Jul 2023'!P17)*'Tariff Jul 2023'!Q17/100),0)))</f>
        <v>0</v>
      </c>
      <c r="J25" s="188">
        <f t="shared" si="11"/>
        <v>471.35535999999996</v>
      </c>
      <c r="K25" s="283">
        <f t="shared" si="12"/>
        <v>1499.5814399999999</v>
      </c>
      <c r="L25" s="283">
        <f t="shared" si="13"/>
        <v>1885.4214399999998</v>
      </c>
      <c r="M25" s="191">
        <f t="shared" si="14"/>
        <v>2073.9635840000001</v>
      </c>
      <c r="N25" s="187">
        <f>'Tariff Jul 2023'!AZ17</f>
        <v>0</v>
      </c>
      <c r="O25" s="187">
        <f>'Tariff Jul 2023'!BA17</f>
        <v>0</v>
      </c>
      <c r="P25" s="187">
        <f>'Tariff Jul 2023'!BB17</f>
        <v>0</v>
      </c>
      <c r="Q25" s="187">
        <f>'Tariff Jul 2023'!BC17</f>
        <v>0</v>
      </c>
      <c r="R25" s="192">
        <f>($F$6*'Tariff Jul 2023'!AT17/100)*4</f>
        <v>159.72160000000002</v>
      </c>
      <c r="S25" s="193" t="str">
        <f t="shared" si="15"/>
        <v>No discount</v>
      </c>
      <c r="T25" s="193" t="str">
        <f t="shared" si="16"/>
        <v>Exclusive</v>
      </c>
      <c r="U25" s="304">
        <f t="shared" si="17"/>
        <v>1885.4214399999998</v>
      </c>
      <c r="V25" s="283">
        <f t="shared" si="18"/>
        <v>1885.4214399999998</v>
      </c>
      <c r="W25" s="283">
        <f t="shared" si="19"/>
        <v>1725.6998399999998</v>
      </c>
      <c r="X25" s="283">
        <f t="shared" si="20"/>
        <v>1725.6998399999998</v>
      </c>
      <c r="Y25" s="285">
        <f t="shared" si="21"/>
        <v>1898.269824</v>
      </c>
      <c r="Z25" s="285">
        <f t="shared" si="22"/>
        <v>1898.269824</v>
      </c>
      <c r="AA25" s="194">
        <f>'Tariff Jul 2023'!AT17</f>
        <v>5</v>
      </c>
      <c r="AB25" s="196">
        <f>'Tariff Jul 2023'!G17</f>
        <v>43655</v>
      </c>
      <c r="AC25" s="361"/>
      <c r="AD25" s="361"/>
      <c r="AE25" s="361"/>
      <c r="AF25" s="361"/>
      <c r="AG25" s="361"/>
      <c r="AH25" s="361"/>
      <c r="AI25" s="361"/>
      <c r="AJ25" s="361"/>
      <c r="AK25" s="361"/>
      <c r="AL25" s="361"/>
      <c r="AM25" s="361"/>
      <c r="AN25" s="361"/>
      <c r="AO25" s="361"/>
      <c r="AP25" s="361"/>
      <c r="AQ25" s="361"/>
      <c r="AR25" s="361"/>
      <c r="AS25" s="361"/>
      <c r="AT25" s="361"/>
    </row>
    <row r="26" spans="1:46" s="187" customFormat="1" x14ac:dyDescent="0.15">
      <c r="A26" s="370" t="str">
        <f>'Tariff Jul 2023'!K18</f>
        <v>CovaU</v>
      </c>
      <c r="B26" s="187" t="str">
        <f>'Tariff Jul 2023'!L18</f>
        <v>Freedom</v>
      </c>
      <c r="C26" s="188">
        <f>IF('Tariff Jul 2023'!BP18=0,91*'Tariff Jul 2023'!M18/100,(91*'Tariff Jul 2023'!M18/100)+'Tariff Jul 2023'!BP18/4)</f>
        <v>85.705454545454543</v>
      </c>
      <c r="D26" s="188">
        <f>IF('Tariff Jul 2023'!O18="",$F$5*'Tariff Jul 2023'!N18/100,IF($F$5&gt;='Tariff Jul 2023'!P18,('Tariff Jul 2023'!P18*'Tariff Jul 2023'!N18/100),($F$5*'Tariff Jul 2023'!N18/100)))</f>
        <v>296.50814836363634</v>
      </c>
      <c r="E26" s="188">
        <f>IF(AND('Tariff Jul 2023'!P18&gt;0,'Tariff Jul 2023'!R18&gt;0),IF($F$5&lt;'Tariff Jul 2023'!P18,0,IF($F$5&lt;=('Tariff Jul 2023'!R18+'Tariff Jul 2023'!P18),(($F$5-'Tariff Jul 2023'!P18)*'Tariff Jul 2023'!Q18/100),(('Tariff Jul 2023'!R18)*'Tariff Jul 2023'!Q18/100))),0)</f>
        <v>0</v>
      </c>
      <c r="F26" s="189">
        <f>IF(AND('Tariff Jul 2023'!Q18&gt;0,'Tariff Jul 2023'!S18&gt;0),IF($F$5&lt;('Tariff Jul 2023'!R18+'Tariff Jul 2023'!P18),0,IF($F$5&lt;=('Tariff Jul 2023'!T18+'Tariff Jul 2023'!R18+'Tariff Jul 2023'!P18),(($F$5-('Tariff Jul 2023'!R18+'Tariff Jul 2023'!P18))*'Tariff Jul 2023'!S18/100),('Tariff Jul 2023'!T18*'Tariff Jul 2023'!S18/100))),0)</f>
        <v>0</v>
      </c>
      <c r="G26" s="188">
        <v>0</v>
      </c>
      <c r="H26" s="188">
        <v>0</v>
      </c>
      <c r="I26" s="189">
        <f>IF('Tariff Jul 2023'!T18&gt;0,IF(($F$5&lt;'Tariff Jul 2023'!T18),(0),($F$5-'Tariff Jul 2023'!T18)*'Tariff Jul 2023'!U18/100),IF(AND('Tariff Jul 2023'!R18&gt;0,'Tariff Jul 2023'!T18=""),IF(($F$5&lt;'Tariff Jul 2023'!R18),(0),($F$5-'Tariff Jul 2023'!R18)*'Tariff Jul 2023'!S18/100),IF(AND('Tariff Jul 2023'!P18&gt;0,'Tariff Jul 2023'!R18=""),IF(($F$5&lt;'Tariff Jul 2023'!P18),(0),($F$5-'Tariff Jul 2023'!P18)*'Tariff Jul 2023'!Q18/100),0)))</f>
        <v>0</v>
      </c>
      <c r="J26" s="188">
        <f t="shared" si="11"/>
        <v>382.21360290909087</v>
      </c>
      <c r="K26" s="283">
        <f t="shared" si="12"/>
        <v>1186.0325934545453</v>
      </c>
      <c r="L26" s="283">
        <f t="shared" si="13"/>
        <v>1528.8544116363635</v>
      </c>
      <c r="M26" s="191">
        <f t="shared" si="14"/>
        <v>1681.7398527999999</v>
      </c>
      <c r="N26" s="187">
        <f>'Tariff Jul 2023'!AZ18</f>
        <v>0</v>
      </c>
      <c r="O26" s="187">
        <f>'Tariff Jul 2023'!BA18</f>
        <v>0</v>
      </c>
      <c r="P26" s="187">
        <f>'Tariff Jul 2023'!BB18</f>
        <v>0</v>
      </c>
      <c r="Q26" s="187">
        <f>'Tariff Jul 2023'!BC18</f>
        <v>0</v>
      </c>
      <c r="R26" s="192">
        <f>($F$6*'Tariff Jul 2023'!AT18/100)*4</f>
        <v>175.69376</v>
      </c>
      <c r="S26" s="193" t="str">
        <f t="shared" si="15"/>
        <v>No discount</v>
      </c>
      <c r="T26" s="193" t="str">
        <f t="shared" si="16"/>
        <v>Exclusive</v>
      </c>
      <c r="U26" s="304">
        <f t="shared" si="17"/>
        <v>1528.8544116363635</v>
      </c>
      <c r="V26" s="283">
        <f t="shared" si="18"/>
        <v>1528.8544116363635</v>
      </c>
      <c r="W26" s="283">
        <f t="shared" si="19"/>
        <v>1353.1606516363636</v>
      </c>
      <c r="X26" s="283">
        <f t="shared" si="20"/>
        <v>1353.1606516363636</v>
      </c>
      <c r="Y26" s="285">
        <f t="shared" si="21"/>
        <v>1488.4767168000001</v>
      </c>
      <c r="Z26" s="285">
        <f t="shared" si="22"/>
        <v>1488.4767168000001</v>
      </c>
      <c r="AA26" s="194">
        <f>'Tariff Jul 2023'!AT18</f>
        <v>5.5</v>
      </c>
      <c r="AB26" s="196">
        <f>'Tariff Jul 2023'!G18</f>
        <v>43480</v>
      </c>
      <c r="AC26" s="361"/>
      <c r="AD26" s="361"/>
      <c r="AE26" s="361"/>
      <c r="AF26" s="361"/>
      <c r="AG26" s="361"/>
      <c r="AH26" s="361"/>
      <c r="AI26" s="361"/>
      <c r="AJ26" s="361"/>
      <c r="AK26" s="361"/>
      <c r="AL26" s="361"/>
      <c r="AM26" s="361"/>
      <c r="AN26" s="361"/>
      <c r="AO26" s="361"/>
      <c r="AP26" s="361"/>
      <c r="AQ26" s="361"/>
      <c r="AR26" s="361"/>
      <c r="AS26" s="361"/>
      <c r="AT26" s="361"/>
    </row>
    <row r="27" spans="1:46" s="187" customFormat="1" x14ac:dyDescent="0.15">
      <c r="A27" s="361"/>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1"/>
      <c r="AD27" s="361"/>
      <c r="AE27" s="361"/>
      <c r="AF27" s="361"/>
      <c r="AG27" s="361"/>
      <c r="AH27" s="361"/>
      <c r="AI27" s="361"/>
      <c r="AJ27" s="361"/>
      <c r="AK27" s="361"/>
      <c r="AL27" s="361"/>
      <c r="AM27" s="361"/>
      <c r="AN27" s="361"/>
      <c r="AO27" s="361"/>
      <c r="AP27" s="361"/>
      <c r="AQ27" s="361"/>
      <c r="AR27" s="361"/>
      <c r="AS27" s="361"/>
      <c r="AT27" s="361"/>
    </row>
    <row r="28" spans="1:46" s="187" customFormat="1" ht="15" thickBot="1" x14ac:dyDescent="0.2">
      <c r="A28" s="361"/>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row>
    <row r="29" spans="1:46" s="187" customFormat="1" x14ac:dyDescent="0.15">
      <c r="A29" s="336" t="s">
        <v>154</v>
      </c>
      <c r="B29" s="337"/>
      <c r="C29" s="338"/>
      <c r="D29" s="338"/>
      <c r="E29" s="338"/>
      <c r="F29" s="338"/>
      <c r="G29" s="339"/>
      <c r="H29" s="339"/>
      <c r="I29" s="337"/>
      <c r="J29" s="337"/>
      <c r="K29" s="339"/>
      <c r="L29" s="337"/>
      <c r="M29" s="337"/>
      <c r="N29" s="337"/>
      <c r="O29" s="337"/>
      <c r="P29" s="337"/>
      <c r="Q29" s="337"/>
      <c r="R29" s="337"/>
      <c r="S29" s="337"/>
      <c r="T29" s="337"/>
      <c r="U29" s="337"/>
      <c r="V29" s="337"/>
      <c r="W29" s="337"/>
      <c r="X29" s="337"/>
      <c r="Y29" s="337"/>
      <c r="Z29" s="337"/>
      <c r="AA29" s="337"/>
      <c r="AB29" s="268"/>
      <c r="AC29" s="361"/>
      <c r="AD29" s="361"/>
      <c r="AE29" s="361"/>
      <c r="AF29" s="361"/>
      <c r="AG29" s="361"/>
      <c r="AH29" s="361"/>
      <c r="AI29" s="361"/>
      <c r="AJ29" s="361"/>
      <c r="AK29" s="361"/>
      <c r="AL29" s="361"/>
      <c r="AM29" s="361"/>
      <c r="AN29" s="361"/>
      <c r="AO29" s="361"/>
      <c r="AP29" s="361"/>
      <c r="AQ29" s="361"/>
      <c r="AR29" s="361"/>
      <c r="AS29" s="361"/>
      <c r="AT29" s="361"/>
    </row>
    <row r="30" spans="1:46" s="187" customFormat="1" ht="90" x14ac:dyDescent="0.15">
      <c r="A30" s="271" t="s">
        <v>231</v>
      </c>
      <c r="B30" s="272" t="s">
        <v>243</v>
      </c>
      <c r="C30" s="279" t="s">
        <v>244</v>
      </c>
      <c r="D30" s="279" t="s">
        <v>227</v>
      </c>
      <c r="E30" s="279" t="s">
        <v>357</v>
      </c>
      <c r="F30" s="279" t="s">
        <v>358</v>
      </c>
      <c r="G30" s="279" t="s">
        <v>329</v>
      </c>
      <c r="H30" s="279" t="s">
        <v>222</v>
      </c>
      <c r="I30" s="279" t="s">
        <v>223</v>
      </c>
      <c r="J30" s="273" t="s">
        <v>799</v>
      </c>
      <c r="K30" s="280" t="s">
        <v>246</v>
      </c>
      <c r="L30" s="280" t="s">
        <v>247</v>
      </c>
      <c r="M30" s="274" t="s">
        <v>636</v>
      </c>
      <c r="N30" s="275" t="s">
        <v>249</v>
      </c>
      <c r="O30" s="275" t="s">
        <v>250</v>
      </c>
      <c r="P30" s="275" t="s">
        <v>251</v>
      </c>
      <c r="Q30" s="275" t="s">
        <v>365</v>
      </c>
      <c r="R30" s="276" t="s">
        <v>373</v>
      </c>
      <c r="S30" s="281" t="s">
        <v>637</v>
      </c>
      <c r="T30" s="281" t="s">
        <v>638</v>
      </c>
      <c r="U30" s="282" t="s">
        <v>255</v>
      </c>
      <c r="V30" s="282" t="s">
        <v>224</v>
      </c>
      <c r="W30" s="282" t="s">
        <v>374</v>
      </c>
      <c r="X30" s="282" t="s">
        <v>375</v>
      </c>
      <c r="Y30" s="276" t="s">
        <v>376</v>
      </c>
      <c r="Z30" s="276" t="s">
        <v>436</v>
      </c>
      <c r="AA30" s="275" t="s">
        <v>155</v>
      </c>
      <c r="AB30" s="277" t="s">
        <v>221</v>
      </c>
      <c r="AC30" s="361"/>
      <c r="AD30" s="361"/>
      <c r="AE30" s="361"/>
      <c r="AF30" s="361"/>
      <c r="AG30" s="361"/>
      <c r="AH30" s="361"/>
      <c r="AI30" s="361"/>
      <c r="AJ30" s="361"/>
      <c r="AK30" s="361"/>
      <c r="AL30" s="361"/>
      <c r="AM30" s="361"/>
      <c r="AN30" s="361"/>
      <c r="AO30" s="361"/>
      <c r="AP30" s="361"/>
      <c r="AQ30" s="361"/>
      <c r="AR30" s="361"/>
      <c r="AS30" s="361"/>
      <c r="AT30" s="361"/>
    </row>
    <row r="31" spans="1:46" s="187" customFormat="1" x14ac:dyDescent="0.15">
      <c r="A31" s="186" t="str">
        <f>'Tariff Jul 2023'!K19</f>
        <v>AGL</v>
      </c>
      <c r="B31" s="187" t="str">
        <f>'Tariff Jul 2023'!L19</f>
        <v>Solar Savers</v>
      </c>
      <c r="C31" s="208">
        <f>IF('Tariff Jul 2023'!BP19=0,91*'Tariff Jul 2023'!M19/100,(91*'Tariff Jul 2023'!M19/100)+'Tariff Jul 2023'!BP19/4)</f>
        <v>101.00999999999998</v>
      </c>
      <c r="D31" s="208">
        <f>IF('Tariff Jul 2023'!O19="",$H$5*'Tariff Jul 2023'!N19/100,IF($H$5&gt;='Tariff Jul 2023'!P19,('Tariff Jul 2023'!P19*'Tariff Jul 2023'!N19/100),($H$5*'Tariff Jul 2023'!N19/100)))</f>
        <v>303.68147083636364</v>
      </c>
      <c r="E31" s="208">
        <f>IF(AND('Tariff Jul 2023'!P19&gt;0,'Tariff Jul 2023'!R19&gt;0),IF($H$5&lt;'Tariff Jul 2023'!P19,0,IF($H$5&lt;=('Tariff Jul 2023'!R19+'Tariff Jul 2023'!P19),(($H$5-'Tariff Jul 2023'!P19)*'Tariff Jul 2023'!Q19/100),(('Tariff Jul 2023'!R19)*'Tariff Jul 2023'!Q19/100))),0)</f>
        <v>0</v>
      </c>
      <c r="F31" s="208">
        <f>IF(AND('Tariff Jul 2023'!Q19&gt;0,'Tariff Jul 2023'!S19&gt;0),IF($H$5&lt;('Tariff Jul 2023'!R19+'Tariff Jul 2023'!P19),0,IF($H$5&lt;=('Tariff Jul 2023'!T19+'Tariff Jul 2023'!R19+'Tariff Jul 2023'!P19),(($H$5-('Tariff Jul 2023'!R19+'Tariff Jul 2023'!P19))*'Tariff Jul 2023'!S19/100),('Tariff Jul 2023'!T19*'Tariff Jul 2023'!S19/100))),0)</f>
        <v>0</v>
      </c>
      <c r="G31" s="208">
        <f>IF('Tariff Jul 2023'!T19&gt;0,IF(($H$5&lt;'Tariff Jul 2023'!T19),(0),($H$5-'Tariff Jul 2023'!T19)*'Tariff Jul 2023'!U19/100),IF(AND('Tariff Jul 2023'!R19&gt;0,'Tariff Jul 2023'!T19=""),IF(($H$5&lt;'Tariff Jul 2023'!R19),(0),($H$5-'Tariff Jul 2023'!R19)*'Tariff Jul 2023'!S19/100),IF(AND('Tariff Jul 2023'!P19&gt;0,'Tariff Jul 2023'!R19=""),IF(($H$5&lt;'Tariff Jul 2023'!P19),(0),($H$5-'Tariff Jul 2023'!P19)*'Tariff Jul 2023'!Q19/100),0)))</f>
        <v>0</v>
      </c>
      <c r="H31" s="208">
        <f>($I$5)*'Tariff Jul 2023'!AE19/100</f>
        <v>37.2217536</v>
      </c>
      <c r="I31" s="208">
        <v>0</v>
      </c>
      <c r="J31" s="208">
        <f>SUM(C31:I31)</f>
        <v>441.91322443636363</v>
      </c>
      <c r="K31" s="283">
        <f>(J31-C31)*4</f>
        <v>1363.6128977454546</v>
      </c>
      <c r="L31" s="283">
        <f>J31*4</f>
        <v>1767.6528977454545</v>
      </c>
      <c r="M31" s="191">
        <f>L31*1.1</f>
        <v>1944.4181875200002</v>
      </c>
      <c r="N31" s="187">
        <f>'Tariff Jul 2023'!AZ19</f>
        <v>0</v>
      </c>
      <c r="O31" s="187">
        <f>'Tariff Jul 2023'!BA19</f>
        <v>0</v>
      </c>
      <c r="P31" s="187">
        <f>'Tariff Jul 2023'!BB19</f>
        <v>0</v>
      </c>
      <c r="Q31" s="187">
        <f>'Tariff Jul 2023'!BC19</f>
        <v>0</v>
      </c>
      <c r="R31" s="192">
        <f>($F$6*'Tariff Jul 2023'!AT19/100)*4</f>
        <v>319.44320000000005</v>
      </c>
      <c r="S31" s="193" t="str">
        <f t="shared" ref="S31:S43" si="23">IF(SUM(N31:Q31)=0,"No discount",IF(N31&gt;0,"Guaranteed off bill",IF(O31&gt;0,"Guaranteed off usage",IF(P31&gt;0,"Pay-on-time off bill","Pay-on-time off usage"))))</f>
        <v>No discount</v>
      </c>
      <c r="T31" s="193" t="str">
        <f t="shared" ref="T31:T43" si="24">IF(OR(A31="Origin Energy",A31="Red Energy",A31="Powershop"),"Inclusive","Exclusive")</f>
        <v>Exclusive</v>
      </c>
      <c r="U31" s="304">
        <f t="shared" ref="U31:U43" si="25">IF(AND(S31="Guaranteed off bill",T31="Inclusive"),((L31*1.1)-((L31*1.1)*N31/100))/1.1,IF(AND(S31="Guaranteed off usage",T31="Inclusive"),((L31*1.1)-((K31*1.1)*O31/100))/1.1,IF(AND(S31="Guaranteed off bill",T31="Exclusive"),L31-(L31*N31/100),IF(AND(S31="Guaranteed off usage",T31="Exclusive"),L31-(K31*O31/100),IF(T31="Inclusive",((L31*1.1))/1.1,L31)))))</f>
        <v>1767.6528977454545</v>
      </c>
      <c r="V31" s="283">
        <f t="shared" ref="V31:V43" si="26">IF(AND(S31="Pay-on-time off bill",T31="Inclusive"),((U31*1.1)-((U31*1.1)*P31/100))/1.1,IF(AND(S31="Pay-on-time off usage",T31="Inclusive"),((U31*1.1)-((K31*1.1)*Q31/100))/1.1,IF(AND(S31="Pay-on-time off bill",T31="Exclusive"),U31-(U31*P31/100),IF(AND(S31="Pay-on-time off usage",T31="Exclusive"),U31-(K31*Q31/100),IF(T31="Inclusive",((U31*1.1))/1.1,U31)))))</f>
        <v>1767.6528977454545</v>
      </c>
      <c r="W31" s="283">
        <f t="shared" ref="W31:W43" si="27">U31-R31</f>
        <v>1448.2096977454544</v>
      </c>
      <c r="X31" s="283">
        <f t="shared" ref="X31:X43" si="28">V31-R31</f>
        <v>1448.2096977454544</v>
      </c>
      <c r="Y31" s="285">
        <f t="shared" ref="Y31:Z43" si="29">W31*1.1</f>
        <v>1593.03066752</v>
      </c>
      <c r="Z31" s="285">
        <f t="shared" si="29"/>
        <v>1593.03066752</v>
      </c>
      <c r="AA31" s="194">
        <f>'Tariff Jul 2023'!AT19</f>
        <v>10</v>
      </c>
      <c r="AB31" s="196">
        <f>'Tariff Jul 2023'!G19</f>
        <v>43648</v>
      </c>
      <c r="AC31" s="361"/>
      <c r="AD31" s="361"/>
      <c r="AE31" s="361"/>
      <c r="AF31" s="361"/>
      <c r="AG31" s="361"/>
      <c r="AH31" s="361"/>
      <c r="AI31" s="361"/>
      <c r="AJ31" s="361"/>
      <c r="AK31" s="361"/>
      <c r="AL31" s="361"/>
      <c r="AM31" s="361"/>
      <c r="AN31" s="361"/>
      <c r="AO31" s="361"/>
      <c r="AP31" s="361"/>
      <c r="AQ31" s="361"/>
      <c r="AR31" s="361"/>
      <c r="AS31" s="361"/>
      <c r="AT31" s="361"/>
    </row>
    <row r="32" spans="1:46" s="187" customFormat="1" x14ac:dyDescent="0.15">
      <c r="A32" s="186" t="str">
        <f>'Tariff Jul 2023'!K20</f>
        <v>Alinta Energy</v>
      </c>
      <c r="B32" s="187" t="str">
        <f>'Tariff Jul 2023'!L20</f>
        <v>Home Deal</v>
      </c>
      <c r="C32" s="208">
        <f>IF('Tariff Jul 2023'!BP20=0,91*'Tariff Jul 2023'!M20/100,(91*'Tariff Jul 2023'!M20/100)+'Tariff Jul 2023'!BP20/4)</f>
        <v>84.208090909090899</v>
      </c>
      <c r="D32" s="208">
        <f>IF('Tariff Jul 2023'!O20="",$H$5*'Tariff Jul 2023'!N20/100,IF($H$5&gt;='Tariff Jul 2023'!P20,('Tariff Jul 2023'!P20*'Tariff Jul 2023'!N20/100),($H$5*'Tariff Jul 2023'!N20/100)))</f>
        <v>308.4853248</v>
      </c>
      <c r="E32" s="208">
        <f>IF(AND('Tariff Jul 2023'!P20&gt;0,'Tariff Jul 2023'!R20&gt;0),IF($H$5&lt;'Tariff Jul 2023'!P20,0,IF($H$5&lt;=('Tariff Jul 2023'!R20+'Tariff Jul 2023'!P20),(($H$5-'Tariff Jul 2023'!P20)*'Tariff Jul 2023'!Q20/100),(('Tariff Jul 2023'!R20)*'Tariff Jul 2023'!Q20/100))),0)</f>
        <v>0</v>
      </c>
      <c r="F32" s="208">
        <f>IF(AND('Tariff Jul 2023'!Q20&gt;0,'Tariff Jul 2023'!S20&gt;0),IF($H$5&lt;('Tariff Jul 2023'!R20+'Tariff Jul 2023'!P20),0,IF($H$5&lt;=('Tariff Jul 2023'!T20+'Tariff Jul 2023'!R20+'Tariff Jul 2023'!P20),(($H$5-('Tariff Jul 2023'!R20+'Tariff Jul 2023'!P20))*'Tariff Jul 2023'!S20/100),('Tariff Jul 2023'!T20*'Tariff Jul 2023'!S20/100))),0)</f>
        <v>0</v>
      </c>
      <c r="G32" s="208">
        <f>IF('Tariff Jul 2023'!T20&gt;0,IF(($H$5&lt;'Tariff Jul 2023'!T20),(0),($H$5-'Tariff Jul 2023'!T20)*'Tariff Jul 2023'!U20/100),IF(AND('Tariff Jul 2023'!R20&gt;0,'Tariff Jul 2023'!T20=""),IF(($H$5&lt;'Tariff Jul 2023'!R20),(0),($H$5-'Tariff Jul 2023'!R20)*'Tariff Jul 2023'!S20/100),IF(AND('Tariff Jul 2023'!P20&gt;0,'Tariff Jul 2023'!R20=""),IF(($H$5&lt;'Tariff Jul 2023'!P20),(0),($H$5-'Tariff Jul 2023'!P20)*'Tariff Jul 2023'!Q20/100),0)))</f>
        <v>0</v>
      </c>
      <c r="H32" s="208">
        <f>($I$5)*'Tariff Jul 2023'!AE20/100</f>
        <v>37.100034327272731</v>
      </c>
      <c r="I32" s="208">
        <f>IF((I5&lt;'Tariff Jul 2023'!AF20),(0),(I5-'Tariff Jul 2023'!AF20)*'Tariff Jul 2023'!AG20/100)</f>
        <v>0</v>
      </c>
      <c r="J32" s="208">
        <f t="shared" ref="J32:J43" si="30">SUM(C32:I32)</f>
        <v>429.79345003636365</v>
      </c>
      <c r="K32" s="283">
        <f>(J32-C32)*4</f>
        <v>1382.341436509091</v>
      </c>
      <c r="L32" s="283">
        <f t="shared" ref="L32:L43" si="31">J32*4</f>
        <v>1719.1738001454546</v>
      </c>
      <c r="M32" s="191">
        <f t="shared" ref="M32:M43" si="32">L32*1.1</f>
        <v>1891.0911801600002</v>
      </c>
      <c r="N32" s="187">
        <f>'Tariff Jul 2023'!AZ20</f>
        <v>0</v>
      </c>
      <c r="O32" s="187">
        <f>'Tariff Jul 2023'!BA20</f>
        <v>0</v>
      </c>
      <c r="P32" s="187">
        <f>'Tariff Jul 2023'!BB20</f>
        <v>0</v>
      </c>
      <c r="Q32" s="187">
        <f>'Tariff Jul 2023'!BC20</f>
        <v>0</v>
      </c>
      <c r="R32" s="192">
        <f>($F$6*'Tariff Jul 2023'!AT20/100)*4</f>
        <v>255.55456000000001</v>
      </c>
      <c r="S32" s="193" t="str">
        <f t="shared" si="23"/>
        <v>No discount</v>
      </c>
      <c r="T32" s="193" t="str">
        <f t="shared" si="24"/>
        <v>Exclusive</v>
      </c>
      <c r="U32" s="304">
        <f t="shared" si="25"/>
        <v>1719.1738001454546</v>
      </c>
      <c r="V32" s="283">
        <f t="shared" si="26"/>
        <v>1719.1738001454546</v>
      </c>
      <c r="W32" s="283">
        <f t="shared" si="27"/>
        <v>1463.6192401454546</v>
      </c>
      <c r="X32" s="283">
        <f t="shared" si="28"/>
        <v>1463.6192401454546</v>
      </c>
      <c r="Y32" s="285">
        <f t="shared" si="29"/>
        <v>1609.9811641600002</v>
      </c>
      <c r="Z32" s="285">
        <f t="shared" si="29"/>
        <v>1609.9811641600002</v>
      </c>
      <c r="AA32" s="194">
        <f>'Tariff Jul 2023'!AT20</f>
        <v>8</v>
      </c>
      <c r="AB32" s="196">
        <f>'Tariff Jul 2023'!G20</f>
        <v>43646</v>
      </c>
      <c r="AC32" s="361"/>
      <c r="AD32" s="361"/>
      <c r="AE32" s="361"/>
      <c r="AF32" s="361"/>
      <c r="AG32" s="361"/>
      <c r="AH32" s="361"/>
      <c r="AI32" s="361"/>
      <c r="AJ32" s="361"/>
      <c r="AK32" s="361"/>
      <c r="AL32" s="361"/>
      <c r="AM32" s="361"/>
      <c r="AN32" s="361"/>
      <c r="AO32" s="361"/>
      <c r="AP32" s="361"/>
      <c r="AQ32" s="361"/>
      <c r="AR32" s="361"/>
      <c r="AS32" s="361"/>
      <c r="AT32" s="361"/>
    </row>
    <row r="33" spans="1:46" s="187" customFormat="1" x14ac:dyDescent="0.15">
      <c r="A33" s="186" t="str">
        <f>'Tariff Jul 2023'!K21</f>
        <v>Diamond Energy</v>
      </c>
      <c r="B33" s="187" t="str">
        <f>'Tariff Jul 2023'!L21</f>
        <v>Renewable Saver</v>
      </c>
      <c r="C33" s="208">
        <f>IF('Tariff Jul 2023'!BP21=0,91*'Tariff Jul 2023'!M21/100,(91*'Tariff Jul 2023'!M21/100)+'Tariff Jul 2023'!BP21/4)</f>
        <v>72.8</v>
      </c>
      <c r="D33" s="208">
        <f>IF('Tariff Jul 2023'!O21="",$H$5*'Tariff Jul 2023'!N21/100,IF($H$5&gt;='Tariff Jul 2023'!P21,('Tariff Jul 2023'!P21*'Tariff Jul 2023'!N21/100),($H$5*'Tariff Jul 2023'!N21/100)))</f>
        <v>128.99999999999997</v>
      </c>
      <c r="E33" s="208">
        <f>IF(AND('Tariff Jul 2023'!P21&gt;0,'Tariff Jul 2023'!R21&gt;0),IF($H$5&lt;'Tariff Jul 2023'!P21,0,IF($H$5&lt;=('Tariff Jul 2023'!R21+'Tariff Jul 2023'!P21),(($H$5-'Tariff Jul 2023'!P21)*'Tariff Jul 2023'!Q21/100),(('Tariff Jul 2023'!R21)*'Tariff Jul 2023'!Q21/100))),0)</f>
        <v>110.03404974545454</v>
      </c>
      <c r="F33" s="208">
        <f>IF(AND('Tariff Jul 2023'!Q21&gt;0,'Tariff Jul 2023'!S21&gt;0),IF($H$5&lt;('Tariff Jul 2023'!R21+'Tariff Jul 2023'!P21),0,IF($H$5&lt;=('Tariff Jul 2023'!T21+'Tariff Jul 2023'!R21+'Tariff Jul 2023'!P21),(($H$5-('Tariff Jul 2023'!R21+'Tariff Jul 2023'!P21))*'Tariff Jul 2023'!S21/100),('Tariff Jul 2023'!T21*'Tariff Jul 2023'!S21/100))),0)</f>
        <v>0</v>
      </c>
      <c r="G33" s="208">
        <f>IF('Tariff Jul 2023'!T21&gt;0,IF(($H$5&lt;'Tariff Jul 2023'!T21),(0),($H$5-'Tariff Jul 2023'!T21)*'Tariff Jul 2023'!U21/100),IF(AND('Tariff Jul 2023'!R21&gt;0,'Tariff Jul 2023'!T21=""),IF(($H$5&lt;'Tariff Jul 2023'!R21),(0),($H$5-'Tariff Jul 2023'!R21)*'Tariff Jul 2023'!S21/100),IF(AND('Tariff Jul 2023'!P21&gt;0,'Tariff Jul 2023'!R21=""),IF(($H$5&lt;'Tariff Jul 2023'!P21),(0),($H$5-'Tariff Jul 2023'!P21)*'Tariff Jul 2023'!Q21/100),0)))</f>
        <v>0</v>
      </c>
      <c r="H33" s="208">
        <f>($I$5)*'Tariff Jul 2023'!AE21/100</f>
        <v>36.775449599999995</v>
      </c>
      <c r="I33" s="208">
        <v>0</v>
      </c>
      <c r="J33" s="208">
        <f t="shared" si="30"/>
        <v>348.60949934545448</v>
      </c>
      <c r="K33" s="283">
        <f t="shared" ref="K33:K43" si="33">(J33-C33)*4</f>
        <v>1103.2379973818179</v>
      </c>
      <c r="L33" s="283">
        <f t="shared" si="31"/>
        <v>1394.4379973818179</v>
      </c>
      <c r="M33" s="191">
        <f t="shared" si="32"/>
        <v>1533.8817971199999</v>
      </c>
      <c r="N33" s="187">
        <f>'Tariff Jul 2023'!AZ21</f>
        <v>0</v>
      </c>
      <c r="O33" s="187">
        <f>'Tariff Jul 2023'!BA21</f>
        <v>0</v>
      </c>
      <c r="P33" s="187">
        <f>'Tariff Jul 2023'!BB21</f>
        <v>2</v>
      </c>
      <c r="Q33" s="187">
        <f>'Tariff Jul 2023'!BC21</f>
        <v>0</v>
      </c>
      <c r="R33" s="192">
        <f>($F$6*'Tariff Jul 2023'!AT21/100)*4</f>
        <v>166.11046400000004</v>
      </c>
      <c r="S33" s="193" t="str">
        <f t="shared" si="23"/>
        <v>Pay-on-time off bill</v>
      </c>
      <c r="T33" s="193" t="str">
        <f t="shared" si="24"/>
        <v>Exclusive</v>
      </c>
      <c r="U33" s="304">
        <f t="shared" si="25"/>
        <v>1394.4379973818179</v>
      </c>
      <c r="V33" s="283">
        <f t="shared" si="26"/>
        <v>1366.5492374341816</v>
      </c>
      <c r="W33" s="283">
        <f t="shared" si="27"/>
        <v>1228.3275333818178</v>
      </c>
      <c r="X33" s="283">
        <f t="shared" si="28"/>
        <v>1200.4387734341815</v>
      </c>
      <c r="Y33" s="285">
        <f t="shared" si="29"/>
        <v>1351.1602867199997</v>
      </c>
      <c r="Z33" s="285">
        <f t="shared" si="29"/>
        <v>1320.4826507775997</v>
      </c>
      <c r="AA33" s="194">
        <f>'Tariff Jul 2023'!AT21</f>
        <v>5.2</v>
      </c>
      <c r="AB33" s="196">
        <f>'Tariff Jul 2023'!G21</f>
        <v>43646</v>
      </c>
      <c r="AC33" s="361"/>
      <c r="AD33" s="361"/>
      <c r="AE33" s="361"/>
      <c r="AF33" s="361"/>
      <c r="AG33" s="361"/>
      <c r="AH33" s="361"/>
      <c r="AI33" s="361"/>
      <c r="AJ33" s="361"/>
      <c r="AK33" s="361"/>
      <c r="AL33" s="361"/>
      <c r="AM33" s="361"/>
      <c r="AN33" s="361"/>
      <c r="AO33" s="361"/>
      <c r="AP33" s="361"/>
      <c r="AQ33" s="361"/>
      <c r="AR33" s="361"/>
      <c r="AS33" s="361"/>
      <c r="AT33" s="361"/>
    </row>
    <row r="34" spans="1:46" s="187" customFormat="1" x14ac:dyDescent="0.15">
      <c r="A34" s="186" t="str">
        <f>'Tariff Jul 2023'!K22</f>
        <v>EnergyAustralia</v>
      </c>
      <c r="B34" s="187" t="str">
        <f>'Tariff Jul 2023'!L22</f>
        <v>Solar Max</v>
      </c>
      <c r="C34" s="208">
        <f>IF('Tariff Jul 2023'!BP22=0,91*'Tariff Jul 2023'!M22/100,(91*'Tariff Jul 2023'!M22/100)+'Tariff Jul 2023'!BP22/4)</f>
        <v>86.449999999999989</v>
      </c>
      <c r="D34" s="208">
        <f>IF('Tariff Jul 2023'!O22="",$H$5*'Tariff Jul 2023'!N22/100,IF($H$5&gt;='Tariff Jul 2023'!P22,('Tariff Jul 2023'!P22*'Tariff Jul 2023'!N22/100),($H$5*'Tariff Jul 2023'!N22/100)))</f>
        <v>306.92731810909089</v>
      </c>
      <c r="E34" s="208">
        <f>IF(AND('Tariff Jul 2023'!P22&gt;0,'Tariff Jul 2023'!R22&gt;0),IF($H$5&lt;'Tariff Jul 2023'!P22,0,IF($H$5&lt;=('Tariff Jul 2023'!R22+'Tariff Jul 2023'!P22),(($H$5-'Tariff Jul 2023'!P22)*'Tariff Jul 2023'!Q22/100),(('Tariff Jul 2023'!R22)*'Tariff Jul 2023'!Q22/100))),0)</f>
        <v>0</v>
      </c>
      <c r="F34" s="208">
        <f>IF(AND('Tariff Jul 2023'!Q22&gt;0,'Tariff Jul 2023'!S22&gt;0),IF($H$5&lt;('Tariff Jul 2023'!R22+'Tariff Jul 2023'!P22),0,IF($H$5&lt;=('Tariff Jul 2023'!T22+'Tariff Jul 2023'!R22+'Tariff Jul 2023'!P22),(($H$5-('Tariff Jul 2023'!R22+'Tariff Jul 2023'!P22))*'Tariff Jul 2023'!S22/100),('Tariff Jul 2023'!T22*'Tariff Jul 2023'!S22/100))),0)</f>
        <v>0</v>
      </c>
      <c r="G34" s="208">
        <f>IF('Tariff Jul 2023'!T22&gt;0,IF(($H$5&lt;'Tariff Jul 2023'!T22),(0),($H$5-'Tariff Jul 2023'!T22)*'Tariff Jul 2023'!U22/100),IF(AND('Tariff Jul 2023'!R22&gt;0,'Tariff Jul 2023'!T22=""),IF(($H$5&lt;'Tariff Jul 2023'!R22),(0),($H$5-'Tariff Jul 2023'!R22)*'Tariff Jul 2023'!S22/100),IF(AND('Tariff Jul 2023'!P22&gt;0,'Tariff Jul 2023'!R22=""),IF(($H$5&lt;'Tariff Jul 2023'!P22),(0),($H$5-'Tariff Jul 2023'!P22)*'Tariff Jul 2023'!Q22/100),0)))</f>
        <v>0</v>
      </c>
      <c r="H34" s="208">
        <f>($I$5)*'Tariff Jul 2023'!AE22/100</f>
        <v>37.132492800000001</v>
      </c>
      <c r="I34" s="208">
        <f>IF((I7&lt;'Tariff Jul 2023'!AF22),(0),(I7-'Tariff Jul 2023'!AF22)*'Tariff Jul 2023'!AG22/100)</f>
        <v>0</v>
      </c>
      <c r="J34" s="208">
        <f t="shared" si="30"/>
        <v>430.5098109090909</v>
      </c>
      <c r="K34" s="283">
        <f t="shared" si="33"/>
        <v>1376.2392436363637</v>
      </c>
      <c r="L34" s="283">
        <f t="shared" si="31"/>
        <v>1722.0392436363636</v>
      </c>
      <c r="M34" s="191">
        <f t="shared" si="32"/>
        <v>1894.2431680000002</v>
      </c>
      <c r="N34" s="187">
        <f>'Tariff Jul 2023'!AZ22</f>
        <v>0</v>
      </c>
      <c r="O34" s="187">
        <f>'Tariff Jul 2023'!BA22</f>
        <v>0</v>
      </c>
      <c r="P34" s="187">
        <f>'Tariff Jul 2023'!BB22</f>
        <v>0</v>
      </c>
      <c r="Q34" s="187">
        <f>'Tariff Jul 2023'!BC22</f>
        <v>0</v>
      </c>
      <c r="R34" s="192">
        <f>($F$6*'Tariff Jul 2023'!AT22/100)*4</f>
        <v>479.16480000000001</v>
      </c>
      <c r="S34" s="193" t="str">
        <f t="shared" si="23"/>
        <v>No discount</v>
      </c>
      <c r="T34" s="193" t="str">
        <f t="shared" si="24"/>
        <v>Exclusive</v>
      </c>
      <c r="U34" s="304">
        <f t="shared" si="25"/>
        <v>1722.0392436363636</v>
      </c>
      <c r="V34" s="283">
        <f t="shared" si="26"/>
        <v>1722.0392436363636</v>
      </c>
      <c r="W34" s="283">
        <f t="shared" si="27"/>
        <v>1242.8744436363636</v>
      </c>
      <c r="X34" s="283">
        <f t="shared" si="28"/>
        <v>1242.8744436363636</v>
      </c>
      <c r="Y34" s="285">
        <f t="shared" si="29"/>
        <v>1367.1618880000001</v>
      </c>
      <c r="Z34" s="285">
        <f t="shared" si="29"/>
        <v>1367.1618880000001</v>
      </c>
      <c r="AA34" s="194">
        <f>'Tariff Jul 2023'!AT22</f>
        <v>15</v>
      </c>
      <c r="AB34" s="196">
        <f>'Tariff Jul 2023'!G22</f>
        <v>43646</v>
      </c>
      <c r="AC34" s="361"/>
      <c r="AD34" s="361"/>
      <c r="AE34" s="361"/>
      <c r="AF34" s="361"/>
      <c r="AG34" s="361"/>
      <c r="AH34" s="361"/>
      <c r="AI34" s="361"/>
      <c r="AJ34" s="361"/>
      <c r="AK34" s="361"/>
      <c r="AL34" s="361"/>
      <c r="AM34" s="361"/>
      <c r="AN34" s="361"/>
      <c r="AO34" s="361"/>
      <c r="AP34" s="361"/>
      <c r="AQ34" s="361"/>
      <c r="AR34" s="361"/>
      <c r="AS34" s="361"/>
      <c r="AT34" s="361"/>
    </row>
    <row r="35" spans="1:46" s="187" customFormat="1" x14ac:dyDescent="0.15">
      <c r="A35" s="186" t="str">
        <f>'Tariff Jul 2023'!K23</f>
        <v>Lumo Energy</v>
      </c>
      <c r="B35" s="187" t="str">
        <f>'Tariff Jul 2023'!L23</f>
        <v>Plus</v>
      </c>
      <c r="C35" s="208">
        <f>IF('Tariff Jul 2023'!BP23=0,91*'Tariff Jul 2023'!M23/100,(91*'Tariff Jul 2023'!M23/100)+'Tariff Jul 2023'!BP23/4)</f>
        <v>76.580636363636344</v>
      </c>
      <c r="D35" s="208">
        <f>IF('Tariff Jul 2023'!O23="",$H$5*'Tariff Jul 2023'!N23/100,IF($H$5&gt;='Tariff Jul 2023'!P23,('Tariff Jul 2023'!P23*'Tariff Jul 2023'!N23/100),($H$5*'Tariff Jul 2023'!N23/100)))</f>
        <v>235.51867810909087</v>
      </c>
      <c r="E35" s="208">
        <f>IF(AND('Tariff Jul 2023'!P23&gt;0,'Tariff Jul 2023'!R23&gt;0),IF($H$5&lt;'Tariff Jul 2023'!P23,0,IF($H$5&lt;=('Tariff Jul 2023'!R23+'Tariff Jul 2023'!P23),(($H$5-'Tariff Jul 2023'!P23)*'Tariff Jul 2023'!Q23/100),(('Tariff Jul 2023'!R23)*'Tariff Jul 2023'!Q23/100))),0)</f>
        <v>0</v>
      </c>
      <c r="F35" s="208">
        <f>IF(AND('Tariff Jul 2023'!Q23&gt;0,'Tariff Jul 2023'!S23&gt;0),IF($H$5&lt;('Tariff Jul 2023'!R23+'Tariff Jul 2023'!P23),0,IF($H$5&lt;=('Tariff Jul 2023'!T23+'Tariff Jul 2023'!R23+'Tariff Jul 2023'!P23),(($H$5-('Tariff Jul 2023'!R23+'Tariff Jul 2023'!P23))*'Tariff Jul 2023'!S23/100),('Tariff Jul 2023'!T23*'Tariff Jul 2023'!S23/100))),0)</f>
        <v>0</v>
      </c>
      <c r="G35" s="208">
        <f>IF('Tariff Jul 2023'!T23&gt;0,IF(($H$5&lt;'Tariff Jul 2023'!T23),(0),($H$5-'Tariff Jul 2023'!T23)*'Tariff Jul 2023'!U23/100),IF(AND('Tariff Jul 2023'!R23&gt;0,'Tariff Jul 2023'!T23=""),IF(($H$5&lt;'Tariff Jul 2023'!R23),(0),($H$5-'Tariff Jul 2023'!R23)*'Tariff Jul 2023'!S23/100),IF(AND('Tariff Jul 2023'!P23&gt;0,'Tariff Jul 2023'!R23=""),IF(($H$5&lt;'Tariff Jul 2023'!P23),(0),($H$5-'Tariff Jul 2023'!P23)*'Tariff Jul 2023'!Q23/100),0)))</f>
        <v>0</v>
      </c>
      <c r="H35" s="208">
        <f>($I$5)*'Tariff Jul 2023'!AE23/100</f>
        <v>32.133887999999999</v>
      </c>
      <c r="I35" s="208">
        <v>0</v>
      </c>
      <c r="J35" s="208">
        <f t="shared" si="30"/>
        <v>344.23320247272721</v>
      </c>
      <c r="K35" s="283">
        <f t="shared" si="33"/>
        <v>1070.6102644363634</v>
      </c>
      <c r="L35" s="283">
        <f t="shared" si="31"/>
        <v>1376.9328098909089</v>
      </c>
      <c r="M35" s="191">
        <f t="shared" si="32"/>
        <v>1514.6260908799998</v>
      </c>
      <c r="N35" s="187">
        <f>'Tariff Jul 2023'!AZ23</f>
        <v>0</v>
      </c>
      <c r="O35" s="187">
        <f>'Tariff Jul 2023'!BA23</f>
        <v>0</v>
      </c>
      <c r="P35" s="187">
        <f>'Tariff Jul 2023'!BB23</f>
        <v>0</v>
      </c>
      <c r="Q35" s="187">
        <f>'Tariff Jul 2023'!BC23</f>
        <v>0</v>
      </c>
      <c r="R35" s="192">
        <f>($F$6*'Tariff Jul 2023'!AT23/100)*4</f>
        <v>95.83296</v>
      </c>
      <c r="S35" s="193" t="str">
        <f t="shared" si="23"/>
        <v>No discount</v>
      </c>
      <c r="T35" s="193" t="str">
        <f t="shared" si="24"/>
        <v>Exclusive</v>
      </c>
      <c r="U35" s="304">
        <f t="shared" si="25"/>
        <v>1376.9328098909089</v>
      </c>
      <c r="V35" s="283">
        <f t="shared" si="26"/>
        <v>1376.9328098909089</v>
      </c>
      <c r="W35" s="283">
        <f t="shared" si="27"/>
        <v>1281.0998498909089</v>
      </c>
      <c r="X35" s="283">
        <f t="shared" si="28"/>
        <v>1281.0998498909089</v>
      </c>
      <c r="Y35" s="285">
        <f t="shared" si="29"/>
        <v>1409.20983488</v>
      </c>
      <c r="Z35" s="285">
        <f t="shared" si="29"/>
        <v>1409.20983488</v>
      </c>
      <c r="AA35" s="194">
        <f>'Tariff Jul 2023'!AT23</f>
        <v>3</v>
      </c>
      <c r="AB35" s="196">
        <f>'Tariff Jul 2023'!G23</f>
        <v>43646</v>
      </c>
      <c r="AC35" s="361"/>
      <c r="AD35" s="361"/>
      <c r="AE35" s="361"/>
      <c r="AF35" s="361"/>
      <c r="AG35" s="361"/>
      <c r="AH35" s="361"/>
      <c r="AI35" s="361"/>
      <c r="AJ35" s="361"/>
      <c r="AK35" s="361"/>
      <c r="AL35" s="361"/>
      <c r="AM35" s="361"/>
      <c r="AN35" s="361"/>
      <c r="AO35" s="361"/>
      <c r="AP35" s="361"/>
      <c r="AQ35" s="361"/>
      <c r="AR35" s="361"/>
      <c r="AS35" s="361"/>
      <c r="AT35" s="361"/>
    </row>
    <row r="36" spans="1:46" s="187" customFormat="1" x14ac:dyDescent="0.15">
      <c r="A36" s="186" t="str">
        <f>'Tariff Jul 2023'!K24</f>
        <v>Origin Energy</v>
      </c>
      <c r="B36" s="187" t="str">
        <f>'Tariff Jul 2023'!L24</f>
        <v>Solar Boost</v>
      </c>
      <c r="C36" s="208">
        <f>IF('Tariff Jul 2023'!BP24=0,91*'Tariff Jul 2023'!M24/100,(91*'Tariff Jul 2023'!M24/100)+'Tariff Jul 2023'!BP24/4)</f>
        <v>89.899727272727262</v>
      </c>
      <c r="D36" s="208">
        <f>IF('Tariff Jul 2023'!O24="",$H$5*'Tariff Jul 2023'!N24/100,IF($H$5&gt;='Tariff Jul 2023'!P24,('Tariff Jul 2023'!P24*'Tariff Jul 2023'!N24/100),($H$5*'Tariff Jul 2023'!N24/100)))</f>
        <v>304.39555723636363</v>
      </c>
      <c r="E36" s="208">
        <f>IF(AND('Tariff Jul 2023'!P24&gt;0,'Tariff Jul 2023'!R24&gt;0),IF($H$5&lt;'Tariff Jul 2023'!P24,0,IF($H$5&lt;=('Tariff Jul 2023'!R24+'Tariff Jul 2023'!P24),(($H$5-'Tariff Jul 2023'!P24)*'Tariff Jul 2023'!Q24/100),(('Tariff Jul 2023'!R24)*'Tariff Jul 2023'!Q24/100))),0)</f>
        <v>0</v>
      </c>
      <c r="F36" s="208">
        <f>IF(AND('Tariff Jul 2023'!Q24&gt;0,'Tariff Jul 2023'!S24&gt;0),IF($H$5&lt;('Tariff Jul 2023'!R24+'Tariff Jul 2023'!P24),0,IF($H$5&lt;=('Tariff Jul 2023'!T24+'Tariff Jul 2023'!R24+'Tariff Jul 2023'!P24),(($H$5-('Tariff Jul 2023'!R24+'Tariff Jul 2023'!P24))*'Tariff Jul 2023'!S24/100),('Tariff Jul 2023'!T24*'Tariff Jul 2023'!S24/100))),0)</f>
        <v>0</v>
      </c>
      <c r="G36" s="208">
        <f>IF('Tariff Jul 2023'!T24&gt;0,IF(($H$5&lt;'Tariff Jul 2023'!T24),(0),($H$5-'Tariff Jul 2023'!T24)*'Tariff Jul 2023'!U24/100),IF(AND('Tariff Jul 2023'!R24&gt;0,'Tariff Jul 2023'!T24=""),IF(($H$5&lt;'Tariff Jul 2023'!R24),(0),($H$5-'Tariff Jul 2023'!R24)*'Tariff Jul 2023'!S24/100),IF(AND('Tariff Jul 2023'!P24&gt;0,'Tariff Jul 2023'!R24=""),IF(($H$5&lt;'Tariff Jul 2023'!P24),(0),($H$5-'Tariff Jul 2023'!P24)*'Tariff Jul 2023'!Q24/100),0)))</f>
        <v>0</v>
      </c>
      <c r="H36" s="208">
        <f>($I$5)*'Tariff Jul 2023'!AE24/100</f>
        <v>36.543371520000001</v>
      </c>
      <c r="I36" s="208">
        <v>0</v>
      </c>
      <c r="J36" s="208">
        <f t="shared" si="30"/>
        <v>430.83865602909088</v>
      </c>
      <c r="K36" s="283">
        <f t="shared" si="33"/>
        <v>1363.7557150254545</v>
      </c>
      <c r="L36" s="283">
        <f t="shared" si="31"/>
        <v>1723.3546241163635</v>
      </c>
      <c r="M36" s="191">
        <f t="shared" si="32"/>
        <v>1895.6900865279999</v>
      </c>
      <c r="N36" s="187">
        <f>'Tariff Jul 2023'!AZ24</f>
        <v>0</v>
      </c>
      <c r="O36" s="187">
        <f>'Tariff Jul 2023'!BA24</f>
        <v>0</v>
      </c>
      <c r="P36" s="187">
        <f>'Tariff Jul 2023'!BB24</f>
        <v>0</v>
      </c>
      <c r="Q36" s="187">
        <f>'Tariff Jul 2023'!BC24</f>
        <v>0</v>
      </c>
      <c r="R36" s="192">
        <f>($F$6*'Tariff Jul 2023'!AT24/100)*4</f>
        <v>383.33184</v>
      </c>
      <c r="S36" s="193" t="str">
        <f t="shared" si="23"/>
        <v>No discount</v>
      </c>
      <c r="T36" s="193" t="str">
        <f t="shared" si="24"/>
        <v>Inclusive</v>
      </c>
      <c r="U36" s="304">
        <f t="shared" si="25"/>
        <v>1723.3546241163635</v>
      </c>
      <c r="V36" s="283">
        <f t="shared" si="26"/>
        <v>1723.3546241163635</v>
      </c>
      <c r="W36" s="283">
        <f t="shared" si="27"/>
        <v>1340.0227841163635</v>
      </c>
      <c r="X36" s="283">
        <f t="shared" si="28"/>
        <v>1340.0227841163635</v>
      </c>
      <c r="Y36" s="285">
        <f t="shared" si="29"/>
        <v>1474.025062528</v>
      </c>
      <c r="Z36" s="285">
        <f t="shared" si="29"/>
        <v>1474.025062528</v>
      </c>
      <c r="AA36" s="194">
        <f>'Tariff Jul 2023'!AT24</f>
        <v>12</v>
      </c>
      <c r="AB36" s="196">
        <f>'Tariff Jul 2023'!G24</f>
        <v>43287</v>
      </c>
      <c r="AC36" s="361"/>
      <c r="AD36" s="361"/>
      <c r="AE36" s="361"/>
      <c r="AF36" s="361"/>
      <c r="AG36" s="361"/>
      <c r="AH36" s="361"/>
      <c r="AI36" s="361"/>
      <c r="AJ36" s="361"/>
      <c r="AK36" s="361"/>
      <c r="AL36" s="361"/>
      <c r="AM36" s="361"/>
      <c r="AN36" s="361"/>
      <c r="AO36" s="361"/>
      <c r="AP36" s="361"/>
      <c r="AQ36" s="361"/>
      <c r="AR36" s="361"/>
      <c r="AS36" s="361"/>
      <c r="AT36" s="361"/>
    </row>
    <row r="37" spans="1:46" s="187" customFormat="1" x14ac:dyDescent="0.15">
      <c r="A37" s="186" t="str">
        <f>'Tariff Jul 2023'!K25</f>
        <v>Red Energy</v>
      </c>
      <c r="B37" s="187" t="str">
        <f>'Tariff Jul 2023'!L25</f>
        <v>Living Energy Saver</v>
      </c>
      <c r="C37" s="208">
        <f>IF('Tariff Jul 2023'!BP25=0,91*'Tariff Jul 2023'!M25/100,(91*'Tariff Jul 2023'!M25/100)+'Tariff Jul 2023'!BP25/4)</f>
        <v>77.349999999999994</v>
      </c>
      <c r="D37" s="208">
        <f>IF('Tariff Jul 2023'!O25="",$H$5*'Tariff Jul 2023'!N25/100,IF($H$5&gt;='Tariff Jul 2023'!P25,('Tariff Jul 2023'!P25*'Tariff Jul 2023'!N25/100),($H$5*'Tariff Jul 2023'!N25/100)))</f>
        <v>241.03661847272733</v>
      </c>
      <c r="E37" s="208">
        <f>IF(AND('Tariff Jul 2023'!P25&gt;0,'Tariff Jul 2023'!R25&gt;0),IF($H$5&lt;'Tariff Jul 2023'!P25,0,IF($H$5&lt;=('Tariff Jul 2023'!R25+'Tariff Jul 2023'!P25),(($H$5-'Tariff Jul 2023'!P25)*'Tariff Jul 2023'!Q25/100),(('Tariff Jul 2023'!R25)*'Tariff Jul 2023'!Q25/100))),0)</f>
        <v>0</v>
      </c>
      <c r="F37" s="208">
        <f>IF(AND('Tariff Jul 2023'!Q25&gt;0,'Tariff Jul 2023'!S25&gt;0),IF($H$5&lt;('Tariff Jul 2023'!R25+'Tariff Jul 2023'!P25),0,IF($H$5&lt;=('Tariff Jul 2023'!T25+'Tariff Jul 2023'!R25+'Tariff Jul 2023'!P25),(($H$5-('Tariff Jul 2023'!R25+'Tariff Jul 2023'!P25))*'Tariff Jul 2023'!S25/100),('Tariff Jul 2023'!T25*'Tariff Jul 2023'!S25/100))),0)</f>
        <v>0</v>
      </c>
      <c r="G37" s="208">
        <f>IF('Tariff Jul 2023'!T25&gt;0,IF(($H$5&lt;'Tariff Jul 2023'!T25),(0),($H$5-'Tariff Jul 2023'!T25)*'Tariff Jul 2023'!U25/100),IF(AND('Tariff Jul 2023'!R25&gt;0,'Tariff Jul 2023'!T25=""),IF(($H$5&lt;'Tariff Jul 2023'!R25),(0),($H$5-'Tariff Jul 2023'!R25)*'Tariff Jul 2023'!S25/100),IF(AND('Tariff Jul 2023'!P25&gt;0,'Tariff Jul 2023'!R25=""),IF(($H$5&lt;'Tariff Jul 2023'!P25),(0),($H$5-'Tariff Jul 2023'!P25)*'Tariff Jul 2023'!Q25/100),0)))</f>
        <v>0</v>
      </c>
      <c r="H37" s="208">
        <f>($I$5)*'Tariff Jul 2023'!AE25/100</f>
        <v>32.133887999999999</v>
      </c>
      <c r="I37" s="208">
        <v>0</v>
      </c>
      <c r="J37" s="208">
        <f t="shared" si="30"/>
        <v>350.52050647272733</v>
      </c>
      <c r="K37" s="283">
        <f t="shared" si="33"/>
        <v>1092.6820258909092</v>
      </c>
      <c r="L37" s="283">
        <f t="shared" si="31"/>
        <v>1402.0820258909093</v>
      </c>
      <c r="M37" s="191">
        <f t="shared" si="32"/>
        <v>1542.2902284800005</v>
      </c>
      <c r="N37" s="187">
        <f>'Tariff Jul 2023'!AZ25</f>
        <v>0</v>
      </c>
      <c r="O37" s="187">
        <f>'Tariff Jul 2023'!BA25</f>
        <v>0</v>
      </c>
      <c r="P37" s="187">
        <f>'Tariff Jul 2023'!BB25</f>
        <v>0</v>
      </c>
      <c r="Q37" s="187">
        <f>'Tariff Jul 2023'!BC25</f>
        <v>0</v>
      </c>
      <c r="R37" s="192">
        <f>($F$6*'Tariff Jul 2023'!AT25/100)*4</f>
        <v>95.83296</v>
      </c>
      <c r="S37" s="193" t="str">
        <f t="shared" si="23"/>
        <v>No discount</v>
      </c>
      <c r="T37" s="193" t="str">
        <f t="shared" si="24"/>
        <v>Inclusive</v>
      </c>
      <c r="U37" s="304">
        <f t="shared" si="25"/>
        <v>1402.0820258909093</v>
      </c>
      <c r="V37" s="283">
        <f t="shared" si="26"/>
        <v>1402.0820258909093</v>
      </c>
      <c r="W37" s="283">
        <f t="shared" si="27"/>
        <v>1306.2490658909094</v>
      </c>
      <c r="X37" s="283">
        <f t="shared" si="28"/>
        <v>1306.2490658909094</v>
      </c>
      <c r="Y37" s="285">
        <f t="shared" si="29"/>
        <v>1436.8739724800005</v>
      </c>
      <c r="Z37" s="285">
        <f t="shared" si="29"/>
        <v>1436.8739724800005</v>
      </c>
      <c r="AA37" s="194">
        <f>'Tariff Jul 2023'!AT25</f>
        <v>3</v>
      </c>
      <c r="AB37" s="196">
        <f>'Tariff Jul 2023'!G25</f>
        <v>43646</v>
      </c>
      <c r="AC37" s="361"/>
      <c r="AD37" s="361"/>
      <c r="AE37" s="361"/>
      <c r="AF37" s="361"/>
      <c r="AG37" s="361"/>
      <c r="AH37" s="361"/>
      <c r="AI37" s="361"/>
      <c r="AJ37" s="361"/>
      <c r="AK37" s="361"/>
      <c r="AL37" s="361"/>
      <c r="AM37" s="361"/>
      <c r="AN37" s="361"/>
      <c r="AO37" s="361"/>
      <c r="AP37" s="361"/>
      <c r="AQ37" s="361"/>
      <c r="AR37" s="361"/>
      <c r="AS37" s="361"/>
      <c r="AT37" s="361"/>
    </row>
    <row r="38" spans="1:46" s="187" customFormat="1" x14ac:dyDescent="0.15">
      <c r="A38" s="186" t="str">
        <f>'Tariff Jul 2023'!K26</f>
        <v>Energy Locals</v>
      </c>
      <c r="B38" s="187" t="str">
        <f>'Tariff Jul 2023'!L26</f>
        <v>Online Member</v>
      </c>
      <c r="C38" s="208">
        <f>IF('Tariff Jul 2023'!BP26=0,91*'Tariff Jul 2023'!M26/100,(91*'Tariff Jul 2023'!M26/100)+'Tariff Jul 2023'!BP26/4)</f>
        <v>87.013636363636351</v>
      </c>
      <c r="D38" s="208">
        <f>IF('Tariff Jul 2023'!O26="",$H$5*'Tariff Jul 2023'!N26/100,IF($H$5&gt;='Tariff Jul 2023'!P26,('Tariff Jul 2023'!P26*'Tariff Jul 2023'!N26/100),($H$5*'Tariff Jul 2023'!N26/100)))</f>
        <v>275.89701818181817</v>
      </c>
      <c r="E38" s="208">
        <f>IF(AND('Tariff Jul 2023'!P26&gt;0,'Tariff Jul 2023'!R26&gt;0),IF($H$5&lt;'Tariff Jul 2023'!P26,0,IF($H$5&lt;=('Tariff Jul 2023'!R26+'Tariff Jul 2023'!P26),(($H$5-'Tariff Jul 2023'!P26)*'Tariff Jul 2023'!Q26/100),(('Tariff Jul 2023'!R26)*'Tariff Jul 2023'!Q26/100))),0)</f>
        <v>0</v>
      </c>
      <c r="F38" s="208">
        <f>IF(AND('Tariff Jul 2023'!Q26&gt;0,'Tariff Jul 2023'!S26&gt;0),IF($H$5&lt;('Tariff Jul 2023'!R26+'Tariff Jul 2023'!P26),0,IF($H$5&lt;=('Tariff Jul 2023'!T26+'Tariff Jul 2023'!R26+'Tariff Jul 2023'!P26),(($H$5-('Tariff Jul 2023'!R26+'Tariff Jul 2023'!P26))*'Tariff Jul 2023'!S26/100),('Tariff Jul 2023'!T26*'Tariff Jul 2023'!S26/100))),0)</f>
        <v>0</v>
      </c>
      <c r="G38" s="208">
        <f>IF('Tariff Jul 2023'!T26&gt;0,IF(($H$5&lt;'Tariff Jul 2023'!T26),(0),($H$5-'Tariff Jul 2023'!T26)*'Tariff Jul 2023'!U26/100),IF(AND('Tariff Jul 2023'!R26&gt;0,'Tariff Jul 2023'!T26=""),IF(($H$5&lt;'Tariff Jul 2023'!R26),(0),($H$5-'Tariff Jul 2023'!R26)*'Tariff Jul 2023'!S26/100),IF(AND('Tariff Jul 2023'!P26&gt;0,'Tariff Jul 2023'!R26=""),IF(($H$5&lt;'Tariff Jul 2023'!P26),(0),($H$5-'Tariff Jul 2023'!P26)*'Tariff Jul 2023'!Q26/100),0)))</f>
        <v>0</v>
      </c>
      <c r="H38" s="208">
        <f>($I$5)*'Tariff Jul 2023'!AE26/100</f>
        <v>56.802327272727268</v>
      </c>
      <c r="I38" s="208">
        <v>0</v>
      </c>
      <c r="J38" s="208">
        <f t="shared" si="30"/>
        <v>419.71298181818179</v>
      </c>
      <c r="K38" s="283">
        <f t="shared" si="33"/>
        <v>1330.7973818181817</v>
      </c>
      <c r="L38" s="283">
        <f t="shared" si="31"/>
        <v>1678.8519272727272</v>
      </c>
      <c r="M38" s="191">
        <f t="shared" si="32"/>
        <v>1846.73712</v>
      </c>
      <c r="N38" s="187">
        <f>'Tariff Jul 2023'!AZ26</f>
        <v>0</v>
      </c>
      <c r="O38" s="187">
        <f>'Tariff Jul 2023'!BA26</f>
        <v>0</v>
      </c>
      <c r="P38" s="187">
        <f>'Tariff Jul 2023'!BB26</f>
        <v>0</v>
      </c>
      <c r="Q38" s="187">
        <f>'Tariff Jul 2023'!BC26</f>
        <v>0</v>
      </c>
      <c r="R38" s="192">
        <f>($F$6*'Tariff Jul 2023'!AT26/100)*4</f>
        <v>303.47104000000002</v>
      </c>
      <c r="S38" s="193" t="str">
        <f t="shared" si="23"/>
        <v>No discount</v>
      </c>
      <c r="T38" s="193" t="str">
        <f t="shared" si="24"/>
        <v>Exclusive</v>
      </c>
      <c r="U38" s="304">
        <f t="shared" si="25"/>
        <v>1678.8519272727272</v>
      </c>
      <c r="V38" s="283">
        <f t="shared" si="26"/>
        <v>1678.8519272727272</v>
      </c>
      <c r="W38" s="283">
        <f t="shared" si="27"/>
        <v>1375.3808872727273</v>
      </c>
      <c r="X38" s="283">
        <f t="shared" si="28"/>
        <v>1375.3808872727273</v>
      </c>
      <c r="Y38" s="285">
        <f t="shared" si="29"/>
        <v>1512.9189760000002</v>
      </c>
      <c r="Z38" s="285">
        <f t="shared" si="29"/>
        <v>1512.9189760000002</v>
      </c>
      <c r="AA38" s="194">
        <f>'Tariff Jul 2023'!AT26</f>
        <v>9.5</v>
      </c>
      <c r="AB38" s="196">
        <f>'Tariff Jul 2023'!G26</f>
        <v>43646</v>
      </c>
      <c r="AC38" s="361"/>
      <c r="AD38" s="361"/>
      <c r="AE38" s="361"/>
      <c r="AF38" s="361"/>
      <c r="AG38" s="361"/>
      <c r="AH38" s="361"/>
      <c r="AI38" s="361"/>
      <c r="AJ38" s="361"/>
      <c r="AK38" s="361"/>
      <c r="AL38" s="361"/>
      <c r="AM38" s="361"/>
      <c r="AN38" s="361"/>
      <c r="AO38" s="361"/>
      <c r="AP38" s="361"/>
      <c r="AQ38" s="361"/>
      <c r="AR38" s="361"/>
      <c r="AS38" s="361"/>
      <c r="AT38" s="361"/>
    </row>
    <row r="39" spans="1:46" s="187" customFormat="1" x14ac:dyDescent="0.15">
      <c r="A39" s="186" t="str">
        <f>'Tariff Jul 2023'!K27</f>
        <v>Simply Energy</v>
      </c>
      <c r="B39" s="187" t="str">
        <f>'Tariff Jul 2023'!L27</f>
        <v>Solar</v>
      </c>
      <c r="C39" s="208">
        <f>IF('Tariff Jul 2023'!BP27=0,91*'Tariff Jul 2023'!M27/100,(91*'Tariff Jul 2023'!M27/100)+'Tariff Jul 2023'!BP27/4)</f>
        <v>99.909727272727267</v>
      </c>
      <c r="D39" s="208">
        <f>IF('Tariff Jul 2023'!O27="",$H$5*'Tariff Jul 2023'!N27/100,IF($H$5&gt;='Tariff Jul 2023'!P27,('Tariff Jul 2023'!P27*'Tariff Jul 2023'!N27/100),($H$5*'Tariff Jul 2023'!N27/100)))</f>
        <v>297.25469323636366</v>
      </c>
      <c r="E39" s="208">
        <f>IF(AND('Tariff Jul 2023'!P27&gt;0,'Tariff Jul 2023'!R27&gt;0),IF($H$5&lt;'Tariff Jul 2023'!P27,0,IF($H$5&lt;=('Tariff Jul 2023'!R27+'Tariff Jul 2023'!P27),(($H$5-'Tariff Jul 2023'!P27)*'Tariff Jul 2023'!Q27/100),(('Tariff Jul 2023'!R27)*'Tariff Jul 2023'!Q27/100))),0)</f>
        <v>0</v>
      </c>
      <c r="F39" s="208">
        <f>IF(AND('Tariff Jul 2023'!Q27&gt;0,'Tariff Jul 2023'!S27&gt;0),IF($H$5&lt;('Tariff Jul 2023'!R27+'Tariff Jul 2023'!P27),0,IF($H$5&lt;=('Tariff Jul 2023'!T27+'Tariff Jul 2023'!R27+'Tariff Jul 2023'!P27),(($H$5-('Tariff Jul 2023'!R27+'Tariff Jul 2023'!P27))*'Tariff Jul 2023'!S27/100),('Tariff Jul 2023'!T27*'Tariff Jul 2023'!S27/100))),0)</f>
        <v>0</v>
      </c>
      <c r="G39" s="208">
        <f>IF('Tariff Jul 2023'!T27&gt;0,IF(($H$5&lt;'Tariff Jul 2023'!T27),(0),($H$5-'Tariff Jul 2023'!T27)*'Tariff Jul 2023'!U27/100),IF(AND('Tariff Jul 2023'!R27&gt;0,'Tariff Jul 2023'!T27=""),IF(($H$5&lt;'Tariff Jul 2023'!R27),(0),($H$5-'Tariff Jul 2023'!R27)*'Tariff Jul 2023'!S27/100),IF(AND('Tariff Jul 2023'!P27&gt;0,'Tariff Jul 2023'!R27=""),IF(($H$5&lt;'Tariff Jul 2023'!P27),(0),($H$5-'Tariff Jul 2023'!P27)*'Tariff Jul 2023'!Q27/100),0)))</f>
        <v>0</v>
      </c>
      <c r="H39" s="208">
        <f>($I$5)*'Tariff Jul 2023'!AE27/100</f>
        <v>36.986429672727269</v>
      </c>
      <c r="I39" s="208">
        <v>0</v>
      </c>
      <c r="J39" s="208">
        <f t="shared" si="30"/>
        <v>434.15085018181821</v>
      </c>
      <c r="K39" s="283">
        <f t="shared" si="33"/>
        <v>1336.9644916363638</v>
      </c>
      <c r="L39" s="283">
        <f t="shared" si="31"/>
        <v>1736.6034007272729</v>
      </c>
      <c r="M39" s="191">
        <f t="shared" si="32"/>
        <v>1910.2637408000003</v>
      </c>
      <c r="N39" s="187">
        <f>'Tariff Jul 2023'!AZ27</f>
        <v>0</v>
      </c>
      <c r="O39" s="187">
        <f>'Tariff Jul 2023'!BA27</f>
        <v>0</v>
      </c>
      <c r="P39" s="187">
        <f>'Tariff Jul 2023'!BB27</f>
        <v>0</v>
      </c>
      <c r="Q39" s="187">
        <f>'Tariff Jul 2023'!BC27</f>
        <v>0</v>
      </c>
      <c r="R39" s="192">
        <f>($F$6*'Tariff Jul 2023'!AT27/100)*4</f>
        <v>255.55456000000001</v>
      </c>
      <c r="S39" s="193" t="str">
        <f t="shared" si="23"/>
        <v>No discount</v>
      </c>
      <c r="T39" s="193" t="str">
        <f t="shared" si="24"/>
        <v>Exclusive</v>
      </c>
      <c r="U39" s="304">
        <f t="shared" si="25"/>
        <v>1736.6034007272729</v>
      </c>
      <c r="V39" s="283">
        <f t="shared" si="26"/>
        <v>1736.6034007272729</v>
      </c>
      <c r="W39" s="283">
        <f t="shared" si="27"/>
        <v>1481.0488407272728</v>
      </c>
      <c r="X39" s="283">
        <f t="shared" si="28"/>
        <v>1481.0488407272728</v>
      </c>
      <c r="Y39" s="285">
        <f t="shared" si="29"/>
        <v>1629.1537248000002</v>
      </c>
      <c r="Z39" s="285">
        <f t="shared" si="29"/>
        <v>1629.1537248000002</v>
      </c>
      <c r="AA39" s="194">
        <f>'Tariff Jul 2023'!AT27</f>
        <v>8</v>
      </c>
      <c r="AB39" s="196">
        <f>'Tariff Jul 2023'!G27</f>
        <v>43646</v>
      </c>
      <c r="AC39" s="361"/>
      <c r="AD39" s="361"/>
      <c r="AE39" s="361"/>
      <c r="AF39" s="361"/>
      <c r="AG39" s="361"/>
      <c r="AH39" s="361"/>
      <c r="AI39" s="361"/>
      <c r="AJ39" s="361"/>
      <c r="AK39" s="361"/>
      <c r="AL39" s="361"/>
      <c r="AM39" s="361"/>
      <c r="AN39" s="361"/>
      <c r="AO39" s="361"/>
      <c r="AP39" s="361"/>
      <c r="AQ39" s="361"/>
      <c r="AR39" s="361"/>
      <c r="AS39" s="361"/>
      <c r="AT39" s="361"/>
    </row>
    <row r="40" spans="1:46" s="187" customFormat="1" x14ac:dyDescent="0.15">
      <c r="A40" s="186" t="str">
        <f>'Tariff Jul 2023'!K28</f>
        <v>Powershop</v>
      </c>
      <c r="B40" s="187" t="str">
        <f>'Tariff Jul 2023'!L28</f>
        <v>Carbon neutral</v>
      </c>
      <c r="C40" s="208">
        <f>IF('Tariff Jul 2023'!BP28=0,91*'Tariff Jul 2023'!M28/100,(91*'Tariff Jul 2023'!M28/100)+'Tariff Jul 2023'!BP28/4)</f>
        <v>121.63390909090909</v>
      </c>
      <c r="D40" s="208">
        <f>IF('Tariff Jul 2023'!O28="",$H$5*'Tariff Jul 2023'!N28/100,IF($H$5&gt;='Tariff Jul 2023'!P28,('Tariff Jul 2023'!P28*'Tariff Jul 2023'!N28/100),($H$5*'Tariff Jul 2023'!N28/100)))</f>
        <v>267.19814749090909</v>
      </c>
      <c r="E40" s="208">
        <f>IF(AND('Tariff Jul 2023'!P28&gt;0,'Tariff Jul 2023'!R28&gt;0),IF($H$5&lt;'Tariff Jul 2023'!P28,0,IF($H$5&lt;=('Tariff Jul 2023'!R28+'Tariff Jul 2023'!P28),(($H$5-'Tariff Jul 2023'!P28)*'Tariff Jul 2023'!Q28/100),(('Tariff Jul 2023'!R28)*'Tariff Jul 2023'!Q28/100))),0)</f>
        <v>0</v>
      </c>
      <c r="F40" s="208">
        <f>IF(AND('Tariff Jul 2023'!Q28&gt;0,'Tariff Jul 2023'!S28&gt;0),IF($H$5&lt;('Tariff Jul 2023'!R28+'Tariff Jul 2023'!P28),0,IF($H$5&lt;=('Tariff Jul 2023'!T28+'Tariff Jul 2023'!R28+'Tariff Jul 2023'!P28),(($H$5-('Tariff Jul 2023'!R28+'Tariff Jul 2023'!P28))*'Tariff Jul 2023'!S28/100),('Tariff Jul 2023'!T28*'Tariff Jul 2023'!S28/100))),0)</f>
        <v>0</v>
      </c>
      <c r="G40" s="208">
        <f>IF('Tariff Jul 2023'!T28&gt;0,IF(($H$5&lt;'Tariff Jul 2023'!T28),(0),($H$5-'Tariff Jul 2023'!T28)*'Tariff Jul 2023'!U28/100),IF(AND('Tariff Jul 2023'!R28&gt;0,'Tariff Jul 2023'!T28=""),IF(($H$5&lt;'Tariff Jul 2023'!R28),(0),($H$5-'Tariff Jul 2023'!R28)*'Tariff Jul 2023'!S28/100),IF(AND('Tariff Jul 2023'!P28&gt;0,'Tariff Jul 2023'!R28=""),IF(($H$5&lt;'Tariff Jul 2023'!P28),(0),($H$5-'Tariff Jul 2023'!P28)*'Tariff Jul 2023'!Q28/100),0)))</f>
        <v>0</v>
      </c>
      <c r="H40" s="208">
        <f>($I$5)*'Tariff Jul 2023'!AE28/100</f>
        <v>44.597941527272724</v>
      </c>
      <c r="I40" s="208">
        <v>0</v>
      </c>
      <c r="J40" s="208">
        <f t="shared" si="30"/>
        <v>433.42999810909089</v>
      </c>
      <c r="K40" s="283">
        <f t="shared" si="33"/>
        <v>1247.1843560727273</v>
      </c>
      <c r="L40" s="283">
        <f t="shared" si="31"/>
        <v>1733.7199924363636</v>
      </c>
      <c r="M40" s="191">
        <f t="shared" si="32"/>
        <v>1907.0919916800001</v>
      </c>
      <c r="N40" s="187">
        <f>'Tariff Jul 2023'!AZ28</f>
        <v>0</v>
      </c>
      <c r="O40" s="187">
        <f>'Tariff Jul 2023'!BA28</f>
        <v>0</v>
      </c>
      <c r="P40" s="187">
        <f>'Tariff Jul 2023'!BB28</f>
        <v>0</v>
      </c>
      <c r="Q40" s="187">
        <f>'Tariff Jul 2023'!BC28</f>
        <v>0</v>
      </c>
      <c r="R40" s="192">
        <f>($F$6*'Tariff Jul 2023'!AT28/100)*4</f>
        <v>159.72160000000002</v>
      </c>
      <c r="S40" s="193" t="str">
        <f t="shared" si="23"/>
        <v>No discount</v>
      </c>
      <c r="T40" s="193" t="str">
        <f t="shared" si="24"/>
        <v>Inclusive</v>
      </c>
      <c r="U40" s="304">
        <f t="shared" si="25"/>
        <v>1733.7199924363636</v>
      </c>
      <c r="V40" s="283">
        <f t="shared" si="26"/>
        <v>1733.7199924363636</v>
      </c>
      <c r="W40" s="283">
        <f t="shared" si="27"/>
        <v>1573.9983924363635</v>
      </c>
      <c r="X40" s="283">
        <f t="shared" si="28"/>
        <v>1573.9983924363635</v>
      </c>
      <c r="Y40" s="285">
        <f t="shared" si="29"/>
        <v>1731.39823168</v>
      </c>
      <c r="Z40" s="285">
        <f t="shared" si="29"/>
        <v>1731.39823168</v>
      </c>
      <c r="AA40" s="194">
        <f>'Tariff Jul 2023'!AT28</f>
        <v>5</v>
      </c>
      <c r="AB40" s="196">
        <f>'Tariff Jul 2023'!G28</f>
        <v>43646</v>
      </c>
      <c r="AC40" s="361"/>
      <c r="AD40" s="361"/>
      <c r="AE40" s="361"/>
      <c r="AF40" s="361"/>
      <c r="AG40" s="361"/>
      <c r="AH40" s="361"/>
      <c r="AI40" s="361"/>
      <c r="AJ40" s="361"/>
      <c r="AK40" s="361"/>
      <c r="AL40" s="361"/>
      <c r="AM40" s="361"/>
      <c r="AN40" s="361"/>
      <c r="AO40" s="361"/>
      <c r="AP40" s="361"/>
      <c r="AQ40" s="361"/>
      <c r="AR40" s="361"/>
      <c r="AS40" s="361"/>
      <c r="AT40" s="361"/>
    </row>
    <row r="41" spans="1:46" s="187" customFormat="1" x14ac:dyDescent="0.15">
      <c r="A41" s="186" t="str">
        <f>'Tariff Jul 2023'!K29</f>
        <v>Amber Electric</v>
      </c>
      <c r="B41" s="187" t="str">
        <f>'Tariff Jul 2023'!L29</f>
        <v>Amber Plan</v>
      </c>
      <c r="C41" s="208">
        <f>IF('Tariff Jul 2023'!BP29=0,91*'Tariff Jul 2023'!M29/100,(91*'Tariff Jul 2023'!M29/100)+'Tariff Jul 2023'!BP29/4)</f>
        <v>138.25163636363635</v>
      </c>
      <c r="D41" s="208">
        <f>IF('Tariff Jul 2023'!O29="",$H$5*'Tariff Jul 2023'!N29/100,IF($H$5&gt;='Tariff Jul 2023'!P29,('Tariff Jul 2023'!P29*'Tariff Jul 2023'!N29/100),($H$5*'Tariff Jul 2023'!N29/100)))</f>
        <v>330.03775069090909</v>
      </c>
      <c r="E41" s="208">
        <f>IF(AND('Tariff Jul 2023'!P29&gt;0,'Tariff Jul 2023'!R29&gt;0),IF($H$5&lt;'Tariff Jul 2023'!P29,0,IF($H$5&lt;=('Tariff Jul 2023'!R29+'Tariff Jul 2023'!P29),(($H$5-'Tariff Jul 2023'!P29)*'Tariff Jul 2023'!Q29/100),(('Tariff Jul 2023'!R29)*'Tariff Jul 2023'!Q29/100))),0)</f>
        <v>0</v>
      </c>
      <c r="F41" s="208">
        <f>IF(AND('Tariff Jul 2023'!Q29&gt;0,'Tariff Jul 2023'!S29&gt;0),IF($H$5&lt;('Tariff Jul 2023'!R29+'Tariff Jul 2023'!P29),0,IF($H$5&lt;=('Tariff Jul 2023'!T29+'Tariff Jul 2023'!R29+'Tariff Jul 2023'!P29),(($H$5-('Tariff Jul 2023'!R29+'Tariff Jul 2023'!P29))*'Tariff Jul 2023'!S29/100),('Tariff Jul 2023'!T29*'Tariff Jul 2023'!S29/100))),0)</f>
        <v>0</v>
      </c>
      <c r="G41" s="208">
        <f>IF('Tariff Jul 2023'!T29&gt;0,IF(($H$5&lt;'Tariff Jul 2023'!T29),(0),($H$5-'Tariff Jul 2023'!T29)*'Tariff Jul 2023'!U29/100),IF(AND('Tariff Jul 2023'!R29&gt;0,'Tariff Jul 2023'!T29=""),IF(($H$5&lt;'Tariff Jul 2023'!R29),(0),($H$5-'Tariff Jul 2023'!R29)*'Tariff Jul 2023'!S29/100),IF(AND('Tariff Jul 2023'!P29&gt;0,'Tariff Jul 2023'!R29=""),IF(($H$5&lt;'Tariff Jul 2023'!P29),(0),($H$5-'Tariff Jul 2023'!P29)*'Tariff Jul 2023'!Q29/100),0)))</f>
        <v>0</v>
      </c>
      <c r="H41" s="208">
        <f>($I$5)*'Tariff Jul 2023'!AE29/100</f>
        <v>60.632427054545452</v>
      </c>
      <c r="I41" s="208">
        <v>0</v>
      </c>
      <c r="J41" s="208">
        <f t="shared" si="30"/>
        <v>528.92181410909086</v>
      </c>
      <c r="K41" s="283">
        <f t="shared" si="33"/>
        <v>1562.680710981818</v>
      </c>
      <c r="L41" s="283">
        <f t="shared" si="31"/>
        <v>2115.6872564363634</v>
      </c>
      <c r="M41" s="191">
        <f t="shared" si="32"/>
        <v>2327.2559820800002</v>
      </c>
      <c r="N41" s="187">
        <f>'Tariff Jul 2023'!AZ29</f>
        <v>0</v>
      </c>
      <c r="O41" s="187">
        <f>'Tariff Jul 2023'!BA29</f>
        <v>0</v>
      </c>
      <c r="P41" s="187">
        <f>'Tariff Jul 2023'!BB29</f>
        <v>0</v>
      </c>
      <c r="Q41" s="187">
        <f>'Tariff Jul 2023'!BC29</f>
        <v>0</v>
      </c>
      <c r="R41" s="192">
        <f>($F$6*'Tariff Jul 2023'!AT29/100)*4</f>
        <v>0</v>
      </c>
      <c r="S41" s="193" t="str">
        <f t="shared" si="23"/>
        <v>No discount</v>
      </c>
      <c r="T41" s="193" t="str">
        <f t="shared" si="24"/>
        <v>Exclusive</v>
      </c>
      <c r="U41" s="304">
        <f t="shared" si="25"/>
        <v>2115.6872564363634</v>
      </c>
      <c r="V41" s="283">
        <f t="shared" si="26"/>
        <v>2115.6872564363634</v>
      </c>
      <c r="W41" s="283">
        <f t="shared" si="27"/>
        <v>2115.6872564363634</v>
      </c>
      <c r="X41" s="283">
        <f t="shared" si="28"/>
        <v>2115.6872564363634</v>
      </c>
      <c r="Y41" s="285">
        <f t="shared" si="29"/>
        <v>2327.2559820800002</v>
      </c>
      <c r="Z41" s="285">
        <f t="shared" si="29"/>
        <v>2327.2559820800002</v>
      </c>
      <c r="AA41" s="194">
        <f>'Tariff Jul 2023'!AT29</f>
        <v>0</v>
      </c>
      <c r="AB41" s="196">
        <f>'Tariff Jul 2023'!G29</f>
        <v>43646</v>
      </c>
      <c r="AC41" s="361"/>
      <c r="AD41" s="361"/>
      <c r="AE41" s="361"/>
      <c r="AF41" s="361"/>
      <c r="AG41" s="361"/>
      <c r="AH41" s="361"/>
      <c r="AI41" s="361"/>
      <c r="AJ41" s="361"/>
      <c r="AK41" s="361"/>
      <c r="AL41" s="361"/>
      <c r="AM41" s="361"/>
      <c r="AN41" s="361"/>
      <c r="AO41" s="361"/>
      <c r="AP41" s="361"/>
      <c r="AQ41" s="361"/>
      <c r="AR41" s="361"/>
      <c r="AS41" s="361"/>
      <c r="AT41" s="361"/>
    </row>
    <row r="42" spans="1:46" s="187" customFormat="1" x14ac:dyDescent="0.15">
      <c r="A42" s="186" t="str">
        <f>'Tariff Jul 2023'!K30</f>
        <v>GloBird Energy</v>
      </c>
      <c r="B42" s="187" t="str">
        <f>'Tariff Jul 2023'!L30</f>
        <v>GloSave</v>
      </c>
      <c r="C42" s="208">
        <f>IF('Tariff Jul 2023'!BP30=0,91*'Tariff Jul 2023'!M30/100,(91*'Tariff Jul 2023'!M30/100)+'Tariff Jul 2023'!BP30/4)</f>
        <v>80.079999999999984</v>
      </c>
      <c r="D42" s="208">
        <f>IF('Tariff Jul 2023'!O30="",$H$5*'Tariff Jul 2023'!N30/100,IF($H$5&gt;='Tariff Jul 2023'!P30,('Tariff Jul 2023'!P30*'Tariff Jul 2023'!N30/100),($H$5*'Tariff Jul 2023'!N30/100)))</f>
        <v>233.50625279999997</v>
      </c>
      <c r="E42" s="208">
        <f>IF(AND('Tariff Jul 2023'!P30&gt;0,'Tariff Jul 2023'!R30&gt;0),IF($H$5&lt;'Tariff Jul 2023'!P30,0,IF($H$5&lt;=('Tariff Jul 2023'!R30+'Tariff Jul 2023'!P30),(($H$5-'Tariff Jul 2023'!P30)*'Tariff Jul 2023'!Q30/100),(('Tariff Jul 2023'!R30)*'Tariff Jul 2023'!Q30/100))),0)</f>
        <v>0</v>
      </c>
      <c r="F42" s="208">
        <f>IF(AND('Tariff Jul 2023'!Q30&gt;0,'Tariff Jul 2023'!S30&gt;0),IF($H$5&lt;('Tariff Jul 2023'!R30+'Tariff Jul 2023'!P30),0,IF($H$5&lt;=('Tariff Jul 2023'!T30+'Tariff Jul 2023'!R30+'Tariff Jul 2023'!P30),(($H$5-('Tariff Jul 2023'!R30+'Tariff Jul 2023'!P30))*'Tariff Jul 2023'!S30/100),('Tariff Jul 2023'!T30*'Tariff Jul 2023'!S30/100))),0)</f>
        <v>0</v>
      </c>
      <c r="G42" s="208">
        <f>IF('Tariff Jul 2023'!T30&gt;0,IF(($H$5&lt;'Tariff Jul 2023'!T30),(0),($H$5-'Tariff Jul 2023'!T30)*'Tariff Jul 2023'!U30/100),IF(AND('Tariff Jul 2023'!R30&gt;0,'Tariff Jul 2023'!T30=""),IF(($H$5&lt;'Tariff Jul 2023'!R30),(0),($H$5-'Tariff Jul 2023'!R30)*'Tariff Jul 2023'!S30/100),IF(AND('Tariff Jul 2023'!P30&gt;0,'Tariff Jul 2023'!R30=""),IF(($H$5&lt;'Tariff Jul 2023'!P30),(0),($H$5-'Tariff Jul 2023'!P30)*'Tariff Jul 2023'!Q30/100),0)))</f>
        <v>0</v>
      </c>
      <c r="H42" s="208">
        <f>($I$5)*'Tariff Jul 2023'!AE30/100</f>
        <v>34.811711999999993</v>
      </c>
      <c r="I42" s="208">
        <v>0</v>
      </c>
      <c r="J42" s="208">
        <f t="shared" si="30"/>
        <v>348.39796479999995</v>
      </c>
      <c r="K42" s="283">
        <f t="shared" si="33"/>
        <v>1073.2718591999999</v>
      </c>
      <c r="L42" s="283">
        <f t="shared" si="31"/>
        <v>1393.5918591999998</v>
      </c>
      <c r="M42" s="191">
        <f t="shared" si="32"/>
        <v>1532.9510451199999</v>
      </c>
      <c r="N42" s="187">
        <f>'Tariff Jul 2023'!AZ30</f>
        <v>0</v>
      </c>
      <c r="O42" s="187">
        <f>'Tariff Jul 2023'!BA30</f>
        <v>0</v>
      </c>
      <c r="P42" s="187">
        <f>'Tariff Jul 2023'!BB30</f>
        <v>2</v>
      </c>
      <c r="Q42" s="187">
        <f>'Tariff Jul 2023'!BC30</f>
        <v>0</v>
      </c>
      <c r="R42" s="192">
        <f>($F$6*'Tariff Jul 2023'!AT30/100)*4</f>
        <v>31.944320000000001</v>
      </c>
      <c r="S42" s="193" t="str">
        <f t="shared" si="23"/>
        <v>Pay-on-time off bill</v>
      </c>
      <c r="T42" s="193" t="str">
        <f t="shared" si="24"/>
        <v>Exclusive</v>
      </c>
      <c r="U42" s="304">
        <f t="shared" si="25"/>
        <v>1393.5918591999998</v>
      </c>
      <c r="V42" s="283">
        <f t="shared" si="26"/>
        <v>1365.7200220159998</v>
      </c>
      <c r="W42" s="283">
        <f t="shared" si="27"/>
        <v>1361.6475391999998</v>
      </c>
      <c r="X42" s="283">
        <f t="shared" si="28"/>
        <v>1333.7757020159997</v>
      </c>
      <c r="Y42" s="285">
        <f t="shared" si="29"/>
        <v>1497.8122931199998</v>
      </c>
      <c r="Z42" s="285">
        <f t="shared" si="29"/>
        <v>1467.1532722175998</v>
      </c>
      <c r="AA42" s="194">
        <f>'Tariff Jul 2023'!AT30</f>
        <v>1</v>
      </c>
      <c r="AB42" s="196">
        <f>'Tariff Jul 2023'!G30</f>
        <v>43652</v>
      </c>
      <c r="AC42" s="361"/>
      <c r="AD42" s="361"/>
      <c r="AE42" s="361"/>
      <c r="AF42" s="361"/>
      <c r="AG42" s="361"/>
      <c r="AH42" s="361"/>
      <c r="AI42" s="361"/>
      <c r="AJ42" s="361"/>
      <c r="AK42" s="361"/>
      <c r="AL42" s="361"/>
      <c r="AM42" s="361"/>
      <c r="AN42" s="361"/>
      <c r="AO42" s="361"/>
      <c r="AP42" s="361"/>
      <c r="AQ42" s="361"/>
      <c r="AR42" s="361"/>
      <c r="AS42" s="361"/>
      <c r="AT42" s="361"/>
    </row>
    <row r="43" spans="1:46" s="187" customFormat="1" x14ac:dyDescent="0.15">
      <c r="A43" s="186" t="str">
        <f>'Tariff Jul 2023'!K31</f>
        <v>Kogan Energy</v>
      </c>
      <c r="B43" s="187" t="str">
        <f>'Tariff Jul 2023'!L31</f>
        <v>Free Kogan First Membership</v>
      </c>
      <c r="C43" s="208">
        <f>IF('Tariff Jul 2023'!BP31=0,91*'Tariff Jul 2023'!M31/100,(91*'Tariff Jul 2023'!M31/100)+'Tariff Jul 2023'!BP31/4)</f>
        <v>121.63390909090909</v>
      </c>
      <c r="D43" s="208">
        <f>IF('Tariff Jul 2023'!O31="",$H$5*'Tariff Jul 2023'!N31/100,IF($H$5&gt;='Tariff Jul 2023'!P31,('Tariff Jul 2023'!P31*'Tariff Jul 2023'!N31/100),($H$5*'Tariff Jul 2023'!N31/100)))</f>
        <v>267.19814749090909</v>
      </c>
      <c r="E43" s="208">
        <f>IF(AND('Tariff Jul 2023'!P31&gt;0,'Tariff Jul 2023'!R31&gt;0),IF($H$5&lt;'Tariff Jul 2023'!P31,0,IF($H$5&lt;=('Tariff Jul 2023'!R31+'Tariff Jul 2023'!P31),(($H$5-'Tariff Jul 2023'!P31)*'Tariff Jul 2023'!Q31/100),(('Tariff Jul 2023'!R31)*'Tariff Jul 2023'!Q31/100))),0)</f>
        <v>0</v>
      </c>
      <c r="F43" s="208">
        <f>IF(AND('Tariff Jul 2023'!Q31&gt;0,'Tariff Jul 2023'!S31&gt;0),IF($H$5&lt;('Tariff Jul 2023'!R31+'Tariff Jul 2023'!P31),0,IF($H$5&lt;=('Tariff Jul 2023'!T31+'Tariff Jul 2023'!R31+'Tariff Jul 2023'!P31),(($H$5-('Tariff Jul 2023'!R31+'Tariff Jul 2023'!P31))*'Tariff Jul 2023'!S31/100),('Tariff Jul 2023'!T31*'Tariff Jul 2023'!S31/100))),0)</f>
        <v>0</v>
      </c>
      <c r="G43" s="208">
        <f>IF('Tariff Jul 2023'!T31&gt;0,IF(($H$5&lt;'Tariff Jul 2023'!T31),(0),($H$5-'Tariff Jul 2023'!T31)*'Tariff Jul 2023'!U31/100),IF(AND('Tariff Jul 2023'!R31&gt;0,'Tariff Jul 2023'!T31=""),IF(($H$5&lt;'Tariff Jul 2023'!R31),(0),($H$5-'Tariff Jul 2023'!R31)*'Tariff Jul 2023'!S31/100),IF(AND('Tariff Jul 2023'!P31&gt;0,'Tariff Jul 2023'!R31=""),IF(($H$5&lt;'Tariff Jul 2023'!P31),(0),($H$5-'Tariff Jul 2023'!P31)*'Tariff Jul 2023'!Q31/100),0)))</f>
        <v>0</v>
      </c>
      <c r="H43" s="208">
        <f>($I$5)*'Tariff Jul 2023'!AE31/100</f>
        <v>44.597941527272724</v>
      </c>
      <c r="I43" s="208">
        <v>0</v>
      </c>
      <c r="J43" s="208">
        <f t="shared" si="30"/>
        <v>433.42999810909089</v>
      </c>
      <c r="K43" s="283">
        <f t="shared" si="33"/>
        <v>1247.1843560727273</v>
      </c>
      <c r="L43" s="283">
        <f t="shared" si="31"/>
        <v>1733.7199924363636</v>
      </c>
      <c r="M43" s="191">
        <f t="shared" si="32"/>
        <v>1907.0919916800001</v>
      </c>
      <c r="N43" s="187">
        <f>'Tariff Jul 2023'!AZ31</f>
        <v>0</v>
      </c>
      <c r="O43" s="187">
        <f>'Tariff Jul 2023'!BA31</f>
        <v>0</v>
      </c>
      <c r="P43" s="187">
        <f>'Tariff Jul 2023'!BB31</f>
        <v>0</v>
      </c>
      <c r="Q43" s="187">
        <f>'Tariff Jul 2023'!BC31</f>
        <v>0</v>
      </c>
      <c r="R43" s="192">
        <f>($F$6*'Tariff Jul 2023'!AT31/100)*4</f>
        <v>159.72160000000002</v>
      </c>
      <c r="S43" s="193" t="str">
        <f t="shared" si="23"/>
        <v>No discount</v>
      </c>
      <c r="T43" s="193" t="str">
        <f t="shared" si="24"/>
        <v>Exclusive</v>
      </c>
      <c r="U43" s="304">
        <f t="shared" si="25"/>
        <v>1733.7199924363636</v>
      </c>
      <c r="V43" s="283">
        <f t="shared" si="26"/>
        <v>1733.7199924363636</v>
      </c>
      <c r="W43" s="283">
        <f t="shared" si="27"/>
        <v>1573.9983924363635</v>
      </c>
      <c r="X43" s="283">
        <f t="shared" si="28"/>
        <v>1573.9983924363635</v>
      </c>
      <c r="Y43" s="285">
        <f t="shared" si="29"/>
        <v>1731.39823168</v>
      </c>
      <c r="Z43" s="285">
        <f t="shared" si="29"/>
        <v>1731.39823168</v>
      </c>
      <c r="AA43" s="194">
        <f>'Tariff Jul 2023'!AT31</f>
        <v>5</v>
      </c>
      <c r="AB43" s="196">
        <f>'Tariff Jul 2023'!G31</f>
        <v>43646</v>
      </c>
      <c r="AC43" s="361"/>
      <c r="AD43" s="361"/>
      <c r="AE43" s="361"/>
      <c r="AF43" s="361"/>
      <c r="AG43" s="361"/>
      <c r="AH43" s="361"/>
      <c r="AI43" s="361"/>
      <c r="AJ43" s="361"/>
      <c r="AK43" s="361"/>
      <c r="AL43" s="361"/>
      <c r="AM43" s="361"/>
      <c r="AN43" s="361"/>
      <c r="AO43" s="361"/>
      <c r="AP43" s="361"/>
      <c r="AQ43" s="361"/>
      <c r="AR43" s="361"/>
      <c r="AS43" s="361"/>
      <c r="AT43" s="361"/>
    </row>
    <row r="44" spans="1:46" s="187" customFormat="1" x14ac:dyDescent="0.15">
      <c r="A44" s="186" t="str">
        <f>'Tariff Jul 2023'!K32</f>
        <v>Momentum</v>
      </c>
      <c r="B44" s="187" t="str">
        <f>'Tariff Jul 2023'!L32</f>
        <v>Suit Yourself</v>
      </c>
      <c r="C44" s="208">
        <f>IF('Tariff Jul 2023'!BP32=0,91*'Tariff Jul 2023'!M32/100,(91*'Tariff Jul 2023'!M32/100)+'Tariff Jul 2023'!BP32/4)</f>
        <v>142.96100000000001</v>
      </c>
      <c r="D44" s="208">
        <f>IF('Tariff Jul 2023'!O32="",$H$5*'Tariff Jul 2023'!N32/100,IF($H$5&gt;='Tariff Jul 2023'!P32,('Tariff Jul 2023'!P32*'Tariff Jul 2023'!N32/100),($H$5*'Tariff Jul 2023'!N32/100)))</f>
        <v>282.77821440000002</v>
      </c>
      <c r="E44" s="208">
        <f>IF(AND('Tariff Jul 2023'!P32&gt;0,'Tariff Jul 2023'!R32&gt;0),IF($H$5&lt;'Tariff Jul 2023'!P32,0,IF($H$5&lt;=('Tariff Jul 2023'!R32+'Tariff Jul 2023'!P32),(($H$5-'Tariff Jul 2023'!P32)*'Tariff Jul 2023'!Q32/100),(('Tariff Jul 2023'!R32)*'Tariff Jul 2023'!Q32/100))),0)</f>
        <v>0</v>
      </c>
      <c r="F44" s="208">
        <f>IF(AND('Tariff Jul 2023'!Q32&gt;0,'Tariff Jul 2023'!S32&gt;0),IF($H$5&lt;('Tariff Jul 2023'!R32+'Tariff Jul 2023'!P32),0,IF($H$5&lt;=('Tariff Jul 2023'!T32+'Tariff Jul 2023'!R32+'Tariff Jul 2023'!P32),(($H$5-('Tariff Jul 2023'!R32+'Tariff Jul 2023'!P32))*'Tariff Jul 2023'!S32/100),('Tariff Jul 2023'!T32*'Tariff Jul 2023'!S32/100))),0)</f>
        <v>0</v>
      </c>
      <c r="G44" s="208">
        <f>IF('Tariff Jul 2023'!T32&gt;0,IF(($H$5&lt;'Tariff Jul 2023'!T32),(0),($H$5-'Tariff Jul 2023'!T32)*'Tariff Jul 2023'!U32/100),IF(AND('Tariff Jul 2023'!R32&gt;0,'Tariff Jul 2023'!T32=""),IF(($H$5&lt;'Tariff Jul 2023'!R32),(0),($H$5-'Tariff Jul 2023'!R32)*'Tariff Jul 2023'!S32/100),IF(AND('Tariff Jul 2023'!P32&gt;0,'Tariff Jul 2023'!R32=""),IF(($H$5&lt;'Tariff Jul 2023'!P32),(0),($H$5-'Tariff Jul 2023'!P32)*'Tariff Jul 2023'!Q32/100),0)))</f>
        <v>0</v>
      </c>
      <c r="H44" s="208">
        <f>($I$5)*'Tariff Jul 2023'!AE32/100</f>
        <v>28.563456000000002</v>
      </c>
      <c r="I44" s="208">
        <v>1</v>
      </c>
      <c r="J44" s="208">
        <f t="shared" ref="J44:J47" si="34">SUM(C44:I44)</f>
        <v>455.30267040000001</v>
      </c>
      <c r="K44" s="283">
        <f t="shared" ref="K44:K47" si="35">(J44-C44)*4</f>
        <v>1249.3666816</v>
      </c>
      <c r="L44" s="283">
        <f t="shared" ref="L44:L47" si="36">J44*4</f>
        <v>1821.2106816</v>
      </c>
      <c r="M44" s="191">
        <f t="shared" ref="M44:M47" si="37">L44*1.1</f>
        <v>2003.3317497600003</v>
      </c>
      <c r="N44" s="187">
        <f>'Tariff Jul 2023'!AZ32</f>
        <v>0</v>
      </c>
      <c r="O44" s="187">
        <f>'Tariff Jul 2023'!BA32</f>
        <v>0</v>
      </c>
      <c r="P44" s="187">
        <f>'Tariff Jul 2023'!BB32</f>
        <v>0</v>
      </c>
      <c r="Q44" s="187">
        <f>'Tariff Jul 2023'!BC32</f>
        <v>0</v>
      </c>
      <c r="R44" s="192">
        <f>($F$6*'Tariff Jul 2023'!AT32/100)*4</f>
        <v>111.80512</v>
      </c>
      <c r="S44" s="193" t="str">
        <f t="shared" ref="S44:S47" si="38">IF(SUM(N44:Q44)=0,"No discount",IF(N44&gt;0,"Guaranteed off bill",IF(O44&gt;0,"Guaranteed off usage",IF(P44&gt;0,"Pay-on-time off bill","Pay-on-time off usage"))))</f>
        <v>No discount</v>
      </c>
      <c r="T44" s="193" t="str">
        <f t="shared" ref="T44:T47" si="39">IF(OR(A44="Origin Energy",A44="Red Energy",A44="Powershop"),"Inclusive","Exclusive")</f>
        <v>Exclusive</v>
      </c>
      <c r="U44" s="304">
        <f t="shared" ref="U44:U47" si="40">IF(AND(S44="Guaranteed off bill",T44="Inclusive"),((L44*1.1)-((L44*1.1)*N44/100))/1.1,IF(AND(S44="Guaranteed off usage",T44="Inclusive"),((L44*1.1)-((K44*1.1)*O44/100))/1.1,IF(AND(S44="Guaranteed off bill",T44="Exclusive"),L44-(L44*N44/100),IF(AND(S44="Guaranteed off usage",T44="Exclusive"),L44-(K44*O44/100),IF(T44="Inclusive",((L44*1.1))/1.1,L44)))))</f>
        <v>1821.2106816</v>
      </c>
      <c r="V44" s="283">
        <f t="shared" ref="V44:V47" si="41">IF(AND(S44="Pay-on-time off bill",T44="Inclusive"),((U44*1.1)-((U44*1.1)*P44/100))/1.1,IF(AND(S44="Pay-on-time off usage",T44="Inclusive"),((U44*1.1)-((K44*1.1)*Q44/100))/1.1,IF(AND(S44="Pay-on-time off bill",T44="Exclusive"),U44-(U44*P44/100),IF(AND(S44="Pay-on-time off usage",T44="Exclusive"),U44-(K44*Q44/100),IF(T44="Inclusive",((U44*1.1))/1.1,U44)))))</f>
        <v>1821.2106816</v>
      </c>
      <c r="W44" s="283">
        <f t="shared" ref="W44:W47" si="42">U44-R44</f>
        <v>1709.4055616000001</v>
      </c>
      <c r="X44" s="283">
        <f t="shared" ref="X44:X47" si="43">V44-R44</f>
        <v>1709.4055616000001</v>
      </c>
      <c r="Y44" s="285">
        <f t="shared" ref="Y44:Y47" si="44">W44*1.1</f>
        <v>1880.3461177600002</v>
      </c>
      <c r="Z44" s="285">
        <f t="shared" ref="Z44:Z47" si="45">X44*1.1</f>
        <v>1880.3461177600002</v>
      </c>
      <c r="AA44" s="194">
        <f>'Tariff Jul 2023'!AT32</f>
        <v>3.5</v>
      </c>
      <c r="AB44" s="196">
        <f>'Tariff Jul 2023'!G32</f>
        <v>43646</v>
      </c>
      <c r="AC44" s="361"/>
      <c r="AD44" s="361"/>
      <c r="AE44" s="361"/>
      <c r="AF44" s="361"/>
      <c r="AG44" s="361"/>
      <c r="AH44" s="361"/>
      <c r="AI44" s="361"/>
      <c r="AJ44" s="361"/>
      <c r="AK44" s="361"/>
      <c r="AL44" s="361"/>
      <c r="AM44" s="361"/>
      <c r="AN44" s="361"/>
      <c r="AO44" s="361"/>
      <c r="AP44" s="361"/>
      <c r="AQ44" s="361"/>
      <c r="AR44" s="361"/>
      <c r="AS44" s="361"/>
      <c r="AT44" s="361"/>
    </row>
    <row r="45" spans="1:46" s="187" customFormat="1" x14ac:dyDescent="0.15">
      <c r="A45" s="186" t="str">
        <f>'Tariff Jul 2023'!K33</f>
        <v>OVO</v>
      </c>
      <c r="B45" s="187" t="str">
        <f>'Tariff Jul 2023'!L33</f>
        <v>Solar Plan</v>
      </c>
      <c r="C45" s="208">
        <f>IF('Tariff Jul 2023'!BP33=0,91*'Tariff Jul 2023'!M33/100,(91*'Tariff Jul 2023'!M33/100)+'Tariff Jul 2023'!BP33/4)</f>
        <v>105.37799999999999</v>
      </c>
      <c r="D45" s="208">
        <f>IF('Tariff Jul 2023'!O33="",$H$5*'Tariff Jul 2023'!N33/100,IF($H$5&gt;='Tariff Jul 2023'!P33,('Tariff Jul 2023'!P33*'Tariff Jul 2023'!N33/100),($H$5*'Tariff Jul 2023'!N33/100)))</f>
        <v>266.48406109090905</v>
      </c>
      <c r="E45" s="208">
        <f>IF(AND('Tariff Jul 2023'!P33&gt;0,'Tariff Jul 2023'!R33&gt;0),IF($H$5&lt;'Tariff Jul 2023'!P33,0,IF($H$5&lt;=('Tariff Jul 2023'!R33+'Tariff Jul 2023'!P33),(($H$5-'Tariff Jul 2023'!P33)*'Tariff Jul 2023'!Q33/100),(('Tariff Jul 2023'!R33)*'Tariff Jul 2023'!Q33/100))),0)</f>
        <v>0</v>
      </c>
      <c r="F45" s="208">
        <f>IF(AND('Tariff Jul 2023'!Q33&gt;0,'Tariff Jul 2023'!S33&gt;0),IF($H$5&lt;('Tariff Jul 2023'!R33+'Tariff Jul 2023'!P33),0,IF($H$5&lt;=('Tariff Jul 2023'!T33+'Tariff Jul 2023'!R33+'Tariff Jul 2023'!P33),(($H$5-('Tariff Jul 2023'!R33+'Tariff Jul 2023'!P33))*'Tariff Jul 2023'!S33/100),('Tariff Jul 2023'!T33*'Tariff Jul 2023'!S33/100))),0)</f>
        <v>0</v>
      </c>
      <c r="G45" s="208">
        <f>IF('Tariff Jul 2023'!T33&gt;0,IF(($H$5&lt;'Tariff Jul 2023'!T33),(0),($H$5-'Tariff Jul 2023'!T33)*'Tariff Jul 2023'!U33/100),IF(AND('Tariff Jul 2023'!R33&gt;0,'Tariff Jul 2023'!T33=""),IF(($H$5&lt;'Tariff Jul 2023'!R33),(0),($H$5-'Tariff Jul 2023'!R33)*'Tariff Jul 2023'!S33/100),IF(AND('Tariff Jul 2023'!P33&gt;0,'Tariff Jul 2023'!R33=""),IF(($H$5&lt;'Tariff Jul 2023'!P33),(0),($H$5-'Tariff Jul 2023'!P33)*'Tariff Jul 2023'!Q33/100),0)))</f>
        <v>0</v>
      </c>
      <c r="H45" s="208">
        <f>($I$5)*'Tariff Jul 2023'!AE33/100</f>
        <v>38.989117440000001</v>
      </c>
      <c r="I45" s="208">
        <v>2</v>
      </c>
      <c r="J45" s="208">
        <f t="shared" si="34"/>
        <v>412.85117853090901</v>
      </c>
      <c r="K45" s="283">
        <f t="shared" si="35"/>
        <v>1229.8927141236361</v>
      </c>
      <c r="L45" s="283">
        <f t="shared" si="36"/>
        <v>1651.404714123636</v>
      </c>
      <c r="M45" s="191">
        <f t="shared" si="37"/>
        <v>1816.5451855359997</v>
      </c>
      <c r="N45" s="187">
        <f>'Tariff Jul 2023'!AZ33</f>
        <v>0</v>
      </c>
      <c r="O45" s="187">
        <f>'Tariff Jul 2023'!BA33</f>
        <v>0</v>
      </c>
      <c r="P45" s="187">
        <f>'Tariff Jul 2023'!BB33</f>
        <v>0</v>
      </c>
      <c r="Q45" s="187">
        <f>'Tariff Jul 2023'!BC33</f>
        <v>0</v>
      </c>
      <c r="R45" s="192">
        <f>($F$6*'Tariff Jul 2023'!AT33/100)*4</f>
        <v>447.22048000000001</v>
      </c>
      <c r="S45" s="193" t="str">
        <f t="shared" si="38"/>
        <v>No discount</v>
      </c>
      <c r="T45" s="193" t="str">
        <f t="shared" si="39"/>
        <v>Exclusive</v>
      </c>
      <c r="U45" s="304">
        <f t="shared" si="40"/>
        <v>1651.404714123636</v>
      </c>
      <c r="V45" s="283">
        <f t="shared" si="41"/>
        <v>1651.404714123636</v>
      </c>
      <c r="W45" s="283">
        <f t="shared" si="42"/>
        <v>1204.1842341236361</v>
      </c>
      <c r="X45" s="283">
        <f t="shared" si="43"/>
        <v>1204.1842341236361</v>
      </c>
      <c r="Y45" s="285">
        <f t="shared" si="44"/>
        <v>1324.6026575359997</v>
      </c>
      <c r="Z45" s="285">
        <f t="shared" si="45"/>
        <v>1324.6026575359997</v>
      </c>
      <c r="AA45" s="194">
        <f>'Tariff Jul 2023'!AT33</f>
        <v>14</v>
      </c>
      <c r="AB45" s="196">
        <f>'Tariff Jul 2023'!G33</f>
        <v>43651</v>
      </c>
      <c r="AC45" s="361"/>
      <c r="AD45" s="361"/>
      <c r="AE45" s="361"/>
      <c r="AF45" s="361"/>
      <c r="AG45" s="361"/>
      <c r="AH45" s="361"/>
      <c r="AI45" s="361"/>
      <c r="AJ45" s="361"/>
      <c r="AK45" s="361"/>
      <c r="AL45" s="361"/>
      <c r="AM45" s="361"/>
      <c r="AN45" s="361"/>
      <c r="AO45" s="361"/>
      <c r="AP45" s="361"/>
      <c r="AQ45" s="361"/>
      <c r="AR45" s="361"/>
      <c r="AS45" s="361"/>
      <c r="AT45" s="361"/>
    </row>
    <row r="46" spans="1:46" s="187" customFormat="1" x14ac:dyDescent="0.15">
      <c r="A46" s="186" t="str">
        <f>'Tariff Jul 2023'!K34</f>
        <v>Sumo Power</v>
      </c>
      <c r="B46" s="187" t="str">
        <f>'Tariff Jul 2023'!L34</f>
        <v>Lite</v>
      </c>
      <c r="C46" s="208">
        <f>IF('Tariff Jul 2023'!BP34=0,91*'Tariff Jul 2023'!M34/100,(91*'Tariff Jul 2023'!M34/100)+'Tariff Jul 2023'!BP34/4)</f>
        <v>96.45999999999998</v>
      </c>
      <c r="D46" s="208">
        <f>IF('Tariff Jul 2023'!O34="",$H$5*'Tariff Jul 2023'!N34/100,IF($H$5&gt;='Tariff Jul 2023'!P34,('Tariff Jul 2023'!P34*'Tariff Jul 2023'!N34/100),($H$5*'Tariff Jul 2023'!N34/100)))</f>
        <v>299.91628800000001</v>
      </c>
      <c r="E46" s="208">
        <f>IF(AND('Tariff Jul 2023'!P34&gt;0,'Tariff Jul 2023'!R34&gt;0),IF($H$5&lt;'Tariff Jul 2023'!P34,0,IF($H$5&lt;=('Tariff Jul 2023'!R34+'Tariff Jul 2023'!P34),(($H$5-'Tariff Jul 2023'!P34)*'Tariff Jul 2023'!Q34/100),(('Tariff Jul 2023'!R34)*'Tariff Jul 2023'!Q34/100))),0)</f>
        <v>0</v>
      </c>
      <c r="F46" s="208">
        <f>IF(AND('Tariff Jul 2023'!Q34&gt;0,'Tariff Jul 2023'!S34&gt;0),IF($H$5&lt;('Tariff Jul 2023'!R34+'Tariff Jul 2023'!P34),0,IF($H$5&lt;=('Tariff Jul 2023'!T34+'Tariff Jul 2023'!R34+'Tariff Jul 2023'!P34),(($H$5-('Tariff Jul 2023'!R34+'Tariff Jul 2023'!P34))*'Tariff Jul 2023'!S34/100),('Tariff Jul 2023'!T34*'Tariff Jul 2023'!S34/100))),0)</f>
        <v>0</v>
      </c>
      <c r="G46" s="208">
        <f>IF('Tariff Jul 2023'!T34&gt;0,IF(($H$5&lt;'Tariff Jul 2023'!T34),(0),($H$5-'Tariff Jul 2023'!T34)*'Tariff Jul 2023'!U34/100),IF(AND('Tariff Jul 2023'!R34&gt;0,'Tariff Jul 2023'!T34=""),IF(($H$5&lt;'Tariff Jul 2023'!R34),(0),($H$5-'Tariff Jul 2023'!R34)*'Tariff Jul 2023'!S34/100),IF(AND('Tariff Jul 2023'!P34&gt;0,'Tariff Jul 2023'!R34=""),IF(($H$5&lt;'Tariff Jul 2023'!P34),(0),($H$5-'Tariff Jul 2023'!P34)*'Tariff Jul 2023'!Q34/100),0)))</f>
        <v>0</v>
      </c>
      <c r="H46" s="208">
        <f>($I$5)*'Tariff Jul 2023'!AE34/100</f>
        <v>37.311014399999998</v>
      </c>
      <c r="I46" s="208">
        <v>3</v>
      </c>
      <c r="J46" s="208">
        <f t="shared" si="34"/>
        <v>436.68730239999996</v>
      </c>
      <c r="K46" s="283">
        <f t="shared" si="35"/>
        <v>1360.9092095999999</v>
      </c>
      <c r="L46" s="283">
        <f t="shared" si="36"/>
        <v>1746.7492095999999</v>
      </c>
      <c r="M46" s="191">
        <f t="shared" si="37"/>
        <v>1921.4241305600001</v>
      </c>
      <c r="N46" s="187">
        <f>'Tariff Jul 2023'!AZ34</f>
        <v>0</v>
      </c>
      <c r="O46" s="187">
        <f>'Tariff Jul 2023'!BA34</f>
        <v>0</v>
      </c>
      <c r="P46" s="187">
        <f>'Tariff Jul 2023'!BB34</f>
        <v>0</v>
      </c>
      <c r="Q46" s="187">
        <f>'Tariff Jul 2023'!BC34</f>
        <v>0</v>
      </c>
      <c r="R46" s="192">
        <f>($F$6*'Tariff Jul 2023'!AT34/100)*4</f>
        <v>159.72160000000002</v>
      </c>
      <c r="S46" s="193" t="str">
        <f t="shared" si="38"/>
        <v>No discount</v>
      </c>
      <c r="T46" s="193" t="str">
        <f t="shared" si="39"/>
        <v>Exclusive</v>
      </c>
      <c r="U46" s="304">
        <f t="shared" si="40"/>
        <v>1746.7492095999999</v>
      </c>
      <c r="V46" s="283">
        <f t="shared" si="41"/>
        <v>1746.7492095999999</v>
      </c>
      <c r="W46" s="283">
        <f t="shared" si="42"/>
        <v>1587.0276095999998</v>
      </c>
      <c r="X46" s="283">
        <f t="shared" si="43"/>
        <v>1587.0276095999998</v>
      </c>
      <c r="Y46" s="285">
        <f t="shared" si="44"/>
        <v>1745.73037056</v>
      </c>
      <c r="Z46" s="285">
        <f t="shared" si="45"/>
        <v>1745.73037056</v>
      </c>
      <c r="AA46" s="194">
        <f>'Tariff Jul 2023'!AT34</f>
        <v>5</v>
      </c>
      <c r="AB46" s="196">
        <f>'Tariff Jul 2023'!G34</f>
        <v>43655</v>
      </c>
      <c r="AC46" s="361"/>
      <c r="AD46" s="361"/>
      <c r="AE46" s="361"/>
      <c r="AF46" s="361"/>
      <c r="AG46" s="361"/>
      <c r="AH46" s="361"/>
      <c r="AI46" s="361"/>
      <c r="AJ46" s="361"/>
      <c r="AK46" s="361"/>
      <c r="AL46" s="361"/>
      <c r="AM46" s="361"/>
      <c r="AN46" s="361"/>
      <c r="AO46" s="361"/>
      <c r="AP46" s="361"/>
      <c r="AQ46" s="361"/>
      <c r="AR46" s="361"/>
      <c r="AS46" s="361"/>
      <c r="AT46" s="361"/>
    </row>
    <row r="47" spans="1:46" s="187" customFormat="1" x14ac:dyDescent="0.15">
      <c r="A47" s="370" t="str">
        <f>'Tariff Jul 2023'!K35</f>
        <v>CovaU</v>
      </c>
      <c r="B47" s="187" t="str">
        <f>'Tariff Jul 2023'!L35</f>
        <v>Freedom</v>
      </c>
      <c r="C47" s="208">
        <f>IF('Tariff Jul 2023'!BP35=0,91*'Tariff Jul 2023'!M35/100,(91*'Tariff Jul 2023'!M35/100)+'Tariff Jul 2023'!BP35/4)</f>
        <v>85.705454545454543</v>
      </c>
      <c r="D47" s="208">
        <f>IF('Tariff Jul 2023'!O35="",$H$5*'Tariff Jul 2023'!N35/100,IF($H$5&gt;='Tariff Jul 2023'!P35,('Tariff Jul 2023'!P35*'Tariff Jul 2023'!N35/100),($H$5*'Tariff Jul 2023'!N35/100)))</f>
        <v>237.20651869090906</v>
      </c>
      <c r="E47" s="208">
        <f>IF(AND('Tariff Jul 2023'!P35&gt;0,'Tariff Jul 2023'!R35&gt;0),IF($H$5&lt;'Tariff Jul 2023'!P35,0,IF($H$5&lt;=('Tariff Jul 2023'!R35+'Tariff Jul 2023'!P35),(($H$5-'Tariff Jul 2023'!P35)*'Tariff Jul 2023'!Q35/100),(('Tariff Jul 2023'!R35)*'Tariff Jul 2023'!Q35/100))),0)</f>
        <v>0</v>
      </c>
      <c r="F47" s="208">
        <f>IF(AND('Tariff Jul 2023'!Q35&gt;0,'Tariff Jul 2023'!S35&gt;0),IF($H$5&lt;('Tariff Jul 2023'!R35+'Tariff Jul 2023'!P35),0,IF($H$5&lt;=('Tariff Jul 2023'!T35+'Tariff Jul 2023'!R35+'Tariff Jul 2023'!P35),(($H$5-('Tariff Jul 2023'!R35+'Tariff Jul 2023'!P35))*'Tariff Jul 2023'!S35/100),('Tariff Jul 2023'!T35*'Tariff Jul 2023'!S35/100))),0)</f>
        <v>0</v>
      </c>
      <c r="G47" s="208">
        <f>IF('Tariff Jul 2023'!T35&gt;0,IF(($H$5&lt;'Tariff Jul 2023'!T35),(0),($H$5-'Tariff Jul 2023'!T35)*'Tariff Jul 2023'!U35/100),IF(AND('Tariff Jul 2023'!R35&gt;0,'Tariff Jul 2023'!T35=""),IF(($H$5&lt;'Tariff Jul 2023'!R35),(0),($H$5-'Tariff Jul 2023'!R35)*'Tariff Jul 2023'!S35/100),IF(AND('Tariff Jul 2023'!P35&gt;0,'Tariff Jul 2023'!R35=""),IF(($H$5&lt;'Tariff Jul 2023'!P35),(0),($H$5-'Tariff Jul 2023'!P35)*'Tariff Jul 2023'!Q35/100),0)))</f>
        <v>0</v>
      </c>
      <c r="H47" s="208">
        <f>($I$5)*'Tariff Jul 2023'!AE35/100</f>
        <v>42.066180654545448</v>
      </c>
      <c r="I47" s="208">
        <v>4</v>
      </c>
      <c r="J47" s="208">
        <f t="shared" si="34"/>
        <v>368.97815389090908</v>
      </c>
      <c r="K47" s="283">
        <f t="shared" si="35"/>
        <v>1133.0907973818182</v>
      </c>
      <c r="L47" s="283">
        <f t="shared" si="36"/>
        <v>1475.9126155636363</v>
      </c>
      <c r="M47" s="191">
        <f t="shared" si="37"/>
        <v>1623.5038771200002</v>
      </c>
      <c r="N47" s="187">
        <f>'Tariff Jul 2023'!AZ35</f>
        <v>0</v>
      </c>
      <c r="O47" s="187">
        <f>'Tariff Jul 2023'!BA35</f>
        <v>0</v>
      </c>
      <c r="P47" s="187">
        <f>'Tariff Jul 2023'!BB35</f>
        <v>0</v>
      </c>
      <c r="Q47" s="187">
        <f>'Tariff Jul 2023'!BC35</f>
        <v>0</v>
      </c>
      <c r="R47" s="192">
        <f>($F$6*'Tariff Jul 2023'!AT35/100)*4</f>
        <v>175.69376</v>
      </c>
      <c r="S47" s="193" t="str">
        <f t="shared" si="38"/>
        <v>No discount</v>
      </c>
      <c r="T47" s="193" t="str">
        <f t="shared" si="39"/>
        <v>Exclusive</v>
      </c>
      <c r="U47" s="304">
        <f t="shared" si="40"/>
        <v>1475.9126155636363</v>
      </c>
      <c r="V47" s="283">
        <f t="shared" si="41"/>
        <v>1475.9126155636363</v>
      </c>
      <c r="W47" s="283">
        <f t="shared" si="42"/>
        <v>1300.2188555636362</v>
      </c>
      <c r="X47" s="283">
        <f t="shared" si="43"/>
        <v>1300.2188555636362</v>
      </c>
      <c r="Y47" s="285">
        <f t="shared" si="44"/>
        <v>1430.2407411199999</v>
      </c>
      <c r="Z47" s="285">
        <f t="shared" si="45"/>
        <v>1430.2407411199999</v>
      </c>
      <c r="AA47" s="194">
        <f>'Tariff Jul 2023'!AT35</f>
        <v>5.5</v>
      </c>
      <c r="AB47" s="196">
        <f>'Tariff Jul 2023'!G35</f>
        <v>43480</v>
      </c>
      <c r="AC47" s="361"/>
      <c r="AD47" s="361"/>
      <c r="AE47" s="361"/>
      <c r="AF47" s="361"/>
      <c r="AG47" s="361"/>
      <c r="AH47" s="361"/>
      <c r="AI47" s="361"/>
      <c r="AJ47" s="361"/>
      <c r="AK47" s="361"/>
      <c r="AL47" s="361"/>
      <c r="AM47" s="361"/>
      <c r="AN47" s="361"/>
      <c r="AO47" s="361"/>
      <c r="AP47" s="361"/>
      <c r="AQ47" s="361"/>
      <c r="AR47" s="361"/>
      <c r="AS47" s="361"/>
      <c r="AT47" s="361"/>
    </row>
    <row r="48" spans="1:46" s="187" customFormat="1" x14ac:dyDescent="0.15">
      <c r="A48" s="361"/>
      <c r="B48" s="361"/>
      <c r="C48" s="361"/>
      <c r="D48" s="361"/>
      <c r="E48" s="361"/>
      <c r="F48" s="361"/>
      <c r="G48" s="361"/>
      <c r="H48" s="361"/>
      <c r="I48" s="361"/>
      <c r="J48" s="361"/>
      <c r="K48" s="361"/>
      <c r="L48" s="361"/>
      <c r="M48" s="361"/>
      <c r="N48" s="361"/>
      <c r="O48" s="361"/>
      <c r="P48" s="361"/>
      <c r="Q48" s="361"/>
      <c r="R48" s="361"/>
      <c r="S48" s="361"/>
      <c r="T48" s="361"/>
      <c r="U48" s="361"/>
      <c r="V48" s="361"/>
      <c r="W48" s="361"/>
      <c r="X48" s="361"/>
      <c r="Y48" s="361"/>
      <c r="Z48" s="361"/>
      <c r="AA48" s="361"/>
      <c r="AB48" s="361"/>
      <c r="AC48" s="361"/>
      <c r="AD48" s="361"/>
      <c r="AE48" s="361"/>
      <c r="AF48" s="361"/>
      <c r="AG48" s="361"/>
      <c r="AH48" s="361"/>
      <c r="AI48" s="361"/>
      <c r="AJ48" s="361"/>
      <c r="AK48" s="361"/>
      <c r="AL48" s="361"/>
      <c r="AM48" s="361"/>
      <c r="AN48" s="361"/>
      <c r="AO48" s="361"/>
      <c r="AP48" s="361"/>
      <c r="AQ48" s="361"/>
      <c r="AR48" s="361"/>
      <c r="AS48" s="361"/>
      <c r="AT48" s="361"/>
    </row>
    <row r="49" spans="1:46" s="187" customFormat="1" x14ac:dyDescent="0.15">
      <c r="A49" s="361"/>
      <c r="B49" s="361"/>
      <c r="C49" s="361"/>
      <c r="D49" s="361"/>
      <c r="E49" s="361"/>
      <c r="F49" s="361"/>
      <c r="G49" s="361"/>
      <c r="H49" s="361"/>
      <c r="I49" s="361"/>
      <c r="J49" s="361"/>
      <c r="K49" s="361"/>
      <c r="L49" s="361"/>
      <c r="M49" s="361"/>
      <c r="N49" s="361"/>
      <c r="O49" s="361"/>
      <c r="P49" s="361"/>
      <c r="Q49" s="361"/>
      <c r="R49" s="361"/>
      <c r="S49" s="361"/>
      <c r="T49" s="361"/>
      <c r="U49" s="361"/>
      <c r="V49" s="361"/>
      <c r="W49" s="361"/>
      <c r="X49" s="361"/>
      <c r="Y49" s="361"/>
      <c r="Z49" s="361"/>
      <c r="AA49" s="361"/>
      <c r="AB49" s="361"/>
      <c r="AC49" s="361"/>
      <c r="AD49" s="361"/>
      <c r="AE49" s="361"/>
      <c r="AF49" s="361"/>
      <c r="AG49" s="361"/>
      <c r="AH49" s="361"/>
      <c r="AI49" s="361"/>
      <c r="AJ49" s="361"/>
      <c r="AK49" s="361"/>
      <c r="AL49" s="361"/>
      <c r="AM49" s="361"/>
      <c r="AN49" s="361"/>
      <c r="AO49" s="361"/>
      <c r="AP49" s="361"/>
      <c r="AQ49" s="361"/>
      <c r="AR49" s="361"/>
      <c r="AS49" s="361"/>
      <c r="AT49" s="361"/>
    </row>
    <row r="50" spans="1:46" s="187" customFormat="1" x14ac:dyDescent="0.15">
      <c r="A50" s="361"/>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row>
    <row r="51" spans="1:46" s="187" customFormat="1" x14ac:dyDescent="0.15">
      <c r="A51" s="361"/>
      <c r="B51" s="361"/>
      <c r="C51" s="361"/>
      <c r="D51" s="361"/>
      <c r="E51" s="361"/>
      <c r="F51" s="361"/>
      <c r="G51" s="361"/>
      <c r="H51" s="361"/>
      <c r="I51" s="361"/>
      <c r="J51" s="361"/>
      <c r="K51" s="361"/>
      <c r="L51" s="361"/>
      <c r="M51" s="361"/>
      <c r="N51" s="361"/>
      <c r="O51" s="361"/>
      <c r="P51" s="361"/>
      <c r="Q51" s="361"/>
      <c r="R51" s="361"/>
      <c r="S51" s="361"/>
      <c r="T51" s="361"/>
      <c r="U51" s="361"/>
      <c r="V51" s="361"/>
      <c r="W51" s="361"/>
      <c r="X51" s="361"/>
      <c r="Y51" s="361"/>
      <c r="Z51" s="361"/>
      <c r="AA51" s="361"/>
      <c r="AB51" s="361"/>
      <c r="AC51" s="361"/>
      <c r="AD51" s="361"/>
      <c r="AE51" s="361"/>
      <c r="AF51" s="361"/>
      <c r="AG51" s="361"/>
      <c r="AH51" s="361"/>
      <c r="AI51" s="361"/>
      <c r="AJ51" s="361"/>
      <c r="AK51" s="361"/>
      <c r="AL51" s="361"/>
      <c r="AM51" s="361"/>
      <c r="AN51" s="361"/>
      <c r="AO51" s="361"/>
      <c r="AP51" s="361"/>
      <c r="AQ51" s="361"/>
      <c r="AR51" s="361"/>
      <c r="AS51" s="361"/>
      <c r="AT51" s="361"/>
    </row>
    <row r="52" spans="1:46" s="187" customFormat="1" x14ac:dyDescent="0.15">
      <c r="A52" s="361"/>
      <c r="B52" s="361"/>
      <c r="C52" s="361"/>
      <c r="D52" s="361"/>
      <c r="E52" s="361"/>
      <c r="F52" s="361"/>
      <c r="G52" s="361"/>
      <c r="H52" s="361"/>
      <c r="I52" s="361"/>
      <c r="J52" s="361"/>
      <c r="K52" s="361"/>
      <c r="L52" s="361"/>
      <c r="M52" s="361"/>
      <c r="N52" s="361"/>
      <c r="O52" s="361"/>
      <c r="P52" s="361"/>
      <c r="Q52" s="361"/>
      <c r="R52" s="361"/>
      <c r="S52" s="361"/>
      <c r="T52" s="361"/>
      <c r="U52" s="361"/>
      <c r="V52" s="361"/>
      <c r="W52" s="361"/>
      <c r="X52" s="361"/>
      <c r="Y52" s="361"/>
      <c r="Z52" s="361"/>
      <c r="AA52" s="361"/>
      <c r="AB52" s="361"/>
      <c r="AC52" s="361"/>
      <c r="AD52" s="361"/>
      <c r="AE52" s="361"/>
      <c r="AF52" s="361"/>
      <c r="AG52" s="361"/>
      <c r="AH52" s="361"/>
      <c r="AI52" s="361"/>
      <c r="AJ52" s="361"/>
      <c r="AK52" s="361"/>
      <c r="AL52" s="361"/>
      <c r="AM52" s="361"/>
      <c r="AN52" s="361"/>
      <c r="AO52" s="361"/>
      <c r="AP52" s="361"/>
      <c r="AQ52" s="361"/>
      <c r="AR52" s="361"/>
      <c r="AS52" s="361"/>
      <c r="AT52" s="361"/>
    </row>
    <row r="53" spans="1:46" s="187" customFormat="1" x14ac:dyDescent="0.15">
      <c r="A53" s="361"/>
      <c r="B53" s="361"/>
      <c r="C53" s="361"/>
      <c r="D53" s="361"/>
      <c r="E53" s="361"/>
      <c r="F53" s="361"/>
      <c r="G53" s="361"/>
      <c r="H53" s="361"/>
      <c r="I53" s="361"/>
      <c r="J53" s="361"/>
      <c r="K53" s="361"/>
      <c r="L53" s="361"/>
      <c r="M53" s="361"/>
      <c r="N53" s="361"/>
      <c r="O53" s="361"/>
      <c r="P53" s="361"/>
      <c r="Q53" s="361"/>
      <c r="R53" s="361"/>
      <c r="S53" s="361"/>
      <c r="T53" s="361"/>
      <c r="U53" s="361"/>
      <c r="V53" s="361"/>
      <c r="W53" s="361"/>
      <c r="X53" s="361"/>
      <c r="Y53" s="361"/>
      <c r="Z53" s="361"/>
      <c r="AA53" s="361"/>
      <c r="AB53" s="361"/>
      <c r="AC53" s="361"/>
      <c r="AD53" s="361"/>
      <c r="AE53" s="361"/>
      <c r="AF53" s="361"/>
      <c r="AG53" s="361"/>
      <c r="AH53" s="361"/>
      <c r="AI53" s="361"/>
      <c r="AJ53" s="361"/>
      <c r="AK53" s="361"/>
      <c r="AL53" s="361"/>
      <c r="AM53" s="361"/>
      <c r="AN53" s="361"/>
      <c r="AO53" s="361"/>
      <c r="AP53" s="361"/>
      <c r="AQ53" s="361"/>
      <c r="AR53" s="361"/>
      <c r="AS53" s="361"/>
      <c r="AT53" s="361"/>
    </row>
    <row r="54" spans="1:46" s="187" customFormat="1" x14ac:dyDescent="0.15">
      <c r="A54" s="361"/>
      <c r="B54" s="361"/>
      <c r="C54" s="361"/>
      <c r="D54" s="361"/>
      <c r="E54" s="361"/>
      <c r="F54" s="361"/>
      <c r="G54" s="361"/>
      <c r="H54" s="361"/>
      <c r="I54" s="361"/>
      <c r="J54" s="361"/>
      <c r="K54" s="361"/>
      <c r="L54" s="361"/>
      <c r="M54" s="361"/>
      <c r="N54" s="361"/>
      <c r="O54" s="361"/>
      <c r="P54" s="361"/>
      <c r="Q54" s="361"/>
      <c r="R54" s="361"/>
      <c r="S54" s="361"/>
      <c r="T54" s="361"/>
      <c r="U54" s="361"/>
      <c r="V54" s="361"/>
      <c r="W54" s="361"/>
      <c r="X54" s="361"/>
      <c r="Y54" s="361"/>
      <c r="Z54" s="361"/>
      <c r="AA54" s="361"/>
      <c r="AB54" s="361"/>
      <c r="AC54" s="361"/>
      <c r="AD54" s="361"/>
      <c r="AE54" s="361"/>
      <c r="AF54" s="361"/>
      <c r="AG54" s="361"/>
      <c r="AH54" s="361"/>
      <c r="AI54" s="361"/>
      <c r="AJ54" s="361"/>
      <c r="AK54" s="361"/>
      <c r="AL54" s="361"/>
      <c r="AM54" s="361"/>
      <c r="AN54" s="361"/>
      <c r="AO54" s="361"/>
      <c r="AP54" s="361"/>
      <c r="AQ54" s="361"/>
      <c r="AR54" s="361"/>
      <c r="AS54" s="361"/>
      <c r="AT54" s="361"/>
    </row>
    <row r="55" spans="1:46" s="187" customFormat="1" x14ac:dyDescent="0.15">
      <c r="A55" s="361"/>
      <c r="B55" s="361"/>
      <c r="C55" s="361"/>
      <c r="D55" s="361"/>
      <c r="E55" s="361"/>
      <c r="F55" s="361"/>
      <c r="G55" s="361"/>
      <c r="H55" s="361"/>
      <c r="I55" s="361"/>
      <c r="J55" s="361"/>
      <c r="K55" s="361"/>
      <c r="L55" s="361"/>
      <c r="M55" s="361"/>
      <c r="N55" s="361"/>
      <c r="O55" s="361"/>
      <c r="P55" s="361"/>
      <c r="Q55" s="361"/>
      <c r="R55" s="361"/>
      <c r="S55" s="361"/>
      <c r="T55" s="361"/>
      <c r="U55" s="361"/>
      <c r="V55" s="361"/>
      <c r="W55" s="361"/>
      <c r="X55" s="361"/>
      <c r="Y55" s="361"/>
      <c r="Z55" s="361"/>
      <c r="AA55" s="361"/>
      <c r="AB55" s="361"/>
      <c r="AC55" s="361"/>
      <c r="AD55" s="361"/>
      <c r="AE55" s="361"/>
      <c r="AF55" s="361"/>
      <c r="AG55" s="361"/>
      <c r="AH55" s="361"/>
      <c r="AI55" s="361"/>
      <c r="AJ55" s="361"/>
      <c r="AK55" s="361"/>
      <c r="AL55" s="361"/>
      <c r="AM55" s="361"/>
      <c r="AN55" s="361"/>
      <c r="AO55" s="361"/>
      <c r="AP55" s="361"/>
      <c r="AQ55" s="361"/>
      <c r="AR55" s="361"/>
      <c r="AS55" s="361"/>
      <c r="AT55" s="361"/>
    </row>
    <row r="56" spans="1:46" s="187" customFormat="1" x14ac:dyDescent="0.15">
      <c r="A56" s="361"/>
      <c r="B56" s="361"/>
      <c r="C56" s="361"/>
      <c r="D56" s="361"/>
      <c r="E56" s="361"/>
      <c r="F56" s="361"/>
      <c r="G56" s="361"/>
      <c r="H56" s="361"/>
      <c r="I56" s="361"/>
      <c r="J56" s="361"/>
      <c r="K56" s="361"/>
      <c r="L56" s="361"/>
      <c r="M56" s="361"/>
      <c r="N56" s="361"/>
      <c r="O56" s="361"/>
      <c r="P56" s="361"/>
      <c r="Q56" s="361"/>
      <c r="R56" s="361"/>
      <c r="S56" s="361"/>
      <c r="T56" s="361"/>
      <c r="U56" s="361"/>
      <c r="V56" s="361"/>
      <c r="W56" s="361"/>
      <c r="X56" s="361"/>
      <c r="Y56" s="361"/>
      <c r="Z56" s="361"/>
      <c r="AA56" s="361"/>
      <c r="AB56" s="361"/>
      <c r="AC56" s="361"/>
      <c r="AD56" s="361"/>
      <c r="AE56" s="361"/>
      <c r="AF56" s="361"/>
      <c r="AG56" s="361"/>
      <c r="AH56" s="361"/>
      <c r="AI56" s="361"/>
      <c r="AJ56" s="361"/>
      <c r="AK56" s="361"/>
      <c r="AL56" s="361"/>
      <c r="AM56" s="361"/>
      <c r="AN56" s="361"/>
      <c r="AO56" s="361"/>
      <c r="AP56" s="361"/>
      <c r="AQ56" s="361"/>
      <c r="AR56" s="361"/>
      <c r="AS56" s="361"/>
      <c r="AT56" s="361"/>
    </row>
    <row r="57" spans="1:46" s="187" customFormat="1" x14ac:dyDescent="0.15">
      <c r="A57" s="361"/>
      <c r="B57" s="361"/>
      <c r="C57" s="361"/>
      <c r="D57" s="361"/>
      <c r="E57" s="361"/>
      <c r="F57" s="361"/>
      <c r="G57" s="361"/>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row>
    <row r="58" spans="1:46" s="187" customFormat="1" x14ac:dyDescent="0.15">
      <c r="A58" s="361"/>
      <c r="B58" s="361"/>
      <c r="C58" s="361"/>
      <c r="D58" s="361"/>
      <c r="E58" s="361"/>
      <c r="F58" s="361"/>
      <c r="G58" s="361"/>
      <c r="H58" s="361"/>
      <c r="I58" s="361"/>
      <c r="J58" s="361"/>
      <c r="K58" s="361"/>
      <c r="L58" s="361"/>
      <c r="M58" s="361"/>
      <c r="N58" s="361"/>
      <c r="O58" s="361"/>
      <c r="P58" s="361"/>
      <c r="Q58" s="361"/>
      <c r="R58" s="361"/>
      <c r="S58" s="361"/>
      <c r="T58" s="361"/>
      <c r="U58" s="361"/>
      <c r="V58" s="361"/>
      <c r="W58" s="361"/>
      <c r="X58" s="361"/>
      <c r="Y58" s="361"/>
      <c r="Z58" s="361"/>
      <c r="AA58" s="361"/>
      <c r="AB58" s="361"/>
      <c r="AC58" s="361"/>
      <c r="AD58" s="361"/>
      <c r="AE58" s="361"/>
      <c r="AF58" s="361"/>
      <c r="AG58" s="361"/>
      <c r="AH58" s="361"/>
      <c r="AI58" s="361"/>
      <c r="AJ58" s="361"/>
      <c r="AK58" s="361"/>
      <c r="AL58" s="361"/>
      <c r="AM58" s="361"/>
      <c r="AN58" s="361"/>
      <c r="AO58" s="361"/>
      <c r="AP58" s="361"/>
      <c r="AQ58" s="361"/>
      <c r="AR58" s="361"/>
      <c r="AS58" s="361"/>
      <c r="AT58" s="361"/>
    </row>
    <row r="59" spans="1:46" s="187" customFormat="1" x14ac:dyDescent="0.15">
      <c r="A59" s="361"/>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361"/>
      <c r="AS59" s="361"/>
      <c r="AT59" s="361"/>
    </row>
    <row r="60" spans="1:46" s="187" customFormat="1" x14ac:dyDescent="0.15"/>
    <row r="61" spans="1:46" s="187" customFormat="1" x14ac:dyDescent="0.15"/>
    <row r="62" spans="1:46" s="187" customFormat="1" x14ac:dyDescent="0.15"/>
    <row r="63" spans="1:46" s="187" customFormat="1" x14ac:dyDescent="0.15"/>
    <row r="64" spans="1:46" s="187" customFormat="1" x14ac:dyDescent="0.15"/>
    <row r="65" s="187" customFormat="1" x14ac:dyDescent="0.15"/>
    <row r="66" s="187" customFormat="1" x14ac:dyDescent="0.15"/>
    <row r="67" s="187" customFormat="1" x14ac:dyDescent="0.15"/>
    <row r="68" s="187" customFormat="1" x14ac:dyDescent="0.15"/>
    <row r="69" s="187" customFormat="1" x14ac:dyDescent="0.15"/>
    <row r="70" s="187" customFormat="1" x14ac:dyDescent="0.15"/>
    <row r="71" s="187" customFormat="1" x14ac:dyDescent="0.15"/>
    <row r="72" s="187" customFormat="1" x14ac:dyDescent="0.15"/>
    <row r="73" s="187" customFormat="1" x14ac:dyDescent="0.15"/>
    <row r="74" s="187" customFormat="1" x14ac:dyDescent="0.15"/>
    <row r="75" s="187" customFormat="1" x14ac:dyDescent="0.15"/>
    <row r="76" s="187" customFormat="1" x14ac:dyDescent="0.15"/>
    <row r="77" s="187" customFormat="1" x14ac:dyDescent="0.15"/>
    <row r="78" s="187" customFormat="1" x14ac:dyDescent="0.15"/>
    <row r="79" s="187" customFormat="1" x14ac:dyDescent="0.15"/>
    <row r="80" s="187" customFormat="1" x14ac:dyDescent="0.15"/>
    <row r="81" s="187" customFormat="1" x14ac:dyDescent="0.15"/>
    <row r="82" s="187" customFormat="1" x14ac:dyDescent="0.15"/>
    <row r="83" s="187" customFormat="1" x14ac:dyDescent="0.15"/>
    <row r="84" s="187" customFormat="1" x14ac:dyDescent="0.15"/>
    <row r="85" s="187" customFormat="1" x14ac:dyDescent="0.15"/>
    <row r="86" s="187" customFormat="1" x14ac:dyDescent="0.15"/>
    <row r="87" s="187" customFormat="1" x14ac:dyDescent="0.15"/>
    <row r="88" s="187" customFormat="1" x14ac:dyDescent="0.15"/>
    <row r="89" s="187" customFormat="1" x14ac:dyDescent="0.15"/>
    <row r="90" s="187" customFormat="1" x14ac:dyDescent="0.15"/>
    <row r="91" s="187" customFormat="1" x14ac:dyDescent="0.15"/>
    <row r="92" s="187" customFormat="1" x14ac:dyDescent="0.15"/>
    <row r="93" s="187" customFormat="1" x14ac:dyDescent="0.15"/>
    <row r="94" s="187" customFormat="1" x14ac:dyDescent="0.15"/>
    <row r="95" s="187" customFormat="1" x14ac:dyDescent="0.15"/>
    <row r="96" s="187" customFormat="1" x14ac:dyDescent="0.15"/>
    <row r="97" s="187" customFormat="1" x14ac:dyDescent="0.15"/>
    <row r="98" s="187" customFormat="1" x14ac:dyDescent="0.15"/>
    <row r="99" s="187" customFormat="1" x14ac:dyDescent="0.15"/>
    <row r="100" s="187" customFormat="1" x14ac:dyDescent="0.15"/>
    <row r="101" s="187" customFormat="1" x14ac:dyDescent="0.15"/>
    <row r="102" s="187" customFormat="1" x14ac:dyDescent="0.15"/>
    <row r="103" s="187" customFormat="1" x14ac:dyDescent="0.15"/>
    <row r="104" s="187" customFormat="1" x14ac:dyDescent="0.15"/>
    <row r="105" s="187" customFormat="1" x14ac:dyDescent="0.15"/>
    <row r="106" s="187" customFormat="1" x14ac:dyDescent="0.15"/>
    <row r="107" s="187" customFormat="1" x14ac:dyDescent="0.15"/>
    <row r="108" s="187" customFormat="1" x14ac:dyDescent="0.15"/>
    <row r="109" s="187" customFormat="1" x14ac:dyDescent="0.15"/>
    <row r="110" s="187" customFormat="1" x14ac:dyDescent="0.15"/>
    <row r="111" s="187" customFormat="1" x14ac:dyDescent="0.15"/>
    <row r="112" s="187" customFormat="1" x14ac:dyDescent="0.15"/>
    <row r="113" s="187" customFormat="1" x14ac:dyDescent="0.15"/>
    <row r="114" s="187" customFormat="1" x14ac:dyDescent="0.15"/>
    <row r="115" s="187" customFormat="1" x14ac:dyDescent="0.15"/>
    <row r="116" s="187" customFormat="1" x14ac:dyDescent="0.15"/>
    <row r="117" s="187" customFormat="1" x14ac:dyDescent="0.15"/>
    <row r="118" s="187" customFormat="1" x14ac:dyDescent="0.15"/>
    <row r="119" s="187" customFormat="1" x14ac:dyDescent="0.15"/>
    <row r="120" s="187" customFormat="1" x14ac:dyDescent="0.15"/>
    <row r="121" s="187" customFormat="1" x14ac:dyDescent="0.15"/>
    <row r="122" s="187" customFormat="1" x14ac:dyDescent="0.15"/>
    <row r="123" s="187" customFormat="1" x14ac:dyDescent="0.15"/>
    <row r="124" s="187" customFormat="1" x14ac:dyDescent="0.15"/>
    <row r="125" s="187" customFormat="1" x14ac:dyDescent="0.15"/>
    <row r="126" s="187" customFormat="1" x14ac:dyDescent="0.15"/>
    <row r="127" s="187" customFormat="1" x14ac:dyDescent="0.15"/>
    <row r="128" s="187" customFormat="1" x14ac:dyDescent="0.15"/>
    <row r="129" s="187" customFormat="1" x14ac:dyDescent="0.15"/>
    <row r="130" s="187" customFormat="1" x14ac:dyDescent="0.15"/>
    <row r="131" s="187" customFormat="1" x14ac:dyDescent="0.15"/>
    <row r="132" s="187" customFormat="1" x14ac:dyDescent="0.15"/>
    <row r="133" s="187" customFormat="1" x14ac:dyDescent="0.15"/>
    <row r="134" s="187" customFormat="1" x14ac:dyDescent="0.15"/>
    <row r="135" s="187" customFormat="1" x14ac:dyDescent="0.15"/>
    <row r="136" s="187" customFormat="1" x14ac:dyDescent="0.15"/>
    <row r="137" s="187" customFormat="1" x14ac:dyDescent="0.15"/>
    <row r="138" s="187" customFormat="1" x14ac:dyDescent="0.15"/>
    <row r="139" s="187" customFormat="1" x14ac:dyDescent="0.15"/>
    <row r="140" s="187" customFormat="1" x14ac:dyDescent="0.15"/>
    <row r="141" s="187" customFormat="1" x14ac:dyDescent="0.15"/>
    <row r="142" s="187" customFormat="1" x14ac:dyDescent="0.15"/>
    <row r="143" s="187" customFormat="1" x14ac:dyDescent="0.15"/>
    <row r="144" s="187" customFormat="1" x14ac:dyDescent="0.15"/>
    <row r="145" s="187" customFormat="1" x14ac:dyDescent="0.15"/>
    <row r="146" s="187" customFormat="1" x14ac:dyDescent="0.15"/>
    <row r="147" s="187" customFormat="1" x14ac:dyDescent="0.15"/>
    <row r="148" s="187" customFormat="1" x14ac:dyDescent="0.15"/>
    <row r="149" s="187" customFormat="1" x14ac:dyDescent="0.15"/>
    <row r="150" s="187" customFormat="1" x14ac:dyDescent="0.15"/>
    <row r="151" s="187" customFormat="1" x14ac:dyDescent="0.15"/>
    <row r="152" s="187" customFormat="1" x14ac:dyDescent="0.15"/>
    <row r="153" s="187" customFormat="1" x14ac:dyDescent="0.15"/>
    <row r="154" s="187" customFormat="1" x14ac:dyDescent="0.15"/>
    <row r="155" s="187" customFormat="1" x14ac:dyDescent="0.15"/>
    <row r="156" s="187" customFormat="1" x14ac:dyDescent="0.15"/>
    <row r="157" s="187" customFormat="1" x14ac:dyDescent="0.15"/>
    <row r="158" s="187" customFormat="1" x14ac:dyDescent="0.15"/>
    <row r="159" s="187" customFormat="1" x14ac:dyDescent="0.15"/>
    <row r="160" s="187" customFormat="1" x14ac:dyDescent="0.15"/>
    <row r="161" s="187" customFormat="1" x14ac:dyDescent="0.15"/>
    <row r="162" s="187" customFormat="1" x14ac:dyDescent="0.15"/>
    <row r="163" s="187" customFormat="1" x14ac:dyDescent="0.15"/>
    <row r="164" s="187" customFormat="1" x14ac:dyDescent="0.15"/>
    <row r="165" s="187" customFormat="1" x14ac:dyDescent="0.15"/>
    <row r="166" s="187" customFormat="1" x14ac:dyDescent="0.15"/>
    <row r="167" s="187" customFormat="1" x14ac:dyDescent="0.15"/>
    <row r="168" s="187" customFormat="1" x14ac:dyDescent="0.15"/>
    <row r="169" s="187" customFormat="1" x14ac:dyDescent="0.15"/>
    <row r="170" s="187" customFormat="1" x14ac:dyDescent="0.15"/>
    <row r="171" s="187" customFormat="1" x14ac:dyDescent="0.15"/>
    <row r="172" s="187" customFormat="1" x14ac:dyDescent="0.15"/>
    <row r="173" s="187" customFormat="1" x14ac:dyDescent="0.15"/>
    <row r="174" s="187" customFormat="1" x14ac:dyDescent="0.15"/>
    <row r="175" s="187" customFormat="1" x14ac:dyDescent="0.15"/>
    <row r="176" s="187" customFormat="1" x14ac:dyDescent="0.15"/>
    <row r="177" s="187" customFormat="1" x14ac:dyDescent="0.15"/>
    <row r="178" s="187" customFormat="1" x14ac:dyDescent="0.15"/>
    <row r="179" s="187" customFormat="1" x14ac:dyDescent="0.15"/>
    <row r="180" s="187" customFormat="1" x14ac:dyDescent="0.15"/>
    <row r="181" s="187" customFormat="1" x14ac:dyDescent="0.15"/>
    <row r="182" s="187" customFormat="1" x14ac:dyDescent="0.15"/>
    <row r="183" s="187" customFormat="1" x14ac:dyDescent="0.15"/>
    <row r="184" s="187" customFormat="1" x14ac:dyDescent="0.15"/>
    <row r="185" s="187" customFormat="1" x14ac:dyDescent="0.15"/>
    <row r="186" s="187" customFormat="1" x14ac:dyDescent="0.15"/>
    <row r="187" s="187" customFormat="1" x14ac:dyDescent="0.15"/>
    <row r="188" s="187" customFormat="1" x14ac:dyDescent="0.15"/>
    <row r="189" s="187" customFormat="1" x14ac:dyDescent="0.15"/>
    <row r="190" s="187" customFormat="1" x14ac:dyDescent="0.15"/>
    <row r="191" s="187" customFormat="1" x14ac:dyDescent="0.15"/>
    <row r="192" s="187" customFormat="1" x14ac:dyDescent="0.15"/>
    <row r="193" s="187" customFormat="1" x14ac:dyDescent="0.15"/>
    <row r="194" s="187" customFormat="1" x14ac:dyDescent="0.15"/>
    <row r="195" s="187" customFormat="1" x14ac:dyDescent="0.15"/>
    <row r="196" s="187" customFormat="1" x14ac:dyDescent="0.15"/>
    <row r="197" s="187" customFormat="1" x14ac:dyDescent="0.15"/>
    <row r="198" s="187" customFormat="1" x14ac:dyDescent="0.15"/>
    <row r="199" s="187" customFormat="1" x14ac:dyDescent="0.15"/>
    <row r="200" s="187" customFormat="1" x14ac:dyDescent="0.15"/>
    <row r="201" s="187" customFormat="1" x14ac:dyDescent="0.15"/>
    <row r="202" s="187" customFormat="1" x14ac:dyDescent="0.15"/>
    <row r="203" s="187" customFormat="1" x14ac:dyDescent="0.15"/>
    <row r="204" s="187" customFormat="1" x14ac:dyDescent="0.15"/>
    <row r="205" s="187" customFormat="1" x14ac:dyDescent="0.15"/>
    <row r="206" s="187" customFormat="1" x14ac:dyDescent="0.15"/>
    <row r="207" s="187" customFormat="1" x14ac:dyDescent="0.15"/>
    <row r="208" s="187" customFormat="1" x14ac:dyDescent="0.15"/>
    <row r="209" s="187" customFormat="1" x14ac:dyDescent="0.15"/>
    <row r="210" s="187" customFormat="1" x14ac:dyDescent="0.15"/>
    <row r="211" s="187" customFormat="1" x14ac:dyDescent="0.15"/>
    <row r="212" s="187" customFormat="1" x14ac:dyDescent="0.15"/>
    <row r="213" s="187" customFormat="1" x14ac:dyDescent="0.15"/>
    <row r="214" s="187" customFormat="1" x14ac:dyDescent="0.15"/>
    <row r="215" s="187" customFormat="1" x14ac:dyDescent="0.15"/>
    <row r="216" s="187" customFormat="1" x14ac:dyDescent="0.15"/>
    <row r="217" s="187" customFormat="1" x14ac:dyDescent="0.15"/>
    <row r="218" s="187" customFormat="1" x14ac:dyDescent="0.15"/>
    <row r="219" s="187" customFormat="1" x14ac:dyDescent="0.15"/>
    <row r="220" s="187" customFormat="1" x14ac:dyDescent="0.15"/>
    <row r="221" s="187" customFormat="1" x14ac:dyDescent="0.15"/>
    <row r="222" s="187" customFormat="1" x14ac:dyDescent="0.15"/>
    <row r="223" s="187" customFormat="1" x14ac:dyDescent="0.15"/>
    <row r="224" s="187" customFormat="1" x14ac:dyDescent="0.15"/>
    <row r="225" s="187" customFormat="1" x14ac:dyDescent="0.15"/>
    <row r="226" s="187" customFormat="1" x14ac:dyDescent="0.15"/>
    <row r="227" s="187" customFormat="1" x14ac:dyDescent="0.15"/>
    <row r="228" s="187" customFormat="1" x14ac:dyDescent="0.15"/>
    <row r="229" s="187" customFormat="1" x14ac:dyDescent="0.15"/>
    <row r="230" s="187" customFormat="1" x14ac:dyDescent="0.15"/>
    <row r="231" s="187" customFormat="1" x14ac:dyDescent="0.15"/>
    <row r="232" s="187" customFormat="1" x14ac:dyDescent="0.15"/>
    <row r="233" s="187" customFormat="1" x14ac:dyDescent="0.15"/>
    <row r="234" s="187" customFormat="1" x14ac:dyDescent="0.15"/>
    <row r="235" s="187" customFormat="1" x14ac:dyDescent="0.15"/>
    <row r="236" s="187" customFormat="1" x14ac:dyDescent="0.15"/>
    <row r="237" s="187" customFormat="1" x14ac:dyDescent="0.15"/>
    <row r="238" s="187" customFormat="1" x14ac:dyDescent="0.15"/>
    <row r="239" s="187" customFormat="1" x14ac:dyDescent="0.15"/>
    <row r="240" s="187" customFormat="1" x14ac:dyDescent="0.15"/>
    <row r="241" s="187" customFormat="1" x14ac:dyDescent="0.15"/>
    <row r="242" s="187" customFormat="1" x14ac:dyDescent="0.15"/>
    <row r="243" s="187" customFormat="1" x14ac:dyDescent="0.15"/>
    <row r="244" s="187" customFormat="1" x14ac:dyDescent="0.15"/>
    <row r="245" s="187" customFormat="1" x14ac:dyDescent="0.15"/>
    <row r="246" s="187" customFormat="1" x14ac:dyDescent="0.15"/>
    <row r="247" s="187" customFormat="1" x14ac:dyDescent="0.15"/>
    <row r="248" s="187" customFormat="1" x14ac:dyDescent="0.15"/>
    <row r="249" s="187" customFormat="1" x14ac:dyDescent="0.15"/>
    <row r="250" s="187" customFormat="1" x14ac:dyDescent="0.15"/>
    <row r="251" s="187" customFormat="1" x14ac:dyDescent="0.15"/>
    <row r="252" s="187" customFormat="1" x14ac:dyDescent="0.15"/>
    <row r="253" s="187" customFormat="1" x14ac:dyDescent="0.15"/>
    <row r="254" s="187" customFormat="1" x14ac:dyDescent="0.15"/>
    <row r="255" s="187" customFormat="1" x14ac:dyDescent="0.15"/>
    <row r="256" s="187" customFormat="1" x14ac:dyDescent="0.15"/>
    <row r="257" s="187" customFormat="1" x14ac:dyDescent="0.15"/>
    <row r="258" s="187" customFormat="1" x14ac:dyDescent="0.15"/>
    <row r="259" s="187" customFormat="1" x14ac:dyDescent="0.15"/>
    <row r="260" s="187" customFormat="1" x14ac:dyDescent="0.15"/>
    <row r="261" s="187" customFormat="1" x14ac:dyDescent="0.15"/>
    <row r="262" s="187" customFormat="1" x14ac:dyDescent="0.15"/>
    <row r="263" s="187" customFormat="1" x14ac:dyDescent="0.15"/>
    <row r="264" s="187" customFormat="1" x14ac:dyDescent="0.15"/>
    <row r="265" s="187" customFormat="1" x14ac:dyDescent="0.15"/>
    <row r="266" s="187" customFormat="1" x14ac:dyDescent="0.15"/>
    <row r="267" s="187" customFormat="1" x14ac:dyDescent="0.15"/>
    <row r="268" s="187" customFormat="1" x14ac:dyDescent="0.15"/>
    <row r="269" s="187" customFormat="1" x14ac:dyDescent="0.15"/>
    <row r="270" s="187" customFormat="1" x14ac:dyDescent="0.15"/>
    <row r="271" s="187" customFormat="1" x14ac:dyDescent="0.15"/>
    <row r="272" s="187" customFormat="1" x14ac:dyDescent="0.15"/>
    <row r="273" s="187" customFormat="1" x14ac:dyDescent="0.15"/>
    <row r="274" s="187" customFormat="1" x14ac:dyDescent="0.15"/>
    <row r="275" s="187" customFormat="1" x14ac:dyDescent="0.15"/>
    <row r="276" s="187" customFormat="1" x14ac:dyDescent="0.15"/>
    <row r="277" s="187" customFormat="1" x14ac:dyDescent="0.15"/>
    <row r="278" s="187" customFormat="1" x14ac:dyDescent="0.15"/>
    <row r="279" s="187" customFormat="1" x14ac:dyDescent="0.15"/>
    <row r="280" s="187" customFormat="1" x14ac:dyDescent="0.15"/>
    <row r="281" s="187" customFormat="1" x14ac:dyDescent="0.15"/>
    <row r="282" s="187" customFormat="1" x14ac:dyDescent="0.15"/>
    <row r="283" s="187" customFormat="1" x14ac:dyDescent="0.15"/>
    <row r="284" s="187" customFormat="1" x14ac:dyDescent="0.15"/>
    <row r="285" s="187" customFormat="1" x14ac:dyDescent="0.15"/>
    <row r="286" s="187" customFormat="1" x14ac:dyDescent="0.15"/>
    <row r="287" s="187" customFormat="1" x14ac:dyDescent="0.15"/>
    <row r="288" s="187" customFormat="1" x14ac:dyDescent="0.15"/>
    <row r="289" s="187" customFormat="1" x14ac:dyDescent="0.15"/>
    <row r="290" s="187" customFormat="1" x14ac:dyDescent="0.15"/>
    <row r="291" s="187" customFormat="1" x14ac:dyDescent="0.15"/>
    <row r="292" s="187" customFormat="1" x14ac:dyDescent="0.15"/>
    <row r="293" s="187" customFormat="1" x14ac:dyDescent="0.15"/>
    <row r="294" s="187" customFormat="1" x14ac:dyDescent="0.15"/>
    <row r="295" s="187" customFormat="1" x14ac:dyDescent="0.15"/>
    <row r="296" s="187" customFormat="1" x14ac:dyDescent="0.15"/>
    <row r="297" s="187" customFormat="1" x14ac:dyDescent="0.15"/>
    <row r="298" s="187" customFormat="1" x14ac:dyDescent="0.15"/>
    <row r="299" s="187" customFormat="1" x14ac:dyDescent="0.15"/>
    <row r="300" s="187" customFormat="1" x14ac:dyDescent="0.15"/>
    <row r="301" s="187" customFormat="1" x14ac:dyDescent="0.15"/>
    <row r="302" s="187" customFormat="1" x14ac:dyDescent="0.15"/>
    <row r="303" s="187" customFormat="1" x14ac:dyDescent="0.15"/>
    <row r="304" s="187" customFormat="1" x14ac:dyDescent="0.15"/>
    <row r="305" s="187" customFormat="1" x14ac:dyDescent="0.15"/>
    <row r="306" s="187" customFormat="1" x14ac:dyDescent="0.15"/>
    <row r="307" s="187" customFormat="1" x14ac:dyDescent="0.15"/>
    <row r="308" s="187" customFormat="1" x14ac:dyDescent="0.15"/>
    <row r="309" s="187" customFormat="1" x14ac:dyDescent="0.15"/>
    <row r="310" s="187" customFormat="1" x14ac:dyDescent="0.15"/>
    <row r="311" s="187" customFormat="1" x14ac:dyDescent="0.15"/>
    <row r="312" s="187" customFormat="1" x14ac:dyDescent="0.15"/>
    <row r="313" s="187" customFormat="1" x14ac:dyDescent="0.15"/>
    <row r="314" s="187" customFormat="1" x14ac:dyDescent="0.15"/>
    <row r="315" s="187" customFormat="1" x14ac:dyDescent="0.15"/>
    <row r="316" s="187" customFormat="1" x14ac:dyDescent="0.15"/>
    <row r="317" s="187" customFormat="1" x14ac:dyDescent="0.15"/>
    <row r="318" s="187" customFormat="1" x14ac:dyDescent="0.15"/>
    <row r="319" s="187" customFormat="1" x14ac:dyDescent="0.15"/>
    <row r="320" s="187" customFormat="1" x14ac:dyDescent="0.15"/>
    <row r="321" s="187" customFormat="1" x14ac:dyDescent="0.15"/>
    <row r="322" s="187" customFormat="1" x14ac:dyDescent="0.15"/>
    <row r="323" s="187" customFormat="1" x14ac:dyDescent="0.15"/>
    <row r="324" s="187" customFormat="1" x14ac:dyDescent="0.15"/>
    <row r="325" s="187" customFormat="1" x14ac:dyDescent="0.15"/>
    <row r="326" s="187" customFormat="1" x14ac:dyDescent="0.15"/>
    <row r="327" s="187" customFormat="1" x14ac:dyDescent="0.15"/>
    <row r="328" s="187" customFormat="1" x14ac:dyDescent="0.15"/>
    <row r="329" s="187" customFormat="1" x14ac:dyDescent="0.15"/>
    <row r="330" s="187" customFormat="1" x14ac:dyDescent="0.15"/>
    <row r="331" s="187" customFormat="1" x14ac:dyDescent="0.15"/>
    <row r="332" s="187" customFormat="1" x14ac:dyDescent="0.15"/>
    <row r="333" s="187" customFormat="1" x14ac:dyDescent="0.15"/>
    <row r="334" s="187" customFormat="1" x14ac:dyDescent="0.15"/>
    <row r="335" s="187" customFormat="1" x14ac:dyDescent="0.15"/>
    <row r="336" s="187" customFormat="1" x14ac:dyDescent="0.15"/>
    <row r="337" s="187" customFormat="1" x14ac:dyDescent="0.15"/>
    <row r="338" s="187" customFormat="1" x14ac:dyDescent="0.15"/>
    <row r="339" s="187" customFormat="1" x14ac:dyDescent="0.15"/>
    <row r="340" s="187" customFormat="1" x14ac:dyDescent="0.15"/>
    <row r="341" s="187" customFormat="1" x14ac:dyDescent="0.15"/>
    <row r="342" s="187" customFormat="1" x14ac:dyDescent="0.15"/>
    <row r="343" s="187" customFormat="1" x14ac:dyDescent="0.15"/>
    <row r="344" s="187" customFormat="1" x14ac:dyDescent="0.15"/>
    <row r="345" s="187" customFormat="1" x14ac:dyDescent="0.15"/>
    <row r="346" s="187" customFormat="1" x14ac:dyDescent="0.15"/>
    <row r="347" s="187" customFormat="1" x14ac:dyDescent="0.15"/>
    <row r="348" s="187" customFormat="1" x14ac:dyDescent="0.15"/>
    <row r="349" s="187" customFormat="1" x14ac:dyDescent="0.15"/>
    <row r="350" s="187" customFormat="1" x14ac:dyDescent="0.15"/>
    <row r="351" s="187" customFormat="1" x14ac:dyDescent="0.15"/>
    <row r="352" s="187" customFormat="1" x14ac:dyDescent="0.15"/>
    <row r="353" s="187" customFormat="1" x14ac:dyDescent="0.15"/>
    <row r="354" s="187" customFormat="1" x14ac:dyDescent="0.15"/>
    <row r="355" s="187" customFormat="1" x14ac:dyDescent="0.15"/>
    <row r="356" s="187" customFormat="1" x14ac:dyDescent="0.15"/>
    <row r="357" s="187" customFormat="1" x14ac:dyDescent="0.15"/>
    <row r="358" s="187" customFormat="1" x14ac:dyDescent="0.15"/>
    <row r="359" s="187" customFormat="1" x14ac:dyDescent="0.15"/>
    <row r="360" s="187" customFormat="1" x14ac:dyDescent="0.15"/>
    <row r="361" s="187" customFormat="1" x14ac:dyDescent="0.15"/>
    <row r="362" s="187" customFormat="1" x14ac:dyDescent="0.15"/>
    <row r="363" s="187" customFormat="1" x14ac:dyDescent="0.15"/>
    <row r="364" s="187" customFormat="1" x14ac:dyDescent="0.15"/>
    <row r="365" s="187" customFormat="1" x14ac:dyDescent="0.15"/>
    <row r="366" s="187" customFormat="1" x14ac:dyDescent="0.15"/>
    <row r="367" s="187" customFormat="1" x14ac:dyDescent="0.15"/>
    <row r="368" s="187" customFormat="1" x14ac:dyDescent="0.15"/>
    <row r="369" s="187" customFormat="1" x14ac:dyDescent="0.15"/>
    <row r="370" s="187" customFormat="1" x14ac:dyDescent="0.15"/>
    <row r="371" s="187" customFormat="1" x14ac:dyDescent="0.15"/>
    <row r="372" s="187" customFormat="1" x14ac:dyDescent="0.15"/>
    <row r="373" s="187" customFormat="1" x14ac:dyDescent="0.15"/>
    <row r="374" s="187" customFormat="1" x14ac:dyDescent="0.15"/>
    <row r="375" s="187" customFormat="1" x14ac:dyDescent="0.15"/>
    <row r="376" s="187" customFormat="1" x14ac:dyDescent="0.15"/>
    <row r="377" s="187" customFormat="1" x14ac:dyDescent="0.15"/>
    <row r="378" s="187" customFormat="1" x14ac:dyDescent="0.15"/>
    <row r="379" s="187" customFormat="1" x14ac:dyDescent="0.15"/>
    <row r="380" s="187" customFormat="1" x14ac:dyDescent="0.15"/>
    <row r="381" s="187" customFormat="1" x14ac:dyDescent="0.15"/>
    <row r="382" s="187" customFormat="1" x14ac:dyDescent="0.15"/>
    <row r="383" s="187" customFormat="1" x14ac:dyDescent="0.15"/>
    <row r="384" s="187" customFormat="1" x14ac:dyDescent="0.15"/>
    <row r="385" s="187" customFormat="1" x14ac:dyDescent="0.15"/>
    <row r="386" s="187" customFormat="1" x14ac:dyDescent="0.15"/>
    <row r="387" s="187" customFormat="1" x14ac:dyDescent="0.15"/>
    <row r="388" s="187" customFormat="1" x14ac:dyDescent="0.15"/>
    <row r="389" s="187" customFormat="1" x14ac:dyDescent="0.15"/>
    <row r="390" s="187" customFormat="1" x14ac:dyDescent="0.15"/>
    <row r="391" s="187" customFormat="1" x14ac:dyDescent="0.15"/>
    <row r="392" s="187" customFormat="1" x14ac:dyDescent="0.15"/>
    <row r="393" s="187" customFormat="1" x14ac:dyDescent="0.15"/>
    <row r="394" s="187" customFormat="1" x14ac:dyDescent="0.15"/>
    <row r="395" s="187" customFormat="1" x14ac:dyDescent="0.15"/>
    <row r="396" s="187" customFormat="1" x14ac:dyDescent="0.15"/>
    <row r="397" s="187" customFormat="1" x14ac:dyDescent="0.15"/>
    <row r="398" s="187" customFormat="1" x14ac:dyDescent="0.15"/>
    <row r="399" s="187" customFormat="1" x14ac:dyDescent="0.15"/>
    <row r="400" s="187" customFormat="1" x14ac:dyDescent="0.15"/>
    <row r="401" s="187" customFormat="1" x14ac:dyDescent="0.15"/>
    <row r="402" s="187" customFormat="1" x14ac:dyDescent="0.15"/>
    <row r="403" s="187" customFormat="1" x14ac:dyDescent="0.15"/>
    <row r="404" s="187" customFormat="1" x14ac:dyDescent="0.15"/>
    <row r="405" s="187" customFormat="1" x14ac:dyDescent="0.15"/>
    <row r="406" s="187" customFormat="1" x14ac:dyDescent="0.15"/>
    <row r="407" s="187" customFormat="1" x14ac:dyDescent="0.15"/>
    <row r="408" s="187" customFormat="1" x14ac:dyDescent="0.15"/>
    <row r="409" s="187" customFormat="1" x14ac:dyDescent="0.15"/>
    <row r="410" s="187" customFormat="1" x14ac:dyDescent="0.15"/>
    <row r="411" s="187" customFormat="1" x14ac:dyDescent="0.15"/>
    <row r="412" s="187" customFormat="1" x14ac:dyDescent="0.15"/>
    <row r="413" s="187" customFormat="1" x14ac:dyDescent="0.15"/>
    <row r="414" s="187" customFormat="1" x14ac:dyDescent="0.15"/>
    <row r="415" s="187" customFormat="1" x14ac:dyDescent="0.15"/>
    <row r="416" s="187" customFormat="1" x14ac:dyDescent="0.15"/>
    <row r="417" s="187" customFormat="1" x14ac:dyDescent="0.15"/>
    <row r="418" s="187" customFormat="1" x14ac:dyDescent="0.15"/>
    <row r="419" s="187" customFormat="1" x14ac:dyDescent="0.15"/>
    <row r="420" s="187" customFormat="1" x14ac:dyDescent="0.15"/>
    <row r="421" s="187" customFormat="1" x14ac:dyDescent="0.15"/>
    <row r="422" s="187" customFormat="1" x14ac:dyDescent="0.15"/>
    <row r="423" s="187" customFormat="1" x14ac:dyDescent="0.15"/>
    <row r="424" s="187" customFormat="1" x14ac:dyDescent="0.15"/>
    <row r="425" s="187" customFormat="1" x14ac:dyDescent="0.15"/>
    <row r="426" s="187" customFormat="1" x14ac:dyDescent="0.15"/>
    <row r="427" s="187" customFormat="1" x14ac:dyDescent="0.15"/>
    <row r="428" s="187" customFormat="1" x14ac:dyDescent="0.15"/>
    <row r="429" s="187" customFormat="1" x14ac:dyDescent="0.15"/>
    <row r="430" s="187" customFormat="1" x14ac:dyDescent="0.15"/>
    <row r="431" s="187" customFormat="1" x14ac:dyDescent="0.15"/>
    <row r="432" s="187" customFormat="1" x14ac:dyDescent="0.15"/>
    <row r="433" s="187" customFormat="1" x14ac:dyDescent="0.15"/>
    <row r="434" s="187" customFormat="1" x14ac:dyDescent="0.15"/>
    <row r="435" s="187" customFormat="1" x14ac:dyDescent="0.15"/>
    <row r="436" s="187" customFormat="1" x14ac:dyDescent="0.15"/>
    <row r="437" s="187" customFormat="1" x14ac:dyDescent="0.15"/>
    <row r="438" s="187" customFormat="1" x14ac:dyDescent="0.15"/>
    <row r="439" s="187" customFormat="1" x14ac:dyDescent="0.15"/>
    <row r="440" s="187" customFormat="1" x14ac:dyDescent="0.15"/>
    <row r="441" s="187" customFormat="1" x14ac:dyDescent="0.15"/>
    <row r="442" s="187" customFormat="1" x14ac:dyDescent="0.15"/>
    <row r="443" s="187" customFormat="1" x14ac:dyDescent="0.15"/>
    <row r="444" s="187" customFormat="1" x14ac:dyDescent="0.15"/>
    <row r="445" s="187" customFormat="1" x14ac:dyDescent="0.15"/>
    <row r="446" s="187" customFormat="1" x14ac:dyDescent="0.15"/>
    <row r="447" s="187" customFormat="1" x14ac:dyDescent="0.15"/>
    <row r="448" s="187" customFormat="1" x14ac:dyDescent="0.15"/>
    <row r="449" s="187" customFormat="1" x14ac:dyDescent="0.15"/>
    <row r="450" s="187" customFormat="1" x14ac:dyDescent="0.15"/>
    <row r="451" s="187" customFormat="1" x14ac:dyDescent="0.15"/>
    <row r="452" s="187" customFormat="1" x14ac:dyDescent="0.15"/>
    <row r="453" s="187" customFormat="1" x14ac:dyDescent="0.15"/>
    <row r="454" s="187" customFormat="1" x14ac:dyDescent="0.15"/>
    <row r="455" s="187" customFormat="1" x14ac:dyDescent="0.15"/>
    <row r="456" s="187" customFormat="1" x14ac:dyDescent="0.15"/>
    <row r="457" s="187" customFormat="1" x14ac:dyDescent="0.15"/>
    <row r="458" s="187" customFormat="1" x14ac:dyDescent="0.15"/>
    <row r="459" s="187" customFormat="1" x14ac:dyDescent="0.15"/>
    <row r="460" s="187" customFormat="1" x14ac:dyDescent="0.15"/>
    <row r="461" s="187" customFormat="1" x14ac:dyDescent="0.15"/>
    <row r="462" s="187" customFormat="1" x14ac:dyDescent="0.15"/>
    <row r="463" s="187" customFormat="1" x14ac:dyDescent="0.15"/>
    <row r="464" s="187" customFormat="1" x14ac:dyDescent="0.15"/>
    <row r="465" s="187" customFormat="1" x14ac:dyDescent="0.15"/>
    <row r="466" s="187" customFormat="1" x14ac:dyDescent="0.15"/>
    <row r="467" s="187" customFormat="1" x14ac:dyDescent="0.15"/>
    <row r="468" s="187" customFormat="1" x14ac:dyDescent="0.15"/>
    <row r="469" s="187" customFormat="1" x14ac:dyDescent="0.15"/>
    <row r="470" s="187" customFormat="1" x14ac:dyDescent="0.15"/>
    <row r="471" s="187" customFormat="1" x14ac:dyDescent="0.15"/>
    <row r="472" s="187" customFormat="1" x14ac:dyDescent="0.15"/>
    <row r="473" s="187" customFormat="1" x14ac:dyDescent="0.15"/>
    <row r="474" s="187" customFormat="1" x14ac:dyDescent="0.15"/>
    <row r="475" s="187" customFormat="1" x14ac:dyDescent="0.15"/>
    <row r="476" s="187" customFormat="1" x14ac:dyDescent="0.15"/>
    <row r="477" s="187" customFormat="1" x14ac:dyDescent="0.15"/>
    <row r="478" s="187" customFormat="1" x14ac:dyDescent="0.15"/>
    <row r="479" s="187" customFormat="1" x14ac:dyDescent="0.15"/>
    <row r="480" s="187" customFormat="1" x14ac:dyDescent="0.15"/>
    <row r="481" s="187" customFormat="1" x14ac:dyDescent="0.15"/>
    <row r="482" s="187" customFormat="1" x14ac:dyDescent="0.15"/>
    <row r="483" s="187" customFormat="1" x14ac:dyDescent="0.15"/>
    <row r="484" s="187" customFormat="1" x14ac:dyDescent="0.15"/>
    <row r="485" s="187" customFormat="1" x14ac:dyDescent="0.15"/>
    <row r="486" s="187" customFormat="1" x14ac:dyDescent="0.15"/>
    <row r="487" s="187" customFormat="1" x14ac:dyDescent="0.15"/>
    <row r="488" s="187" customFormat="1" x14ac:dyDescent="0.15"/>
    <row r="489" s="187" customFormat="1" x14ac:dyDescent="0.15"/>
    <row r="490" s="187" customFormat="1" x14ac:dyDescent="0.15"/>
    <row r="491" s="187" customFormat="1" x14ac:dyDescent="0.15"/>
    <row r="492" s="187" customFormat="1" x14ac:dyDescent="0.15"/>
    <row r="493" s="187" customFormat="1" x14ac:dyDescent="0.15"/>
    <row r="494" s="187" customFormat="1" x14ac:dyDescent="0.15"/>
    <row r="495" s="187" customFormat="1" x14ac:dyDescent="0.15"/>
    <row r="496" s="187" customFormat="1" x14ac:dyDescent="0.15"/>
    <row r="497" s="187" customFormat="1" x14ac:dyDescent="0.15"/>
    <row r="498" s="187" customFormat="1" x14ac:dyDescent="0.15"/>
    <row r="499" s="187" customFormat="1" x14ac:dyDescent="0.15"/>
    <row r="500" s="187" customFormat="1" x14ac:dyDescent="0.15"/>
    <row r="501" s="187" customFormat="1" x14ac:dyDescent="0.15"/>
    <row r="502" s="187" customFormat="1" x14ac:dyDescent="0.15"/>
    <row r="503" s="187" customFormat="1" x14ac:dyDescent="0.15"/>
    <row r="504" s="187" customFormat="1" x14ac:dyDescent="0.15"/>
    <row r="505" s="187" customFormat="1" x14ac:dyDescent="0.15"/>
    <row r="506" s="187" customFormat="1" x14ac:dyDescent="0.15"/>
    <row r="507" s="187" customFormat="1" x14ac:dyDescent="0.15"/>
    <row r="508" s="187" customFormat="1" x14ac:dyDescent="0.15"/>
    <row r="509" s="187" customFormat="1" x14ac:dyDescent="0.15"/>
    <row r="510" s="187" customFormat="1" x14ac:dyDescent="0.15"/>
    <row r="511" s="187" customFormat="1" x14ac:dyDescent="0.15"/>
    <row r="512" s="187" customFormat="1" x14ac:dyDescent="0.15"/>
    <row r="513" s="187" customFormat="1" x14ac:dyDescent="0.15"/>
    <row r="514" s="187" customFormat="1" x14ac:dyDescent="0.15"/>
    <row r="515" s="187" customFormat="1" x14ac:dyDescent="0.15"/>
    <row r="516" s="187" customFormat="1" x14ac:dyDescent="0.15"/>
    <row r="517" s="187" customFormat="1" x14ac:dyDescent="0.15"/>
    <row r="518" s="187" customFormat="1" x14ac:dyDescent="0.15"/>
    <row r="519" s="187" customFormat="1" x14ac:dyDescent="0.15"/>
    <row r="520" s="187" customFormat="1" x14ac:dyDescent="0.15"/>
    <row r="521" s="187" customFormat="1" x14ac:dyDescent="0.15"/>
    <row r="522" s="187" customFormat="1" x14ac:dyDescent="0.15"/>
    <row r="523" s="187" customFormat="1" x14ac:dyDescent="0.15"/>
    <row r="524" s="187" customFormat="1" x14ac:dyDescent="0.15"/>
    <row r="525" s="187" customFormat="1" x14ac:dyDescent="0.15"/>
    <row r="526" s="187" customFormat="1" x14ac:dyDescent="0.15"/>
    <row r="527" s="187" customFormat="1" x14ac:dyDescent="0.15"/>
    <row r="528" s="187" customFormat="1" x14ac:dyDescent="0.15"/>
    <row r="529" s="187" customFormat="1" x14ac:dyDescent="0.15"/>
    <row r="530" s="187" customFormat="1" x14ac:dyDescent="0.15"/>
    <row r="531" s="187" customFormat="1" x14ac:dyDescent="0.15"/>
    <row r="532" s="187" customFormat="1" x14ac:dyDescent="0.15"/>
    <row r="533" s="187" customFormat="1" x14ac:dyDescent="0.15"/>
    <row r="534" s="187" customFormat="1" x14ac:dyDescent="0.15"/>
    <row r="535" s="187" customFormat="1" x14ac:dyDescent="0.15"/>
    <row r="536" s="187" customFormat="1" x14ac:dyDescent="0.15"/>
    <row r="537" s="187" customFormat="1" x14ac:dyDescent="0.15"/>
    <row r="538" s="187" customFormat="1" x14ac:dyDescent="0.15"/>
    <row r="539" s="187" customFormat="1" x14ac:dyDescent="0.15"/>
    <row r="540" s="187" customFormat="1" x14ac:dyDescent="0.15"/>
    <row r="541" s="187" customFormat="1" x14ac:dyDescent="0.15"/>
    <row r="542" s="187" customFormat="1" x14ac:dyDescent="0.15"/>
    <row r="543" s="187" customFormat="1" x14ac:dyDescent="0.15"/>
    <row r="544" s="187" customFormat="1" x14ac:dyDescent="0.15"/>
    <row r="545" s="187" customFormat="1" x14ac:dyDescent="0.15"/>
    <row r="546" s="187" customFormat="1" x14ac:dyDescent="0.15"/>
    <row r="547" s="187" customFormat="1" x14ac:dyDescent="0.15"/>
    <row r="548" s="187" customFormat="1" x14ac:dyDescent="0.15"/>
    <row r="549" s="187" customFormat="1" x14ac:dyDescent="0.15"/>
    <row r="550" s="187" customFormat="1" x14ac:dyDescent="0.15"/>
    <row r="551" s="187" customFormat="1" x14ac:dyDescent="0.15"/>
    <row r="552" s="187" customFormat="1" x14ac:dyDescent="0.15"/>
    <row r="553" s="187" customFormat="1" x14ac:dyDescent="0.15"/>
    <row r="554" s="187" customFormat="1" x14ac:dyDescent="0.15"/>
    <row r="555" s="187" customFormat="1" x14ac:dyDescent="0.15"/>
    <row r="556" s="187" customFormat="1" x14ac:dyDescent="0.15"/>
    <row r="557" s="187" customFormat="1" x14ac:dyDescent="0.15"/>
    <row r="558" s="187" customFormat="1" x14ac:dyDescent="0.15"/>
    <row r="559" s="187" customFormat="1" x14ac:dyDescent="0.15"/>
    <row r="560" s="187" customFormat="1" x14ac:dyDescent="0.15"/>
    <row r="561" s="187" customFormat="1" x14ac:dyDescent="0.15"/>
    <row r="562" s="187" customFormat="1" x14ac:dyDescent="0.15"/>
    <row r="563" s="187" customFormat="1" x14ac:dyDescent="0.15"/>
    <row r="564" s="187" customFormat="1" x14ac:dyDescent="0.15"/>
    <row r="565" s="187" customFormat="1" x14ac:dyDescent="0.15"/>
    <row r="566" s="187" customFormat="1" x14ac:dyDescent="0.15"/>
    <row r="567" s="187" customFormat="1" x14ac:dyDescent="0.15"/>
    <row r="568" s="187" customFormat="1" x14ac:dyDescent="0.15"/>
    <row r="569" s="187" customFormat="1" x14ac:dyDescent="0.15"/>
    <row r="570" s="187" customFormat="1" x14ac:dyDescent="0.15"/>
    <row r="571" s="187" customFormat="1" x14ac:dyDescent="0.15"/>
    <row r="572" s="187" customFormat="1" x14ac:dyDescent="0.15"/>
    <row r="573" s="187" customFormat="1" x14ac:dyDescent="0.15"/>
    <row r="574" s="187" customFormat="1" x14ac:dyDescent="0.15"/>
    <row r="575" s="187" customFormat="1" x14ac:dyDescent="0.15"/>
    <row r="576" s="187" customFormat="1" x14ac:dyDescent="0.15"/>
    <row r="577" s="187" customFormat="1" x14ac:dyDescent="0.15"/>
    <row r="578" s="187" customFormat="1" x14ac:dyDescent="0.15"/>
    <row r="579" s="187" customFormat="1" x14ac:dyDescent="0.15"/>
    <row r="580" s="187" customFormat="1" x14ac:dyDescent="0.15"/>
    <row r="581" s="187" customFormat="1" x14ac:dyDescent="0.15"/>
    <row r="582" s="187" customFormat="1" x14ac:dyDescent="0.15"/>
    <row r="583" s="187" customFormat="1" x14ac:dyDescent="0.15"/>
    <row r="584" s="187" customFormat="1" x14ac:dyDescent="0.15"/>
    <row r="585" s="187" customFormat="1" x14ac:dyDescent="0.15"/>
    <row r="586" s="187" customFormat="1" x14ac:dyDescent="0.15"/>
    <row r="587" s="187" customFormat="1" x14ac:dyDescent="0.15"/>
    <row r="588" s="187" customFormat="1" x14ac:dyDescent="0.15"/>
    <row r="589" s="187" customFormat="1" x14ac:dyDescent="0.15"/>
    <row r="590" s="187" customFormat="1" x14ac:dyDescent="0.15"/>
    <row r="591" s="187" customFormat="1" x14ac:dyDescent="0.15"/>
    <row r="592" s="187" customFormat="1" x14ac:dyDescent="0.15"/>
    <row r="593" s="187" customFormat="1" x14ac:dyDescent="0.15"/>
    <row r="594" s="187" customFormat="1" x14ac:dyDescent="0.15"/>
    <row r="595" s="187" customFormat="1" x14ac:dyDescent="0.15"/>
    <row r="596" s="187" customFormat="1" x14ac:dyDescent="0.15"/>
    <row r="597" s="187" customFormat="1" x14ac:dyDescent="0.15"/>
    <row r="598" s="187" customFormat="1" x14ac:dyDescent="0.15"/>
    <row r="599" s="187" customFormat="1" x14ac:dyDescent="0.15"/>
    <row r="600" s="187" customFormat="1" x14ac:dyDescent="0.15"/>
    <row r="601" s="187" customFormat="1" x14ac:dyDescent="0.15"/>
    <row r="602" s="187" customFormat="1" x14ac:dyDescent="0.15"/>
    <row r="603" s="187" customFormat="1" x14ac:dyDescent="0.15"/>
    <row r="604" s="187" customFormat="1" x14ac:dyDescent="0.15"/>
    <row r="605" s="187" customFormat="1" x14ac:dyDescent="0.15"/>
    <row r="606" s="187" customFormat="1" x14ac:dyDescent="0.15"/>
    <row r="607" s="187" customFormat="1" x14ac:dyDescent="0.15"/>
    <row r="608" s="187" customFormat="1" x14ac:dyDescent="0.15"/>
    <row r="609" s="187" customFormat="1" x14ac:dyDescent="0.15"/>
    <row r="610" s="187" customFormat="1" x14ac:dyDescent="0.15"/>
    <row r="611" s="187" customFormat="1" x14ac:dyDescent="0.15"/>
    <row r="612" s="187" customFormat="1" x14ac:dyDescent="0.15"/>
    <row r="613" s="187" customFormat="1" x14ac:dyDescent="0.15"/>
    <row r="614" s="187" customFormat="1" x14ac:dyDescent="0.15"/>
    <row r="615" s="187" customFormat="1" x14ac:dyDescent="0.15"/>
    <row r="616" s="187" customFormat="1" x14ac:dyDescent="0.15"/>
    <row r="617" s="187" customFormat="1" x14ac:dyDescent="0.15"/>
    <row r="618" s="187" customFormat="1" x14ac:dyDescent="0.15"/>
    <row r="619" s="187" customFormat="1" x14ac:dyDescent="0.15"/>
    <row r="620" s="187" customFormat="1" x14ac:dyDescent="0.15"/>
    <row r="621" s="187" customFormat="1" x14ac:dyDescent="0.15"/>
    <row r="622" s="187" customFormat="1" x14ac:dyDescent="0.15"/>
  </sheetData>
  <sheetProtection algorithmName="SHA-512" hashValue="rwBBowKVf4059BCjkwdemtI4mBecwHbfT5HdE6ks2cyvWvCpQuEb4giIDIrbDtFtbXKovI41m3hnl4ErVEJ52A==" saltValue="2cIwv8JAGuA2Ni+hng5E4g==" spinCount="100000" sheet="1" objects="1" scenarios="1"/>
  <dataValidations count="2">
    <dataValidation type="whole" showInputMessage="1" showErrorMessage="1" errorTitle="Incorrect number" error="Please enter quarterly consumption between 700-4000kWh" sqref="C5" xr:uid="{AECC9CDF-B58A-F04A-8113-3DC132482982}">
      <formula1>700</formula1>
      <formula2>4000</formula2>
    </dataValidation>
    <dataValidation type="decimal" showInputMessage="1" showErrorMessage="1" errorTitle="Incorrect entry" error="Enter 1.5 or 3.0 only" sqref="C4" xr:uid="{657A7CA8-0889-424D-8AA0-5C040472C6F8}">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33FB6-AD5F-884C-87E5-7F3FB4F1E971}">
  <sheetPr codeName="Sheet21"/>
  <dimension ref="A1:OD1338"/>
  <sheetViews>
    <sheetView topLeftCell="Q1" zoomScale="130" zoomScaleNormal="130" workbookViewId="0">
      <selection activeCell="S1" sqref="S1:X1048576"/>
    </sheetView>
  </sheetViews>
  <sheetFormatPr baseColWidth="10" defaultRowHeight="14" x14ac:dyDescent="0.15"/>
  <cols>
    <col min="1" max="1" width="21.6640625" style="187" customWidth="1"/>
    <col min="2" max="2" width="27" style="187" customWidth="1"/>
    <col min="3" max="10" width="13.83203125" style="187" customWidth="1"/>
    <col min="11" max="12" width="13.83203125" style="187" hidden="1" customWidth="1"/>
    <col min="13" max="18" width="13.83203125" style="187" customWidth="1"/>
    <col min="19" max="24" width="13.83203125" style="187" hidden="1" customWidth="1"/>
    <col min="25" max="30" width="13.83203125" style="187" customWidth="1"/>
    <col min="31" max="394" width="10.83203125" style="187"/>
    <col min="395" max="16384" width="10.83203125" style="213"/>
  </cols>
  <sheetData>
    <row r="1" spans="1:48" s="187" customFormat="1" x14ac:dyDescent="0.15">
      <c r="A1" s="345" t="s">
        <v>340</v>
      </c>
      <c r="B1" s="345"/>
      <c r="C1" s="345"/>
      <c r="D1" s="345"/>
      <c r="E1" s="344"/>
      <c r="F1" s="344"/>
      <c r="G1" s="344"/>
      <c r="H1" s="344"/>
      <c r="I1" s="344"/>
      <c r="J1" s="344"/>
      <c r="K1" s="344">
        <v>3</v>
      </c>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row>
    <row r="2" spans="1:48" s="187" customFormat="1" x14ac:dyDescent="0.15">
      <c r="A2" s="346" t="s">
        <v>152</v>
      </c>
      <c r="B2" s="345"/>
      <c r="C2" s="345"/>
      <c r="D2" s="345"/>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row>
    <row r="3" spans="1:48" s="187" customFormat="1" x14ac:dyDescent="0.15">
      <c r="A3" s="346"/>
      <c r="B3" s="345"/>
      <c r="C3" s="345"/>
      <c r="D3" s="345"/>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row>
    <row r="4" spans="1:48" s="187" customFormat="1" x14ac:dyDescent="0.15">
      <c r="A4" s="331" t="s">
        <v>341</v>
      </c>
      <c r="B4" s="332"/>
      <c r="C4" s="175">
        <v>3</v>
      </c>
      <c r="D4" s="345"/>
      <c r="E4" s="329" t="s">
        <v>366</v>
      </c>
      <c r="F4" s="333">
        <f>IF(C4&lt;K1,(630),(1260))</f>
        <v>1260</v>
      </c>
      <c r="G4" s="331"/>
      <c r="H4" s="178" t="s">
        <v>367</v>
      </c>
      <c r="I4" s="179" t="s">
        <v>368</v>
      </c>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row>
    <row r="5" spans="1:48" s="187" customFormat="1" x14ac:dyDescent="0.15">
      <c r="A5" s="334" t="s">
        <v>369</v>
      </c>
      <c r="B5" s="335"/>
      <c r="C5" s="182">
        <v>1500</v>
      </c>
      <c r="D5" s="345"/>
      <c r="E5" s="329" t="s">
        <v>370</v>
      </c>
      <c r="F5" s="330">
        <f>C5-(F4-F6)</f>
        <v>892.68</v>
      </c>
      <c r="G5" s="334" t="s">
        <v>371</v>
      </c>
      <c r="H5" s="184">
        <f>F5*80/100</f>
        <v>714.14399999999989</v>
      </c>
      <c r="I5" s="185">
        <f>F5*20/100</f>
        <v>178.53599999999997</v>
      </c>
      <c r="J5" s="344"/>
      <c r="K5" s="344"/>
      <c r="L5" s="344"/>
      <c r="M5" s="344"/>
      <c r="N5" s="344"/>
      <c r="O5" s="344"/>
      <c r="P5" s="344"/>
      <c r="Q5" s="344"/>
      <c r="R5" s="344"/>
      <c r="S5" s="344"/>
      <c r="T5" s="344"/>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c r="AT5" s="344"/>
      <c r="AU5" s="344"/>
      <c r="AV5" s="344"/>
    </row>
    <row r="6" spans="1:48" s="187" customFormat="1" x14ac:dyDescent="0.15">
      <c r="A6" s="344"/>
      <c r="B6" s="344"/>
      <c r="C6" s="344"/>
      <c r="D6" s="345"/>
      <c r="E6" s="329" t="s">
        <v>372</v>
      </c>
      <c r="F6" s="330">
        <f>IF(C4&lt;K1,(F4*22.1/100),(F4*51.8/100))</f>
        <v>652.67999999999995</v>
      </c>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row>
    <row r="7" spans="1:48" s="187" customFormat="1" ht="15" thickBot="1" x14ac:dyDescent="0.2">
      <c r="A7" s="344"/>
      <c r="B7" s="344"/>
      <c r="C7" s="344"/>
      <c r="D7" s="345"/>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4"/>
      <c r="AV7" s="344"/>
    </row>
    <row r="8" spans="1:48" s="187" customFormat="1" x14ac:dyDescent="0.15">
      <c r="A8" s="336" t="s">
        <v>356</v>
      </c>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268"/>
      <c r="AE8" s="344"/>
      <c r="AF8" s="344"/>
      <c r="AG8" s="344"/>
      <c r="AH8" s="344"/>
      <c r="AI8" s="344"/>
      <c r="AJ8" s="344"/>
      <c r="AK8" s="344"/>
      <c r="AL8" s="344"/>
      <c r="AM8" s="344"/>
      <c r="AN8" s="344"/>
      <c r="AO8" s="344"/>
      <c r="AP8" s="344"/>
      <c r="AQ8" s="344"/>
      <c r="AR8" s="344"/>
      <c r="AS8" s="344"/>
      <c r="AT8" s="344"/>
      <c r="AU8" s="344"/>
      <c r="AV8" s="344"/>
    </row>
    <row r="9" spans="1:48" s="187" customFormat="1" ht="90" x14ac:dyDescent="0.15">
      <c r="A9" s="271" t="s">
        <v>231</v>
      </c>
      <c r="B9" s="272" t="s">
        <v>243</v>
      </c>
      <c r="C9" s="279" t="s">
        <v>244</v>
      </c>
      <c r="D9" s="279" t="s">
        <v>227</v>
      </c>
      <c r="E9" s="279" t="s">
        <v>357</v>
      </c>
      <c r="F9" s="279" t="s">
        <v>358</v>
      </c>
      <c r="G9" s="279" t="s">
        <v>321</v>
      </c>
      <c r="H9" s="279" t="s">
        <v>328</v>
      </c>
      <c r="I9" s="279" t="s">
        <v>329</v>
      </c>
      <c r="J9" s="273" t="s">
        <v>799</v>
      </c>
      <c r="K9" s="280" t="s">
        <v>246</v>
      </c>
      <c r="L9" s="280" t="s">
        <v>247</v>
      </c>
      <c r="M9" s="274" t="s">
        <v>636</v>
      </c>
      <c r="N9" s="275" t="s">
        <v>249</v>
      </c>
      <c r="O9" s="275" t="s">
        <v>250</v>
      </c>
      <c r="P9" s="275" t="s">
        <v>251</v>
      </c>
      <c r="Q9" s="275" t="s">
        <v>365</v>
      </c>
      <c r="R9" s="276" t="s">
        <v>373</v>
      </c>
      <c r="S9" s="281" t="s">
        <v>637</v>
      </c>
      <c r="T9" s="281" t="s">
        <v>638</v>
      </c>
      <c r="U9" s="282" t="s">
        <v>255</v>
      </c>
      <c r="V9" s="282" t="s">
        <v>224</v>
      </c>
      <c r="W9" s="282" t="s">
        <v>374</v>
      </c>
      <c r="X9" s="282" t="s">
        <v>375</v>
      </c>
      <c r="Y9" s="276" t="s">
        <v>376</v>
      </c>
      <c r="Z9" s="276" t="s">
        <v>436</v>
      </c>
      <c r="AA9" s="275" t="s">
        <v>155</v>
      </c>
      <c r="AB9" s="275" t="s">
        <v>225</v>
      </c>
      <c r="AC9" s="275" t="s">
        <v>226</v>
      </c>
      <c r="AD9" s="277" t="s">
        <v>221</v>
      </c>
      <c r="AE9" s="344"/>
      <c r="AF9" s="344"/>
      <c r="AG9" s="344"/>
      <c r="AH9" s="344"/>
      <c r="AI9" s="344"/>
      <c r="AJ9" s="344"/>
      <c r="AK9" s="344"/>
      <c r="AL9" s="344"/>
      <c r="AM9" s="344"/>
      <c r="AN9" s="344"/>
      <c r="AO9" s="344"/>
      <c r="AP9" s="344"/>
      <c r="AQ9" s="344"/>
      <c r="AR9" s="344"/>
      <c r="AS9" s="344"/>
      <c r="AT9" s="344"/>
      <c r="AU9" s="344"/>
      <c r="AV9" s="344"/>
    </row>
    <row r="10" spans="1:48" s="187" customFormat="1" x14ac:dyDescent="0.15">
      <c r="A10" s="186" t="str">
        <f>'Tariff Jul 2022'!K2</f>
        <v>AGL</v>
      </c>
      <c r="B10" s="187" t="str">
        <f>'Tariff Jul 2022'!L2</f>
        <v>Solar Savers</v>
      </c>
      <c r="C10" s="188">
        <f>IF('Tariff Jul 2022'!BP2=0,91*'Tariff Jul 2022'!M2/100,(91*'Tariff Jul 2022'!M2/100)+'Tariff Jul 2022'!BP2/4)</f>
        <v>85.705454545454543</v>
      </c>
      <c r="D10" s="188">
        <f>IF('Tariff Jul 2022'!O2="",$F$5*'Tariff Jul 2022'!N2/100,IF($F$5&gt;='Tariff Jul 2022'!P2,('Tariff Jul 2022'!P2*'Tariff Jul 2022'!N2/100),($F$5*'Tariff Jul 2022'!N2/100)))</f>
        <v>296.53206545454537</v>
      </c>
      <c r="E10" s="188">
        <f>IF(AND('Tariff Jul 2022'!P2&gt;0,'Tariff Jul 2022'!R2&gt;0),IF($F$5&lt;'Tariff Jul 2022'!P2,0,IF($F$5&lt;=('Tariff Jul 2022'!R2+'Tariff Jul 2022'!P2),(($F$5-'Tariff Jul 2022'!P2)*'Tariff Jul 2022'!Q2/100),(('Tariff Jul 2022'!R2)*'Tariff Jul 2022'!Q2/100))),0)</f>
        <v>0</v>
      </c>
      <c r="F10" s="189">
        <f>IF(AND('Tariff Jul 2022'!Q2&gt;0,'Tariff Jul 2022'!S2&gt;0),IF($F$5&lt;('Tariff Jul 2022'!R2+'Tariff Jul 2022'!P2),0,IF($F$5&lt;=('Tariff Jul 2022'!T2+'Tariff Jul 2022'!R2+'Tariff Jul 2022'!P2),(($F$5-('Tariff Jul 2022'!R2+'Tariff Jul 2022'!P2))*'Tariff Jul 2022'!S2/100),('Tariff Jul 2022'!T2*'Tariff Jul 2022'!S2/100))),0)</f>
        <v>0</v>
      </c>
      <c r="G10" s="188">
        <v>0</v>
      </c>
      <c r="H10" s="188">
        <v>0</v>
      </c>
      <c r="I10" s="189">
        <f>IF('Tariff Jul 2022'!T2&gt;0,IF(($F$5&lt;'Tariff Jul 2022'!T2),(0),($F$5-'Tariff Jul 2022'!T2)*'Tariff Jul 2022'!U2/100),IF(AND('Tariff Jul 2022'!R2&gt;0,'Tariff Jul 2022'!T2=""),IF(($F$5&lt;'Tariff Jul 2022'!R2),(0),($F$5-'Tariff Jul 2022'!R2)*'Tariff Jul 2022'!S2/100),IF(AND('Tariff Jul 2022'!P2&gt;0,'Tariff Jul 2022'!R2=""),IF(($F$5&lt;'Tariff Jul 2022'!P2),(0),($F$5-'Tariff Jul 2022'!P2)*'Tariff Jul 2022'!Q2/100),0)))</f>
        <v>0</v>
      </c>
      <c r="J10" s="188">
        <f>SUM(C10:I10)</f>
        <v>382.2375199999999</v>
      </c>
      <c r="K10" s="283">
        <f>(J10-C10)*4</f>
        <v>1186.1282618181815</v>
      </c>
      <c r="L10" s="283">
        <f>J10*4</f>
        <v>1528.9500799999996</v>
      </c>
      <c r="M10" s="191">
        <f>L10*1.1</f>
        <v>1681.8450879999998</v>
      </c>
      <c r="N10" s="187">
        <f>'Tariff Jul 2022'!AZ2</f>
        <v>0</v>
      </c>
      <c r="O10" s="187">
        <f>'Tariff Jul 2022'!BA2</f>
        <v>0</v>
      </c>
      <c r="P10" s="187">
        <f>'Tariff Jul 2022'!BB2</f>
        <v>0</v>
      </c>
      <c r="Q10" s="187">
        <f>'Tariff Jul 2022'!BC2</f>
        <v>0</v>
      </c>
      <c r="R10" s="192">
        <f>($F$6*'Tariff Jul 2022'!AT2/100)*4</f>
        <v>261.07199999999995</v>
      </c>
      <c r="S10" s="193" t="str">
        <f t="shared" ref="S10:S24" si="0">IF(SUM(N10:Q10)=0,"No discount",IF(N10&gt;0,"Guaranteed off bill",IF(O10&gt;0,"Guaranteed off usage",IF(P10&gt;0,"Pay-on-time off bill","Pay-on-time off usage"))))</f>
        <v>No discount</v>
      </c>
      <c r="T10" s="193" t="str">
        <f t="shared" ref="T10:T24" si="1">IF(OR(A10="Origin Energy",A10="Red Energy",A10="Powershop"),"Inclusive","Exclusive")</f>
        <v>Exclusive</v>
      </c>
      <c r="U10" s="304">
        <f t="shared" ref="U10:U24" si="2">IF(AND(S10="Guaranteed off bill",T10="Inclusive"),((L10*1.1)-((L10*1.1)*N10/100))/1.1,IF(AND(S10="Guaranteed off usage",T10="Inclusive"),((L10*1.1)-((K10*1.1)*O10/100))/1.1,IF(AND(S10="Guaranteed off bill",T10="Exclusive"),L10-(L10*N10/100),IF(AND(S10="Guaranteed off usage",T10="Exclusive"),L10-(K10*O10/100),IF(T10="Inclusive",((L10*1.1))/1.1,L10)))))</f>
        <v>1528.9500799999996</v>
      </c>
      <c r="V10" s="283">
        <f t="shared" ref="V10:V24" si="3">IF(AND(S10="Pay-on-time off bill",T10="Inclusive"),((U10*1.1)-((U10*1.1)*P10/100))/1.1,IF(AND(S10="Pay-on-time off usage",T10="Inclusive"),((U10*1.1)-((K10*1.1)*Q10/100))/1.1,IF(AND(S10="Pay-on-time off bill",T10="Exclusive"),U10-(U10*P10/100),IF(AND(S10="Pay-on-time off usage",T10="Exclusive"),U10-(K10*Q10/100),IF(T10="Inclusive",((U10*1.1))/1.1,U10)))))</f>
        <v>1528.9500799999996</v>
      </c>
      <c r="W10" s="283">
        <f t="shared" ref="W10:W24" si="4">U10-R10</f>
        <v>1267.8780799999997</v>
      </c>
      <c r="X10" s="283">
        <f t="shared" ref="X10:X24" si="5">V10-R10</f>
        <v>1267.8780799999997</v>
      </c>
      <c r="Y10" s="285">
        <f t="shared" ref="Y10:Z24" si="6">W10*1.1</f>
        <v>1394.6658879999998</v>
      </c>
      <c r="Z10" s="285">
        <f t="shared" si="6"/>
        <v>1394.6658879999998</v>
      </c>
      <c r="AA10" s="194">
        <f>'Tariff Jul 2022'!AT2</f>
        <v>10</v>
      </c>
      <c r="AB10" s="195">
        <f>'Tariff Jul 2022'!BL2</f>
        <v>0</v>
      </c>
      <c r="AC10" s="195" t="str">
        <f>'Tariff Jul 2022'!BM2</f>
        <v>n</v>
      </c>
      <c r="AD10" s="196">
        <f>'Tariff Jul 2022'!G2</f>
        <v>43284</v>
      </c>
      <c r="AE10" s="344"/>
      <c r="AF10" s="344"/>
      <c r="AG10" s="344"/>
      <c r="AH10" s="344"/>
      <c r="AI10" s="344"/>
      <c r="AJ10" s="344"/>
      <c r="AK10" s="344"/>
      <c r="AL10" s="344"/>
      <c r="AM10" s="344"/>
      <c r="AN10" s="344"/>
      <c r="AO10" s="344"/>
      <c r="AP10" s="344"/>
      <c r="AQ10" s="344"/>
      <c r="AR10" s="344"/>
      <c r="AS10" s="344"/>
      <c r="AT10" s="344"/>
      <c r="AU10" s="344"/>
      <c r="AV10" s="344"/>
    </row>
    <row r="11" spans="1:48" s="187" customFormat="1" x14ac:dyDescent="0.15">
      <c r="A11" s="186" t="str">
        <f>'Tariff Jul 2022'!K3</f>
        <v>Alinta Energy</v>
      </c>
      <c r="B11" s="187" t="str">
        <f>'Tariff Jul 2022'!L3</f>
        <v>Home Deal</v>
      </c>
      <c r="C11" s="188">
        <f>IF('Tariff Jul 2022'!BP3=0,91*'Tariff Jul 2022'!M3/100,(91*'Tariff Jul 2022'!M3/100)+'Tariff Jul 2022'!BP3/4)</f>
        <v>82.528727272727266</v>
      </c>
      <c r="D11" s="188">
        <f>IF('Tariff Jul 2022'!O3="",$F$5*'Tariff Jul 2022'!N3/100,IF($F$5&gt;='Tariff Jul 2022'!P3,('Tariff Jul 2022'!P3*'Tariff Jul 2022'!N3/100),($F$5*'Tariff Jul 2022'!N3/100)))</f>
        <v>291.66290181818175</v>
      </c>
      <c r="E11" s="188">
        <f>IF(AND('Tariff Jul 2022'!P3&gt;0,'Tariff Jul 2022'!R3&gt;0),IF($F$5&lt;'Tariff Jul 2022'!P3,0,IF($F$5&lt;=('Tariff Jul 2022'!R3+'Tariff Jul 2022'!P3),(($F$5-'Tariff Jul 2022'!P3)*'Tariff Jul 2022'!Q3/100),(('Tariff Jul 2022'!R3)*'Tariff Jul 2022'!Q3/100))),0)</f>
        <v>0</v>
      </c>
      <c r="F11" s="189">
        <f>IF(AND('Tariff Jul 2022'!Q3&gt;0,'Tariff Jul 2022'!S3&gt;0),IF($F$5&lt;('Tariff Jul 2022'!R3+'Tariff Jul 2022'!P3),0,IF($F$5&lt;=('Tariff Jul 2022'!T3+'Tariff Jul 2022'!R3+'Tariff Jul 2022'!P3),(($F$5-('Tariff Jul 2022'!R3+'Tariff Jul 2022'!P3))*'Tariff Jul 2022'!S3/100),('Tariff Jul 2022'!T3*'Tariff Jul 2022'!S3/100))),0)</f>
        <v>0</v>
      </c>
      <c r="G11" s="188">
        <v>0</v>
      </c>
      <c r="H11" s="188">
        <v>0</v>
      </c>
      <c r="I11" s="189">
        <f>IF('Tariff Jul 2022'!T3&gt;0,IF(($F$5&lt;'Tariff Jul 2022'!T3),(0),($F$5-'Tariff Jul 2022'!T3)*'Tariff Jul 2022'!U3/100),IF(AND('Tariff Jul 2022'!R3&gt;0,'Tariff Jul 2022'!T3=""),IF(($F$5&lt;'Tariff Jul 2022'!R3),(0),($F$5-'Tariff Jul 2022'!R3)*'Tariff Jul 2022'!S3/100),IF(AND('Tariff Jul 2022'!P3&gt;0,'Tariff Jul 2022'!R3=""),IF(($F$5&lt;'Tariff Jul 2022'!P3),(0),($F$5-'Tariff Jul 2022'!P3)*'Tariff Jul 2022'!Q3/100),0)))</f>
        <v>0</v>
      </c>
      <c r="J11" s="188">
        <f t="shared" ref="J11:J24" si="7">SUM(C11:I11)</f>
        <v>374.19162909090903</v>
      </c>
      <c r="K11" s="283">
        <f>(J11-C11)*4</f>
        <v>1166.651607272727</v>
      </c>
      <c r="L11" s="283">
        <f t="shared" ref="L11:L24" si="8">J11*4</f>
        <v>1496.7665163636361</v>
      </c>
      <c r="M11" s="191">
        <f t="shared" ref="M11:M24" si="9">L11*1.1</f>
        <v>1646.4431679999998</v>
      </c>
      <c r="N11" s="187">
        <f>'Tariff Jul 2022'!AZ3</f>
        <v>0</v>
      </c>
      <c r="O11" s="187">
        <f>'Tariff Jul 2022'!BA3</f>
        <v>0</v>
      </c>
      <c r="P11" s="187">
        <f>'Tariff Jul 2022'!BB3</f>
        <v>0</v>
      </c>
      <c r="Q11" s="187">
        <f>'Tariff Jul 2022'!BC3</f>
        <v>0</v>
      </c>
      <c r="R11" s="192">
        <f>($F$6*'Tariff Jul 2022'!AT3/100)*4</f>
        <v>208.85759999999999</v>
      </c>
      <c r="S11" s="193" t="str">
        <f t="shared" si="0"/>
        <v>No discount</v>
      </c>
      <c r="T11" s="193" t="str">
        <f t="shared" si="1"/>
        <v>Exclusive</v>
      </c>
      <c r="U11" s="304">
        <f t="shared" si="2"/>
        <v>1496.7665163636361</v>
      </c>
      <c r="V11" s="283">
        <f t="shared" si="3"/>
        <v>1496.7665163636361</v>
      </c>
      <c r="W11" s="283">
        <f t="shared" si="4"/>
        <v>1287.9089163636361</v>
      </c>
      <c r="X11" s="283">
        <f t="shared" si="5"/>
        <v>1287.9089163636361</v>
      </c>
      <c r="Y11" s="285">
        <f t="shared" si="6"/>
        <v>1416.6998079999998</v>
      </c>
      <c r="Z11" s="285">
        <f t="shared" si="6"/>
        <v>1416.6998079999998</v>
      </c>
      <c r="AA11" s="194">
        <f>'Tariff Jul 2022'!AT3</f>
        <v>8</v>
      </c>
      <c r="AB11" s="195">
        <f>'Tariff Jul 2022'!BL3</f>
        <v>0</v>
      </c>
      <c r="AC11" s="195" t="str">
        <f>'Tariff Jul 2022'!BM3</f>
        <v>n</v>
      </c>
      <c r="AD11" s="196">
        <f>'Tariff Jul 2022'!G3</f>
        <v>43299</v>
      </c>
      <c r="AE11" s="344"/>
      <c r="AF11" s="344"/>
      <c r="AG11" s="344"/>
      <c r="AH11" s="344"/>
      <c r="AI11" s="344"/>
      <c r="AJ11" s="344"/>
      <c r="AK11" s="344"/>
      <c r="AL11" s="344"/>
      <c r="AM11" s="344"/>
      <c r="AN11" s="344"/>
      <c r="AO11" s="344"/>
      <c r="AP11" s="344"/>
      <c r="AQ11" s="344"/>
      <c r="AR11" s="344"/>
      <c r="AS11" s="344"/>
      <c r="AT11" s="344"/>
      <c r="AU11" s="344"/>
      <c r="AV11" s="344"/>
    </row>
    <row r="12" spans="1:48" s="187" customFormat="1" x14ac:dyDescent="0.15">
      <c r="A12" s="186" t="str">
        <f>'Tariff Jul 2022'!K4</f>
        <v>Diamond Energy</v>
      </c>
      <c r="B12" s="187" t="str">
        <f>'Tariff Jul 2022'!L4</f>
        <v>Renewable Saver</v>
      </c>
      <c r="C12" s="188">
        <f>IF('Tariff Jul 2022'!BP4=0,91*'Tariff Jul 2022'!M4/100,(91*'Tariff Jul 2022'!M4/100)+'Tariff Jul 2022'!BP4/4)</f>
        <v>72.8</v>
      </c>
      <c r="D12" s="188">
        <f>IF('Tariff Jul 2022'!O4="",$F$5*'Tariff Jul 2022'!N4/100,IF($F$5&gt;='Tariff Jul 2022'!P4,('Tariff Jul 2022'!P4*'Tariff Jul 2022'!N4/100),($F$5*'Tariff Jul 2022'!N4/100)))</f>
        <v>98.999999999999986</v>
      </c>
      <c r="E12" s="188">
        <f>IF(AND('Tariff Jul 2022'!P4&gt;0,'Tariff Jul 2022'!R4&gt;0),IF($F$5&lt;'Tariff Jul 2022'!P4,0,IF($F$5&lt;=('Tariff Jul 2022'!R4+'Tariff Jul 2022'!P4),(($F$5-'Tariff Jul 2022'!P4)*'Tariff Jul 2022'!Q4/100),(('Tariff Jul 2022'!R4)*'Tariff Jul 2022'!Q4/100))),0)</f>
        <v>208.35396</v>
      </c>
      <c r="F12" s="189">
        <f>IF(AND('Tariff Jul 2022'!Q4&gt;0,'Tariff Jul 2022'!S4&gt;0),IF($F$5&lt;('Tariff Jul 2022'!R4+'Tariff Jul 2022'!P4),0,IF($F$5&lt;=('Tariff Jul 2022'!T4+'Tariff Jul 2022'!R4+'Tariff Jul 2022'!P4),(($F$5-('Tariff Jul 2022'!R4+'Tariff Jul 2022'!P4))*'Tariff Jul 2022'!S4/100),('Tariff Jul 2022'!T4*'Tariff Jul 2022'!S4/100))),0)</f>
        <v>0</v>
      </c>
      <c r="G12" s="188">
        <v>0</v>
      </c>
      <c r="H12" s="188">
        <v>0</v>
      </c>
      <c r="I12" s="189">
        <f>IF('Tariff Jul 2022'!T4&gt;0,IF(($F$5&lt;'Tariff Jul 2022'!T4),(0),($F$5-'Tariff Jul 2022'!T4)*'Tariff Jul 2022'!U4/100),IF(AND('Tariff Jul 2022'!R4&gt;0,'Tariff Jul 2022'!T4=""),IF(($F$5&lt;'Tariff Jul 2022'!R4),(0),($F$5-'Tariff Jul 2022'!R4)*'Tariff Jul 2022'!S4/100),IF(AND('Tariff Jul 2022'!P4&gt;0,'Tariff Jul 2022'!R4=""),IF(($F$5&lt;'Tariff Jul 2022'!P4),(0),($F$5-'Tariff Jul 2022'!P4)*'Tariff Jul 2022'!Q4/100),0)))</f>
        <v>0</v>
      </c>
      <c r="J12" s="188">
        <f t="shared" si="7"/>
        <v>380.15395999999998</v>
      </c>
      <c r="K12" s="283">
        <f t="shared" ref="K12:K24" si="10">(J12-C12)*4</f>
        <v>1229.4158399999999</v>
      </c>
      <c r="L12" s="283">
        <f t="shared" si="8"/>
        <v>1520.6158399999999</v>
      </c>
      <c r="M12" s="191">
        <f t="shared" si="9"/>
        <v>1672.677424</v>
      </c>
      <c r="N12" s="187">
        <f>'Tariff Jul 2022'!AZ4</f>
        <v>0</v>
      </c>
      <c r="O12" s="187">
        <f>'Tariff Jul 2022'!BA4</f>
        <v>0</v>
      </c>
      <c r="P12" s="187">
        <f>'Tariff Jul 2022'!BB4</f>
        <v>2</v>
      </c>
      <c r="Q12" s="187">
        <f>'Tariff Jul 2022'!BC4</f>
        <v>0</v>
      </c>
      <c r="R12" s="192">
        <f>($F$6*'Tariff Jul 2022'!AT4/100)*4</f>
        <v>135.75743999999997</v>
      </c>
      <c r="S12" s="193" t="str">
        <f t="shared" si="0"/>
        <v>Pay-on-time off bill</v>
      </c>
      <c r="T12" s="193" t="str">
        <f t="shared" si="1"/>
        <v>Exclusive</v>
      </c>
      <c r="U12" s="304">
        <f t="shared" si="2"/>
        <v>1520.6158399999999</v>
      </c>
      <c r="V12" s="283">
        <f t="shared" si="3"/>
        <v>1490.2035231999998</v>
      </c>
      <c r="W12" s="283">
        <f t="shared" si="4"/>
        <v>1384.8584000000001</v>
      </c>
      <c r="X12" s="283">
        <f t="shared" si="5"/>
        <v>1354.4460832</v>
      </c>
      <c r="Y12" s="285">
        <f t="shared" si="6"/>
        <v>1523.3442400000001</v>
      </c>
      <c r="Z12" s="285">
        <f t="shared" si="6"/>
        <v>1489.89069152</v>
      </c>
      <c r="AA12" s="194">
        <f>'Tariff Jul 2022'!AT4</f>
        <v>5.2</v>
      </c>
      <c r="AB12" s="195">
        <f>'Tariff Jul 2022'!BL4</f>
        <v>0</v>
      </c>
      <c r="AC12" s="195" t="str">
        <f>'Tariff Jul 2022'!BM4</f>
        <v>n</v>
      </c>
      <c r="AD12" s="196">
        <f>'Tariff Jul 2022'!G4</f>
        <v>43281</v>
      </c>
      <c r="AE12" s="344"/>
      <c r="AF12" s="344"/>
      <c r="AG12" s="344"/>
      <c r="AH12" s="344"/>
      <c r="AI12" s="344"/>
      <c r="AJ12" s="344"/>
      <c r="AK12" s="344"/>
      <c r="AL12" s="344"/>
      <c r="AM12" s="344"/>
      <c r="AN12" s="344"/>
      <c r="AO12" s="344"/>
      <c r="AP12" s="344"/>
      <c r="AQ12" s="344"/>
      <c r="AR12" s="344"/>
      <c r="AS12" s="344"/>
      <c r="AT12" s="344"/>
      <c r="AU12" s="344"/>
      <c r="AV12" s="344"/>
    </row>
    <row r="13" spans="1:48" s="187" customFormat="1" x14ac:dyDescent="0.15">
      <c r="A13" s="186" t="str">
        <f>'Tariff Jul 2022'!K5</f>
        <v>EnergyAustralia</v>
      </c>
      <c r="B13" s="187" t="str">
        <f>'Tariff Jul 2022'!L5</f>
        <v>Solar Max</v>
      </c>
      <c r="C13" s="188">
        <f>IF('Tariff Jul 2022'!BP5=0,91*'Tariff Jul 2022'!M5/100,(91*'Tariff Jul 2022'!M5/100)+'Tariff Jul 2022'!BP5/4)</f>
        <v>76.894999999999996</v>
      </c>
      <c r="D13" s="188">
        <f>IF('Tariff Jul 2022'!O5="",$F$5*'Tariff Jul 2022'!N5/100,IF($F$5&gt;='Tariff Jul 2022'!P5,('Tariff Jul 2022'!P5*'Tariff Jul 2022'!N5/100),($F$5*'Tariff Jul 2022'!N5/100)))</f>
        <v>304.48503272727271</v>
      </c>
      <c r="E13" s="188">
        <f>IF(AND('Tariff Jul 2022'!P5&gt;0,'Tariff Jul 2022'!R5&gt;0),IF($F$5&lt;'Tariff Jul 2022'!P5,0,IF($F$5&lt;=('Tariff Jul 2022'!R5+'Tariff Jul 2022'!P5),(($F$5-'Tariff Jul 2022'!P5)*'Tariff Jul 2022'!Q5/100),(('Tariff Jul 2022'!R5)*'Tariff Jul 2022'!Q5/100))),0)</f>
        <v>0</v>
      </c>
      <c r="F13" s="189">
        <f>IF(AND('Tariff Jul 2022'!Q5&gt;0,'Tariff Jul 2022'!S5&gt;0),IF($F$5&lt;('Tariff Jul 2022'!R5+'Tariff Jul 2022'!P5),0,IF($F$5&lt;=('Tariff Jul 2022'!T5+'Tariff Jul 2022'!R5+'Tariff Jul 2022'!P5),(($F$5-('Tariff Jul 2022'!R5+'Tariff Jul 2022'!P5))*'Tariff Jul 2022'!S5/100),('Tariff Jul 2022'!T5*'Tariff Jul 2022'!S5/100))),0)</f>
        <v>0</v>
      </c>
      <c r="G13" s="188">
        <v>0</v>
      </c>
      <c r="H13" s="188">
        <v>0</v>
      </c>
      <c r="I13" s="189">
        <f>IF('Tariff Jul 2022'!T5&gt;0,IF(($F$5&lt;'Tariff Jul 2022'!T5),(0),($F$5-'Tariff Jul 2022'!T5)*'Tariff Jul 2022'!U5/100),IF(AND('Tariff Jul 2022'!R5&gt;0,'Tariff Jul 2022'!T5=""),IF(($F$5&lt;'Tariff Jul 2022'!R5),(0),($F$5-'Tariff Jul 2022'!R5)*'Tariff Jul 2022'!S5/100),IF(AND('Tariff Jul 2022'!P5&gt;0,'Tariff Jul 2022'!R5=""),IF(($F$5&lt;'Tariff Jul 2022'!P5),(0),($F$5-'Tariff Jul 2022'!P5)*'Tariff Jul 2022'!Q5/100),0)))</f>
        <v>0</v>
      </c>
      <c r="J13" s="188">
        <f t="shared" si="7"/>
        <v>381.38003272727269</v>
      </c>
      <c r="K13" s="283">
        <f t="shared" si="10"/>
        <v>1217.9401309090908</v>
      </c>
      <c r="L13" s="283">
        <f t="shared" si="8"/>
        <v>1525.5201309090908</v>
      </c>
      <c r="M13" s="191">
        <f t="shared" si="9"/>
        <v>1678.072144</v>
      </c>
      <c r="N13" s="187">
        <f>'Tariff Jul 2022'!AZ5</f>
        <v>0</v>
      </c>
      <c r="O13" s="187">
        <f>'Tariff Jul 2022'!BA5</f>
        <v>0</v>
      </c>
      <c r="P13" s="187">
        <f>'Tariff Jul 2022'!BB5</f>
        <v>0</v>
      </c>
      <c r="Q13" s="187">
        <f>'Tariff Jul 2022'!BC5</f>
        <v>0</v>
      </c>
      <c r="R13" s="192">
        <f>($F$6*'Tariff Jul 2022'!AT5/100)*4</f>
        <v>261.07199999999995</v>
      </c>
      <c r="S13" s="193" t="str">
        <f t="shared" si="0"/>
        <v>No discount</v>
      </c>
      <c r="T13" s="193" t="str">
        <f t="shared" si="1"/>
        <v>Exclusive</v>
      </c>
      <c r="U13" s="304">
        <f t="shared" si="2"/>
        <v>1525.5201309090908</v>
      </c>
      <c r="V13" s="283">
        <f t="shared" si="3"/>
        <v>1525.5201309090908</v>
      </c>
      <c r="W13" s="283">
        <f t="shared" si="4"/>
        <v>1264.4481309090909</v>
      </c>
      <c r="X13" s="283">
        <f t="shared" si="5"/>
        <v>1264.4481309090909</v>
      </c>
      <c r="Y13" s="285">
        <f t="shared" si="6"/>
        <v>1390.8929440000002</v>
      </c>
      <c r="Z13" s="285">
        <f t="shared" si="6"/>
        <v>1390.8929440000002</v>
      </c>
      <c r="AA13" s="194">
        <f>'Tariff Jul 2022'!AT5</f>
        <v>10</v>
      </c>
      <c r="AB13" s="195">
        <f>'Tariff Jul 2022'!BL5</f>
        <v>0</v>
      </c>
      <c r="AC13" s="195" t="str">
        <f>'Tariff Jul 2022'!BM5</f>
        <v>n</v>
      </c>
      <c r="AD13" s="196">
        <f>'Tariff Jul 2022'!G5</f>
        <v>43251</v>
      </c>
      <c r="AE13" s="344"/>
      <c r="AF13" s="344"/>
      <c r="AG13" s="344"/>
      <c r="AH13" s="344"/>
      <c r="AI13" s="344"/>
      <c r="AJ13" s="344"/>
      <c r="AK13" s="344"/>
      <c r="AL13" s="344"/>
      <c r="AM13" s="344"/>
      <c r="AN13" s="344"/>
      <c r="AO13" s="344"/>
      <c r="AP13" s="344"/>
      <c r="AQ13" s="344"/>
      <c r="AR13" s="344"/>
      <c r="AS13" s="344"/>
      <c r="AT13" s="344"/>
      <c r="AU13" s="344"/>
      <c r="AV13" s="344"/>
    </row>
    <row r="14" spans="1:48" s="187" customFormat="1" x14ac:dyDescent="0.15">
      <c r="A14" s="186" t="str">
        <f>'Tariff Jul 2022'!K6</f>
        <v>Lumo Energy</v>
      </c>
      <c r="B14" s="187" t="str">
        <f>'Tariff Jul 2022'!L6</f>
        <v>Plus</v>
      </c>
      <c r="C14" s="188">
        <f>IF('Tariff Jul 2022'!BP6=0,91*'Tariff Jul 2022'!M6/100,(91*'Tariff Jul 2022'!M6/100)+'Tariff Jul 2022'!BP6/4)</f>
        <v>76.580636363636344</v>
      </c>
      <c r="D14" s="188">
        <f>IF('Tariff Jul 2022'!O6="",$F$5*'Tariff Jul 2022'!N6/100,IF($F$5&gt;='Tariff Jul 2022'!P6,('Tariff Jul 2022'!P6*'Tariff Jul 2022'!N6/100),($F$5*'Tariff Jul 2022'!N6/100)))</f>
        <v>294.42209454545451</v>
      </c>
      <c r="E14" s="188">
        <f>IF(AND('Tariff Jul 2022'!P6&gt;0,'Tariff Jul 2022'!R6&gt;0),IF($F$5&lt;'Tariff Jul 2022'!P6,0,IF($F$5&lt;=('Tariff Jul 2022'!R6+'Tariff Jul 2022'!P6),(($F$5-'Tariff Jul 2022'!P6)*'Tariff Jul 2022'!Q6/100),(('Tariff Jul 2022'!R6)*'Tariff Jul 2022'!Q6/100))),0)</f>
        <v>0</v>
      </c>
      <c r="F14" s="189">
        <f>IF(AND('Tariff Jul 2022'!Q6&gt;0,'Tariff Jul 2022'!S6&gt;0),IF($F$5&lt;('Tariff Jul 2022'!R6+'Tariff Jul 2022'!P6),0,IF($F$5&lt;=('Tariff Jul 2022'!T6+'Tariff Jul 2022'!R6+'Tariff Jul 2022'!P6),(($F$5-('Tariff Jul 2022'!R6+'Tariff Jul 2022'!P6))*'Tariff Jul 2022'!S6/100),('Tariff Jul 2022'!T6*'Tariff Jul 2022'!S6/100))),0)</f>
        <v>0</v>
      </c>
      <c r="G14" s="188">
        <v>0</v>
      </c>
      <c r="H14" s="188">
        <v>0</v>
      </c>
      <c r="I14" s="189">
        <f>IF('Tariff Jul 2022'!T6&gt;0,IF(($F$5&lt;'Tariff Jul 2022'!T6),(0),($F$5-'Tariff Jul 2022'!T6)*'Tariff Jul 2022'!U6/100),IF(AND('Tariff Jul 2022'!R6&gt;0,'Tariff Jul 2022'!T6=""),IF(($F$5&lt;'Tariff Jul 2022'!R6),(0),($F$5-'Tariff Jul 2022'!R6)*'Tariff Jul 2022'!S6/100),IF(AND('Tariff Jul 2022'!P6&gt;0,'Tariff Jul 2022'!R6=""),IF(($F$5&lt;'Tariff Jul 2022'!P6),(0),($F$5-'Tariff Jul 2022'!P6)*'Tariff Jul 2022'!Q6/100),0)))</f>
        <v>0</v>
      </c>
      <c r="J14" s="188">
        <f t="shared" si="7"/>
        <v>371.00273090909087</v>
      </c>
      <c r="K14" s="283">
        <f t="shared" si="10"/>
        <v>1177.6883781818181</v>
      </c>
      <c r="L14" s="283">
        <f t="shared" si="8"/>
        <v>1484.0109236363635</v>
      </c>
      <c r="M14" s="191">
        <f t="shared" si="9"/>
        <v>1632.412016</v>
      </c>
      <c r="N14" s="187">
        <f>'Tariff Jul 2022'!AZ6</f>
        <v>0</v>
      </c>
      <c r="O14" s="187">
        <f>'Tariff Jul 2022'!BA6</f>
        <v>0</v>
      </c>
      <c r="P14" s="187">
        <f>'Tariff Jul 2022'!BB6</f>
        <v>0</v>
      </c>
      <c r="Q14" s="187">
        <f>'Tariff Jul 2022'!BC6</f>
        <v>0</v>
      </c>
      <c r="R14" s="192">
        <f>($F$6*'Tariff Jul 2022'!AT6/100)*4</f>
        <v>78.321600000000004</v>
      </c>
      <c r="S14" s="193" t="str">
        <f t="shared" si="0"/>
        <v>No discount</v>
      </c>
      <c r="T14" s="193" t="str">
        <f t="shared" si="1"/>
        <v>Exclusive</v>
      </c>
      <c r="U14" s="304">
        <f t="shared" si="2"/>
        <v>1484.0109236363635</v>
      </c>
      <c r="V14" s="283">
        <f t="shared" si="3"/>
        <v>1484.0109236363635</v>
      </c>
      <c r="W14" s="283">
        <f t="shared" si="4"/>
        <v>1405.6893236363635</v>
      </c>
      <c r="X14" s="283">
        <f t="shared" si="5"/>
        <v>1405.6893236363635</v>
      </c>
      <c r="Y14" s="285">
        <f t="shared" si="6"/>
        <v>1546.2582560000001</v>
      </c>
      <c r="Z14" s="285">
        <f t="shared" si="6"/>
        <v>1546.2582560000001</v>
      </c>
      <c r="AA14" s="194">
        <f>'Tariff Jul 2022'!AT6</f>
        <v>3</v>
      </c>
      <c r="AB14" s="195">
        <f>'Tariff Jul 2022'!BL6</f>
        <v>0</v>
      </c>
      <c r="AC14" s="195" t="str">
        <f>'Tariff Jul 2022'!BM6</f>
        <v>n</v>
      </c>
      <c r="AD14" s="196">
        <f>'Tariff Jul 2022'!G6</f>
        <v>43302</v>
      </c>
      <c r="AE14" s="344"/>
      <c r="AF14" s="344"/>
      <c r="AG14" s="344"/>
      <c r="AH14" s="344"/>
      <c r="AI14" s="344"/>
      <c r="AJ14" s="344"/>
      <c r="AK14" s="344"/>
      <c r="AL14" s="344"/>
      <c r="AM14" s="344"/>
      <c r="AN14" s="344"/>
      <c r="AO14" s="344"/>
      <c r="AP14" s="344"/>
      <c r="AQ14" s="344"/>
      <c r="AR14" s="344"/>
      <c r="AS14" s="344"/>
      <c r="AT14" s="344"/>
      <c r="AU14" s="344"/>
      <c r="AV14" s="344"/>
    </row>
    <row r="15" spans="1:48" s="187" customFormat="1" x14ac:dyDescent="0.15">
      <c r="A15" s="186" t="str">
        <f>'Tariff Jul 2022'!K7</f>
        <v>Origin Energy</v>
      </c>
      <c r="B15" s="187" t="str">
        <f>'Tariff Jul 2022'!L7</f>
        <v>Solar Boost</v>
      </c>
      <c r="C15" s="188">
        <f>IF('Tariff Jul 2022'!BP7=0,91*'Tariff Jul 2022'!M7/100,(91*'Tariff Jul 2022'!M7/100)+'Tariff Jul 2022'!BP7/4)</f>
        <v>79.889727272727271</v>
      </c>
      <c r="D15" s="188">
        <f>IF('Tariff Jul 2022'!O7="",$F$5*'Tariff Jul 2022'!N7/100,IF($F$5&gt;='Tariff Jul 2022'!P7,('Tariff Jul 2022'!P7*'Tariff Jul 2022'!N7/100),($F$5*'Tariff Jul 2022'!N7/100)))</f>
        <v>301.64468727272725</v>
      </c>
      <c r="E15" s="188">
        <f>IF(AND('Tariff Jul 2022'!P7&gt;0,'Tariff Jul 2022'!R7&gt;0),IF($F$5&lt;'Tariff Jul 2022'!P7,0,IF($F$5&lt;=('Tariff Jul 2022'!R7+'Tariff Jul 2022'!P7),(($F$5-'Tariff Jul 2022'!P7)*'Tariff Jul 2022'!Q7/100),(('Tariff Jul 2022'!R7)*'Tariff Jul 2022'!Q7/100))),0)</f>
        <v>0</v>
      </c>
      <c r="F15" s="189">
        <f>IF(AND('Tariff Jul 2022'!Q7&gt;0,'Tariff Jul 2022'!S7&gt;0),IF($F$5&lt;('Tariff Jul 2022'!R7+'Tariff Jul 2022'!P7),0,IF($F$5&lt;=('Tariff Jul 2022'!T7+'Tariff Jul 2022'!R7+'Tariff Jul 2022'!P7),(($F$5-('Tariff Jul 2022'!R7+'Tariff Jul 2022'!P7))*'Tariff Jul 2022'!S7/100),('Tariff Jul 2022'!T7*'Tariff Jul 2022'!S7/100))),0)</f>
        <v>0</v>
      </c>
      <c r="G15" s="188">
        <v>0</v>
      </c>
      <c r="H15" s="188">
        <v>0</v>
      </c>
      <c r="I15" s="189">
        <f>IF('Tariff Jul 2022'!T7&gt;0,IF(($F$5&lt;'Tariff Jul 2022'!T7),(0),($F$5-'Tariff Jul 2022'!T7)*'Tariff Jul 2022'!U7/100),IF(AND('Tariff Jul 2022'!R7&gt;0,'Tariff Jul 2022'!T7=""),IF(($F$5&lt;'Tariff Jul 2022'!R7),(0),($F$5-'Tariff Jul 2022'!R7)*'Tariff Jul 2022'!S7/100),IF(AND('Tariff Jul 2022'!P7&gt;0,'Tariff Jul 2022'!R7=""),IF(($F$5&lt;'Tariff Jul 2022'!P7),(0),($F$5-'Tariff Jul 2022'!P7)*'Tariff Jul 2022'!Q7/100),0)))</f>
        <v>0</v>
      </c>
      <c r="J15" s="188">
        <f t="shared" si="7"/>
        <v>381.53441454545452</v>
      </c>
      <c r="K15" s="283">
        <f t="shared" si="10"/>
        <v>1206.578749090909</v>
      </c>
      <c r="L15" s="283">
        <f t="shared" si="8"/>
        <v>1526.1376581818181</v>
      </c>
      <c r="M15" s="191">
        <f t="shared" si="9"/>
        <v>1678.751424</v>
      </c>
      <c r="N15" s="187">
        <f>'Tariff Jul 2022'!AZ7</f>
        <v>0</v>
      </c>
      <c r="O15" s="187">
        <f>'Tariff Jul 2022'!BA7</f>
        <v>0</v>
      </c>
      <c r="P15" s="187">
        <f>'Tariff Jul 2022'!BB7</f>
        <v>0</v>
      </c>
      <c r="Q15" s="187">
        <f>'Tariff Jul 2022'!BC7</f>
        <v>0</v>
      </c>
      <c r="R15" s="192">
        <f>($F$6*'Tariff Jul 2022'!AT7/100)*4</f>
        <v>261.07199999999995</v>
      </c>
      <c r="S15" s="193" t="str">
        <f t="shared" si="0"/>
        <v>No discount</v>
      </c>
      <c r="T15" s="193" t="str">
        <f t="shared" si="1"/>
        <v>Inclusive</v>
      </c>
      <c r="U15" s="304">
        <f t="shared" si="2"/>
        <v>1526.1376581818181</v>
      </c>
      <c r="V15" s="283">
        <f t="shared" si="3"/>
        <v>1526.1376581818181</v>
      </c>
      <c r="W15" s="283">
        <f t="shared" si="4"/>
        <v>1265.0656581818182</v>
      </c>
      <c r="X15" s="283">
        <f t="shared" si="5"/>
        <v>1265.0656581818182</v>
      </c>
      <c r="Y15" s="285">
        <f t="shared" si="6"/>
        <v>1391.5722240000002</v>
      </c>
      <c r="Z15" s="285">
        <f t="shared" si="6"/>
        <v>1391.5722240000002</v>
      </c>
      <c r="AA15" s="194">
        <f>'Tariff Jul 2022'!AT7</f>
        <v>10</v>
      </c>
      <c r="AB15" s="195">
        <f>'Tariff Jul 2022'!BL7</f>
        <v>0</v>
      </c>
      <c r="AC15" s="195" t="str">
        <f>'Tariff Jul 2022'!BM7</f>
        <v>n</v>
      </c>
      <c r="AD15" s="196">
        <f>'Tariff Jul 2022'!G7</f>
        <v>43287</v>
      </c>
      <c r="AE15" s="344"/>
      <c r="AF15" s="344"/>
      <c r="AG15" s="344"/>
      <c r="AH15" s="344"/>
      <c r="AI15" s="344"/>
      <c r="AJ15" s="344"/>
      <c r="AK15" s="344"/>
      <c r="AL15" s="344"/>
      <c r="AM15" s="344"/>
      <c r="AN15" s="344"/>
      <c r="AO15" s="344"/>
      <c r="AP15" s="344"/>
      <c r="AQ15" s="344"/>
      <c r="AR15" s="344"/>
      <c r="AS15" s="344"/>
      <c r="AT15" s="344"/>
      <c r="AU15" s="344"/>
      <c r="AV15" s="344"/>
    </row>
    <row r="16" spans="1:48" s="187" customFormat="1" x14ac:dyDescent="0.15">
      <c r="A16" s="186" t="str">
        <f>'Tariff Jul 2022'!K8</f>
        <v>Red Energy</v>
      </c>
      <c r="B16" s="187" t="str">
        <f>'Tariff Jul 2022'!L8</f>
        <v>Living Energy Saver</v>
      </c>
      <c r="C16" s="188">
        <f>IF('Tariff Jul 2022'!BP8=0,91*'Tariff Jul 2022'!M8/100,(91*'Tariff Jul 2022'!M8/100)+'Tariff Jul 2022'!BP8/4)</f>
        <v>74.62</v>
      </c>
      <c r="D16" s="188">
        <f>IF('Tariff Jul 2022'!O8="",$F$5*'Tariff Jul 2022'!N8/100,IF($F$5&gt;='Tariff Jul 2022'!P8,('Tariff Jul 2022'!P8*'Tariff Jul 2022'!N8/100),($F$5*'Tariff Jul 2022'!N8/100)))</f>
        <v>277.62347999999997</v>
      </c>
      <c r="E16" s="188">
        <f>IF(AND('Tariff Jul 2022'!P8&gt;0,'Tariff Jul 2022'!R8&gt;0),IF($F$5&lt;'Tariff Jul 2022'!P8,0,IF($F$5&lt;=('Tariff Jul 2022'!R8+'Tariff Jul 2022'!P8),(($F$5-'Tariff Jul 2022'!P8)*'Tariff Jul 2022'!Q8/100),(('Tariff Jul 2022'!R8)*'Tariff Jul 2022'!Q8/100))),0)</f>
        <v>0</v>
      </c>
      <c r="F16" s="189">
        <f>IF(AND('Tariff Jul 2022'!Q8&gt;0,'Tariff Jul 2022'!S8&gt;0),IF($F$5&lt;('Tariff Jul 2022'!R8+'Tariff Jul 2022'!P8),0,IF($F$5&lt;=('Tariff Jul 2022'!T8+'Tariff Jul 2022'!R8+'Tariff Jul 2022'!P8),(($F$5-('Tariff Jul 2022'!R8+'Tariff Jul 2022'!P8))*'Tariff Jul 2022'!S8/100),('Tariff Jul 2022'!T8*'Tariff Jul 2022'!S8/100))),0)</f>
        <v>0</v>
      </c>
      <c r="G16" s="188">
        <v>0</v>
      </c>
      <c r="H16" s="188">
        <v>0</v>
      </c>
      <c r="I16" s="189">
        <f>IF('Tariff Jul 2022'!T8&gt;0,IF(($F$5&lt;'Tariff Jul 2022'!T8),(0),($F$5-'Tariff Jul 2022'!T8)*'Tariff Jul 2022'!U8/100),IF(AND('Tariff Jul 2022'!R8&gt;0,'Tariff Jul 2022'!T8=""),IF(($F$5&lt;'Tariff Jul 2022'!R8),(0),($F$5-'Tariff Jul 2022'!R8)*'Tariff Jul 2022'!S8/100),IF(AND('Tariff Jul 2022'!P8&gt;0,'Tariff Jul 2022'!R8=""),IF(($F$5&lt;'Tariff Jul 2022'!P8),(0),($F$5-'Tariff Jul 2022'!P8)*'Tariff Jul 2022'!Q8/100),0)))</f>
        <v>0</v>
      </c>
      <c r="J16" s="188">
        <f t="shared" si="7"/>
        <v>352.24347999999998</v>
      </c>
      <c r="K16" s="283">
        <f t="shared" si="10"/>
        <v>1110.4939199999999</v>
      </c>
      <c r="L16" s="283">
        <f t="shared" si="8"/>
        <v>1408.9739199999999</v>
      </c>
      <c r="M16" s="191">
        <f t="shared" si="9"/>
        <v>1549.871312</v>
      </c>
      <c r="N16" s="187">
        <f>'Tariff Jul 2022'!AZ8</f>
        <v>0</v>
      </c>
      <c r="O16" s="187">
        <f>'Tariff Jul 2022'!BA8</f>
        <v>0</v>
      </c>
      <c r="P16" s="187">
        <f>'Tariff Jul 2022'!BB8</f>
        <v>0</v>
      </c>
      <c r="Q16" s="187">
        <f>'Tariff Jul 2022'!BC8</f>
        <v>0</v>
      </c>
      <c r="R16" s="192">
        <f>($F$6*'Tariff Jul 2022'!AT8/100)*4</f>
        <v>78.321600000000004</v>
      </c>
      <c r="S16" s="193" t="str">
        <f t="shared" si="0"/>
        <v>No discount</v>
      </c>
      <c r="T16" s="193" t="str">
        <f t="shared" si="1"/>
        <v>Inclusive</v>
      </c>
      <c r="U16" s="304">
        <f t="shared" si="2"/>
        <v>1408.9739199999999</v>
      </c>
      <c r="V16" s="283">
        <f t="shared" si="3"/>
        <v>1408.9739199999999</v>
      </c>
      <c r="W16" s="283">
        <f t="shared" si="4"/>
        <v>1330.6523199999999</v>
      </c>
      <c r="X16" s="283">
        <f t="shared" si="5"/>
        <v>1330.6523199999999</v>
      </c>
      <c r="Y16" s="285">
        <f t="shared" si="6"/>
        <v>1463.7175520000001</v>
      </c>
      <c r="Z16" s="285">
        <f t="shared" si="6"/>
        <v>1463.7175520000001</v>
      </c>
      <c r="AA16" s="194">
        <f>'Tariff Jul 2022'!AT8</f>
        <v>3</v>
      </c>
      <c r="AB16" s="195">
        <f>'Tariff Jul 2022'!BL8</f>
        <v>0</v>
      </c>
      <c r="AC16" s="195" t="str">
        <f>'Tariff Jul 2022'!BM8</f>
        <v>n</v>
      </c>
      <c r="AD16" s="196">
        <f>'Tariff Jul 2022'!G8</f>
        <v>43281</v>
      </c>
      <c r="AE16" s="344"/>
      <c r="AF16" s="344"/>
      <c r="AG16" s="344"/>
      <c r="AH16" s="344"/>
      <c r="AI16" s="344"/>
      <c r="AJ16" s="344"/>
      <c r="AK16" s="344"/>
      <c r="AL16" s="344"/>
      <c r="AM16" s="344"/>
      <c r="AN16" s="344"/>
      <c r="AO16" s="344"/>
      <c r="AP16" s="344"/>
      <c r="AQ16" s="344"/>
      <c r="AR16" s="344"/>
      <c r="AS16" s="344"/>
      <c r="AT16" s="344"/>
      <c r="AU16" s="344"/>
      <c r="AV16" s="344"/>
    </row>
    <row r="17" spans="1:48" s="187" customFormat="1" x14ac:dyDescent="0.15">
      <c r="A17" s="186" t="str">
        <f>'Tariff Jul 2022'!K9</f>
        <v>Energy Locals</v>
      </c>
      <c r="B17" s="187" t="str">
        <f>'Tariff Jul 2022'!L9</f>
        <v>Online Member</v>
      </c>
      <c r="C17" s="188">
        <f>IF('Tariff Jul 2022'!BP9=0,91*'Tariff Jul 2022'!M9/100,(91*'Tariff Jul 2022'!M9/100)+'Tariff Jul 2022'!BP9/4)</f>
        <v>101.85727272727271</v>
      </c>
      <c r="D17" s="188">
        <f>IF('Tariff Jul 2022'!O9="",$F$5*'Tariff Jul 2022'!N9/100,IF($F$5&gt;='Tariff Jul 2022'!P9,('Tariff Jul 2022'!P9*'Tariff Jul 2022'!N9/100),($F$5*'Tariff Jul 2022'!N9/100)))</f>
        <v>258.87719999999996</v>
      </c>
      <c r="E17" s="188">
        <f>IF(AND('Tariff Jul 2022'!P9&gt;0,'Tariff Jul 2022'!R9&gt;0),IF($F$5&lt;'Tariff Jul 2022'!P9,0,IF($F$5&lt;=('Tariff Jul 2022'!R9+'Tariff Jul 2022'!P9),(($F$5-'Tariff Jul 2022'!P9)*'Tariff Jul 2022'!Q9/100),(('Tariff Jul 2022'!R9)*'Tariff Jul 2022'!Q9/100))),0)</f>
        <v>0</v>
      </c>
      <c r="F17" s="189">
        <f>IF(AND('Tariff Jul 2022'!Q9&gt;0,'Tariff Jul 2022'!S9&gt;0),IF($F$5&lt;('Tariff Jul 2022'!R9+'Tariff Jul 2022'!P9),0,IF($F$5&lt;=('Tariff Jul 2022'!T9+'Tariff Jul 2022'!R9+'Tariff Jul 2022'!P9),(($F$5-('Tariff Jul 2022'!R9+'Tariff Jul 2022'!P9))*'Tariff Jul 2022'!S9/100),('Tariff Jul 2022'!T9*'Tariff Jul 2022'!S9/100))),0)</f>
        <v>0</v>
      </c>
      <c r="G17" s="188">
        <v>0</v>
      </c>
      <c r="H17" s="188">
        <v>0</v>
      </c>
      <c r="I17" s="189">
        <f>IF('Tariff Jul 2022'!T9&gt;0,IF(($F$5&lt;'Tariff Jul 2022'!T9),(0),($F$5-'Tariff Jul 2022'!T9)*'Tariff Jul 2022'!U9/100),IF(AND('Tariff Jul 2022'!R9&gt;0,'Tariff Jul 2022'!T9=""),IF(($F$5&lt;'Tariff Jul 2022'!R9),(0),($F$5-'Tariff Jul 2022'!R9)*'Tariff Jul 2022'!S9/100),IF(AND('Tariff Jul 2022'!P9&gt;0,'Tariff Jul 2022'!R9=""),IF(($F$5&lt;'Tariff Jul 2022'!P9),(0),($F$5-'Tariff Jul 2022'!P9)*'Tariff Jul 2022'!Q9/100),0)))</f>
        <v>0</v>
      </c>
      <c r="J17" s="188">
        <f t="shared" si="7"/>
        <v>360.73447272727265</v>
      </c>
      <c r="K17" s="283">
        <f t="shared" si="10"/>
        <v>1035.5087999999996</v>
      </c>
      <c r="L17" s="283">
        <f t="shared" si="8"/>
        <v>1442.9378909090906</v>
      </c>
      <c r="M17" s="191">
        <f t="shared" si="9"/>
        <v>1587.2316799999999</v>
      </c>
      <c r="N17" s="187">
        <f>'Tariff Jul 2022'!AZ9</f>
        <v>0</v>
      </c>
      <c r="O17" s="187">
        <f>'Tariff Jul 2022'!BA9</f>
        <v>0</v>
      </c>
      <c r="P17" s="187">
        <f>'Tariff Jul 2022'!BB9</f>
        <v>0</v>
      </c>
      <c r="Q17" s="187">
        <f>'Tariff Jul 2022'!BC9</f>
        <v>0</v>
      </c>
      <c r="R17" s="192">
        <f>($F$6*'Tariff Jul 2022'!AT9/100)*4</f>
        <v>234.9648</v>
      </c>
      <c r="S17" s="193" t="str">
        <f t="shared" si="0"/>
        <v>No discount</v>
      </c>
      <c r="T17" s="193" t="str">
        <f t="shared" si="1"/>
        <v>Exclusive</v>
      </c>
      <c r="U17" s="304">
        <f t="shared" si="2"/>
        <v>1442.9378909090906</v>
      </c>
      <c r="V17" s="283">
        <f t="shared" si="3"/>
        <v>1442.9378909090906</v>
      </c>
      <c r="W17" s="283">
        <f t="shared" si="4"/>
        <v>1207.9730909090906</v>
      </c>
      <c r="X17" s="283">
        <f t="shared" si="5"/>
        <v>1207.9730909090906</v>
      </c>
      <c r="Y17" s="285">
        <f t="shared" si="6"/>
        <v>1328.7703999999999</v>
      </c>
      <c r="Z17" s="285">
        <f t="shared" si="6"/>
        <v>1328.7703999999999</v>
      </c>
      <c r="AA17" s="194">
        <f>'Tariff Jul 2022'!AT9</f>
        <v>9</v>
      </c>
      <c r="AB17" s="195">
        <f>'Tariff Jul 2022'!BL9</f>
        <v>0</v>
      </c>
      <c r="AC17" s="195" t="str">
        <f>'Tariff Jul 2022'!BM9</f>
        <v>n</v>
      </c>
      <c r="AD17" s="196">
        <f>'Tariff Jul 2022'!G9</f>
        <v>43299</v>
      </c>
      <c r="AE17" s="344"/>
      <c r="AF17" s="344"/>
      <c r="AG17" s="344"/>
      <c r="AH17" s="344"/>
      <c r="AI17" s="344"/>
      <c r="AJ17" s="344"/>
      <c r="AK17" s="344"/>
      <c r="AL17" s="344"/>
      <c r="AM17" s="344"/>
      <c r="AN17" s="344"/>
      <c r="AO17" s="344"/>
      <c r="AP17" s="344"/>
      <c r="AQ17" s="344"/>
      <c r="AR17" s="344"/>
      <c r="AS17" s="344"/>
      <c r="AT17" s="344"/>
      <c r="AU17" s="344"/>
      <c r="AV17" s="344"/>
    </row>
    <row r="18" spans="1:48" s="187" customFormat="1" x14ac:dyDescent="0.15">
      <c r="A18" s="186" t="str">
        <f>'Tariff Jul 2022'!K10</f>
        <v>Simply Energy</v>
      </c>
      <c r="B18" s="187" t="str">
        <f>'Tariff Jul 2022'!L10</f>
        <v>RAA</v>
      </c>
      <c r="C18" s="188">
        <f>IF('Tariff Jul 2022'!BP10=0,91*'Tariff Jul 2022'!M10/100,(91*'Tariff Jul 2022'!M10/100)+'Tariff Jul 2022'!BP10/4)</f>
        <v>90.826272727272737</v>
      </c>
      <c r="D18" s="188">
        <f>IF('Tariff Jul 2022'!O10="",$F$5*'Tariff Jul 2022'!N10/100,IF($F$5&gt;='Tariff Jul 2022'!P10,('Tariff Jul 2022'!P10*'Tariff Jul 2022'!N10/100),($F$5*'Tariff Jul 2022'!N10/100)))</f>
        <v>291.98751272727264</v>
      </c>
      <c r="E18" s="188">
        <f>IF(AND('Tariff Jul 2022'!P10&gt;0,'Tariff Jul 2022'!R10&gt;0),IF($F$5&lt;'Tariff Jul 2022'!P10,0,IF($F$5&lt;=('Tariff Jul 2022'!R10+'Tariff Jul 2022'!P10),(($F$5-'Tariff Jul 2022'!P10)*'Tariff Jul 2022'!Q10/100),(('Tariff Jul 2022'!R10)*'Tariff Jul 2022'!Q10/100))),0)</f>
        <v>0</v>
      </c>
      <c r="F18" s="189">
        <f>IF(AND('Tariff Jul 2022'!Q10&gt;0,'Tariff Jul 2022'!S10&gt;0),IF($F$5&lt;('Tariff Jul 2022'!R10+'Tariff Jul 2022'!P10),0,IF($F$5&lt;=('Tariff Jul 2022'!T10+'Tariff Jul 2022'!R10+'Tariff Jul 2022'!P10),(($F$5-('Tariff Jul 2022'!R10+'Tariff Jul 2022'!P10))*'Tariff Jul 2022'!S10/100),('Tariff Jul 2022'!T10*'Tariff Jul 2022'!S10/100))),0)</f>
        <v>0</v>
      </c>
      <c r="G18" s="188">
        <v>0</v>
      </c>
      <c r="H18" s="188">
        <v>0</v>
      </c>
      <c r="I18" s="189">
        <f>IF('Tariff Jul 2022'!T10&gt;0,IF(($F$5&lt;'Tariff Jul 2022'!T10),(0),($F$5-'Tariff Jul 2022'!T10)*'Tariff Jul 2022'!U10/100),IF(AND('Tariff Jul 2022'!R10&gt;0,'Tariff Jul 2022'!T10=""),IF(($F$5&lt;'Tariff Jul 2022'!R10),(0),($F$5-'Tariff Jul 2022'!R10)*'Tariff Jul 2022'!S10/100),IF(AND('Tariff Jul 2022'!P10&gt;0,'Tariff Jul 2022'!R10=""),IF(($F$5&lt;'Tariff Jul 2022'!P10),(0),($F$5-'Tariff Jul 2022'!P10)*'Tariff Jul 2022'!Q10/100),0)))</f>
        <v>0</v>
      </c>
      <c r="J18" s="188">
        <f t="shared" si="7"/>
        <v>382.81378545454538</v>
      </c>
      <c r="K18" s="283">
        <f t="shared" si="10"/>
        <v>1167.9500509090906</v>
      </c>
      <c r="L18" s="283">
        <f t="shared" si="8"/>
        <v>1531.2551418181815</v>
      </c>
      <c r="M18" s="191">
        <f t="shared" si="9"/>
        <v>1684.3806559999998</v>
      </c>
      <c r="N18" s="187">
        <f>'Tariff Jul 2022'!AZ10</f>
        <v>1</v>
      </c>
      <c r="O18" s="187">
        <f>'Tariff Jul 2022'!BA10</f>
        <v>0</v>
      </c>
      <c r="P18" s="187">
        <f>'Tariff Jul 2022'!BB10</f>
        <v>0</v>
      </c>
      <c r="Q18" s="187">
        <f>'Tariff Jul 2022'!BC10</f>
        <v>0</v>
      </c>
      <c r="R18" s="192">
        <f>($F$6*'Tariff Jul 2022'!AT10/100)*4</f>
        <v>156.64320000000001</v>
      </c>
      <c r="S18" s="193" t="str">
        <f t="shared" si="0"/>
        <v>Guaranteed off bill</v>
      </c>
      <c r="T18" s="193" t="str">
        <f t="shared" si="1"/>
        <v>Exclusive</v>
      </c>
      <c r="U18" s="304">
        <f t="shared" si="2"/>
        <v>1515.9425903999997</v>
      </c>
      <c r="V18" s="283">
        <f t="shared" si="3"/>
        <v>1515.9425903999997</v>
      </c>
      <c r="W18" s="283">
        <f t="shared" si="4"/>
        <v>1359.2993903999998</v>
      </c>
      <c r="X18" s="283">
        <f t="shared" si="5"/>
        <v>1359.2993903999998</v>
      </c>
      <c r="Y18" s="285">
        <f t="shared" si="6"/>
        <v>1495.2293294399999</v>
      </c>
      <c r="Z18" s="285">
        <f t="shared" si="6"/>
        <v>1495.2293294399999</v>
      </c>
      <c r="AA18" s="194">
        <f>'Tariff Jul 2022'!AT10</f>
        <v>6</v>
      </c>
      <c r="AB18" s="195">
        <f>'Tariff Jul 2022'!BL10</f>
        <v>0</v>
      </c>
      <c r="AC18" s="195" t="str">
        <f>'Tariff Jul 2022'!BM10</f>
        <v>n</v>
      </c>
      <c r="AD18" s="196">
        <f>'Tariff Jul 2022'!G10</f>
        <v>43281</v>
      </c>
      <c r="AE18" s="344"/>
      <c r="AF18" s="344"/>
      <c r="AG18" s="344"/>
      <c r="AH18" s="344"/>
      <c r="AI18" s="344"/>
      <c r="AJ18" s="344"/>
      <c r="AK18" s="344"/>
      <c r="AL18" s="344"/>
      <c r="AM18" s="344"/>
      <c r="AN18" s="344"/>
      <c r="AO18" s="344"/>
      <c r="AP18" s="344"/>
      <c r="AQ18" s="344"/>
      <c r="AR18" s="344"/>
      <c r="AS18" s="344"/>
      <c r="AT18" s="344"/>
      <c r="AU18" s="344"/>
      <c r="AV18" s="344"/>
    </row>
    <row r="19" spans="1:48" s="187" customFormat="1" x14ac:dyDescent="0.15">
      <c r="A19" s="186" t="str">
        <f>'Tariff Jul 2022'!K11</f>
        <v>Powershop</v>
      </c>
      <c r="B19" s="187" t="str">
        <f>'Tariff Jul 2022'!L11</f>
        <v>Carbon neutral</v>
      </c>
      <c r="C19" s="188">
        <f>IF('Tariff Jul 2022'!BP11=0,91*'Tariff Jul 2022'!M11/100,(91*'Tariff Jul 2022'!M11/100)+'Tariff Jul 2022'!BP11/4)</f>
        <v>105.34490909090908</v>
      </c>
      <c r="D19" s="188">
        <f>IF('Tariff Jul 2022'!O11="",$F$5*'Tariff Jul 2022'!N11/100,IF($F$5&gt;='Tariff Jul 2022'!P11,('Tariff Jul 2022'!P11*'Tariff Jul 2022'!N11/100),($F$5*'Tariff Jul 2022'!N11/100)))</f>
        <v>270.72549818181812</v>
      </c>
      <c r="E19" s="188">
        <f>IF(AND('Tariff Jul 2022'!P11&gt;0,'Tariff Jul 2022'!R11&gt;0),IF($F$5&lt;'Tariff Jul 2022'!P11,0,IF($F$5&lt;=('Tariff Jul 2022'!R11+'Tariff Jul 2022'!P11),(($F$5-'Tariff Jul 2022'!P11)*'Tariff Jul 2022'!Q11/100),(('Tariff Jul 2022'!R11)*'Tariff Jul 2022'!Q11/100))),0)</f>
        <v>0</v>
      </c>
      <c r="F19" s="189">
        <f>IF(AND('Tariff Jul 2022'!Q11&gt;0,'Tariff Jul 2022'!S11&gt;0),IF($F$5&lt;('Tariff Jul 2022'!R11+'Tariff Jul 2022'!P11),0,IF($F$5&lt;=('Tariff Jul 2022'!T11+'Tariff Jul 2022'!R11+'Tariff Jul 2022'!P11),(($F$5-('Tariff Jul 2022'!R11+'Tariff Jul 2022'!P11))*'Tariff Jul 2022'!S11/100),('Tariff Jul 2022'!T11*'Tariff Jul 2022'!S11/100))),0)</f>
        <v>0</v>
      </c>
      <c r="G19" s="188">
        <v>0</v>
      </c>
      <c r="H19" s="188">
        <v>0</v>
      </c>
      <c r="I19" s="189">
        <f>IF('Tariff Jul 2022'!T11&gt;0,IF(($F$5&lt;'Tariff Jul 2022'!T11),(0),($F$5-'Tariff Jul 2022'!T11)*'Tariff Jul 2022'!U11/100),IF(AND('Tariff Jul 2022'!R11&gt;0,'Tariff Jul 2022'!T11=""),IF(($F$5&lt;'Tariff Jul 2022'!R11),(0),($F$5-'Tariff Jul 2022'!R11)*'Tariff Jul 2022'!S11/100),IF(AND('Tariff Jul 2022'!P11&gt;0,'Tariff Jul 2022'!R11=""),IF(($F$5&lt;'Tariff Jul 2022'!P11),(0),($F$5-'Tariff Jul 2022'!P11)*'Tariff Jul 2022'!Q11/100),0)))</f>
        <v>0</v>
      </c>
      <c r="J19" s="188">
        <f t="shared" si="7"/>
        <v>376.07040727272721</v>
      </c>
      <c r="K19" s="283">
        <f t="shared" si="10"/>
        <v>1082.9019927272725</v>
      </c>
      <c r="L19" s="283">
        <f t="shared" si="8"/>
        <v>1504.2816290909088</v>
      </c>
      <c r="M19" s="191">
        <f t="shared" si="9"/>
        <v>1654.7097919999999</v>
      </c>
      <c r="N19" s="187">
        <f>'Tariff Jul 2022'!AZ11</f>
        <v>0</v>
      </c>
      <c r="O19" s="187">
        <f>'Tariff Jul 2022'!BA11</f>
        <v>0</v>
      </c>
      <c r="P19" s="187">
        <f>'Tariff Jul 2022'!BB11</f>
        <v>0</v>
      </c>
      <c r="Q19" s="187">
        <f>'Tariff Jul 2022'!BC11</f>
        <v>0</v>
      </c>
      <c r="R19" s="192">
        <f>($F$6*'Tariff Jul 2022'!AT11/100)*4</f>
        <v>78.321600000000004</v>
      </c>
      <c r="S19" s="193" t="str">
        <f t="shared" si="0"/>
        <v>No discount</v>
      </c>
      <c r="T19" s="193" t="str">
        <f t="shared" si="1"/>
        <v>Inclusive</v>
      </c>
      <c r="U19" s="304">
        <f t="shared" si="2"/>
        <v>1504.2816290909088</v>
      </c>
      <c r="V19" s="283">
        <f t="shared" si="3"/>
        <v>1504.2816290909088</v>
      </c>
      <c r="W19" s="283">
        <f t="shared" si="4"/>
        <v>1425.9600290909088</v>
      </c>
      <c r="X19" s="283">
        <f t="shared" si="5"/>
        <v>1425.9600290909088</v>
      </c>
      <c r="Y19" s="285">
        <f t="shared" si="6"/>
        <v>1568.556032</v>
      </c>
      <c r="Z19" s="285">
        <f t="shared" si="6"/>
        <v>1568.556032</v>
      </c>
      <c r="AA19" s="194">
        <f>'Tariff Jul 2022'!AT11</f>
        <v>3</v>
      </c>
      <c r="AB19" s="195">
        <f>'Tariff Jul 2022'!BL11</f>
        <v>0</v>
      </c>
      <c r="AC19" s="195" t="str">
        <f>'Tariff Jul 2022'!BM11</f>
        <v>n</v>
      </c>
      <c r="AD19" s="196">
        <f>'Tariff Jul 2022'!G11</f>
        <v>43266</v>
      </c>
      <c r="AE19" s="344"/>
      <c r="AF19" s="344"/>
      <c r="AG19" s="344"/>
      <c r="AH19" s="344"/>
      <c r="AI19" s="344"/>
      <c r="AJ19" s="344"/>
      <c r="AK19" s="344"/>
      <c r="AL19" s="344"/>
      <c r="AM19" s="344"/>
      <c r="AN19" s="344"/>
      <c r="AO19" s="344"/>
      <c r="AP19" s="344"/>
      <c r="AQ19" s="344"/>
      <c r="AR19" s="344"/>
      <c r="AS19" s="344"/>
      <c r="AT19" s="344"/>
      <c r="AU19" s="344"/>
      <c r="AV19" s="344"/>
    </row>
    <row r="20" spans="1:48" s="187" customFormat="1" x14ac:dyDescent="0.15">
      <c r="A20" s="186" t="str">
        <f>'Tariff Jul 2022'!K12</f>
        <v>Amber Electric</v>
      </c>
      <c r="B20" s="187" t="str">
        <f>'Tariff Jul 2022'!L12</f>
        <v>Amber Plan</v>
      </c>
      <c r="C20" s="188">
        <f>IF('Tariff Jul 2022'!BP12=0,91*'Tariff Jul 2022'!M12/100,(91*'Tariff Jul 2022'!M12/100)+'Tariff Jul 2022'!BP12/4)</f>
        <v>135.55736363636362</v>
      </c>
      <c r="D20" s="188">
        <f>IF('Tariff Jul 2022'!O12="",$F$5*'Tariff Jul 2022'!N12/100,IF($F$5&gt;='Tariff Jul 2022'!P12,('Tariff Jul 2022'!P12*'Tariff Jul 2022'!N12/100),($F$5*'Tariff Jul 2022'!N12/100)))</f>
        <v>332.40157090909088</v>
      </c>
      <c r="E20" s="188">
        <f>IF(AND('Tariff Jul 2022'!P12&gt;0,'Tariff Jul 2022'!R12&gt;0),IF($F$5&lt;'Tariff Jul 2022'!P12,0,IF($F$5&lt;=('Tariff Jul 2022'!R12+'Tariff Jul 2022'!P12),(($F$5-'Tariff Jul 2022'!P12)*'Tariff Jul 2022'!Q12/100),(('Tariff Jul 2022'!R12)*'Tariff Jul 2022'!Q12/100))),0)</f>
        <v>0</v>
      </c>
      <c r="F20" s="189">
        <f>IF(AND('Tariff Jul 2022'!Q12&gt;0,'Tariff Jul 2022'!S12&gt;0),IF($F$5&lt;('Tariff Jul 2022'!R12+'Tariff Jul 2022'!P12),0,IF($F$5&lt;=('Tariff Jul 2022'!T12+'Tariff Jul 2022'!R12+'Tariff Jul 2022'!P12),(($F$5-('Tariff Jul 2022'!R12+'Tariff Jul 2022'!P12))*'Tariff Jul 2022'!S12/100),('Tariff Jul 2022'!T12*'Tariff Jul 2022'!S12/100))),0)</f>
        <v>0</v>
      </c>
      <c r="G20" s="188">
        <v>0</v>
      </c>
      <c r="H20" s="188">
        <v>0</v>
      </c>
      <c r="I20" s="189">
        <f>IF('Tariff Jul 2022'!T12&gt;0,IF(($F$5&lt;'Tariff Jul 2022'!T12),(0),($F$5-'Tariff Jul 2022'!T12)*'Tariff Jul 2022'!U12/100),IF(AND('Tariff Jul 2022'!R12&gt;0,'Tariff Jul 2022'!T12=""),IF(($F$5&lt;'Tariff Jul 2022'!R12),(0),($F$5-'Tariff Jul 2022'!R12)*'Tariff Jul 2022'!S12/100),IF(AND('Tariff Jul 2022'!P12&gt;0,'Tariff Jul 2022'!R12=""),IF(($F$5&lt;'Tariff Jul 2022'!P12),(0),($F$5-'Tariff Jul 2022'!P12)*'Tariff Jul 2022'!Q12/100),0)))</f>
        <v>0</v>
      </c>
      <c r="J20" s="188">
        <f t="shared" si="7"/>
        <v>467.9589345454545</v>
      </c>
      <c r="K20" s="283">
        <f t="shared" si="10"/>
        <v>1329.6062836363635</v>
      </c>
      <c r="L20" s="283">
        <f t="shared" si="8"/>
        <v>1871.835738181818</v>
      </c>
      <c r="M20" s="191">
        <f t="shared" si="9"/>
        <v>2059.0193119999999</v>
      </c>
      <c r="N20" s="187">
        <f>'Tariff Jul 2022'!AZ12</f>
        <v>0</v>
      </c>
      <c r="O20" s="187">
        <f>'Tariff Jul 2022'!BA12</f>
        <v>0</v>
      </c>
      <c r="P20" s="187">
        <f>'Tariff Jul 2022'!BB12</f>
        <v>0</v>
      </c>
      <c r="Q20" s="187">
        <f>'Tariff Jul 2022'!BC12</f>
        <v>0</v>
      </c>
      <c r="R20" s="192">
        <f>($F$6*'Tariff Jul 2022'!AT12/100)*4</f>
        <v>0</v>
      </c>
      <c r="S20" s="193" t="str">
        <f t="shared" si="0"/>
        <v>No discount</v>
      </c>
      <c r="T20" s="193" t="str">
        <f t="shared" si="1"/>
        <v>Exclusive</v>
      </c>
      <c r="U20" s="304">
        <f t="shared" si="2"/>
        <v>1871.835738181818</v>
      </c>
      <c r="V20" s="283">
        <f t="shared" si="3"/>
        <v>1871.835738181818</v>
      </c>
      <c r="W20" s="283">
        <f t="shared" si="4"/>
        <v>1871.835738181818</v>
      </c>
      <c r="X20" s="283">
        <f t="shared" si="5"/>
        <v>1871.835738181818</v>
      </c>
      <c r="Y20" s="285">
        <f t="shared" si="6"/>
        <v>2059.0193119999999</v>
      </c>
      <c r="Z20" s="285">
        <f t="shared" si="6"/>
        <v>2059.0193119999999</v>
      </c>
      <c r="AA20" s="194">
        <f>'Tariff Jul 2022'!AT12</f>
        <v>0</v>
      </c>
      <c r="AB20" s="195">
        <f>'Tariff Jul 2022'!BL12</f>
        <v>0</v>
      </c>
      <c r="AC20" s="195" t="str">
        <f>'Tariff Jul 2022'!BM12</f>
        <v>n</v>
      </c>
      <c r="AD20" s="196">
        <f>'Tariff Jul 2022'!G12</f>
        <v>43281</v>
      </c>
      <c r="AE20" s="344"/>
      <c r="AF20" s="344"/>
      <c r="AG20" s="344"/>
      <c r="AH20" s="344"/>
      <c r="AI20" s="344"/>
      <c r="AJ20" s="344"/>
      <c r="AK20" s="344"/>
      <c r="AL20" s="344"/>
      <c r="AM20" s="344"/>
      <c r="AN20" s="344"/>
      <c r="AO20" s="344"/>
      <c r="AP20" s="344"/>
      <c r="AQ20" s="344"/>
      <c r="AR20" s="344"/>
      <c r="AS20" s="344"/>
      <c r="AT20" s="344"/>
      <c r="AU20" s="344"/>
      <c r="AV20" s="344"/>
    </row>
    <row r="21" spans="1:48" s="187" customFormat="1" x14ac:dyDescent="0.15">
      <c r="A21" s="186" t="str">
        <f>'Tariff Jul 2022'!K13</f>
        <v>GloBird Energy</v>
      </c>
      <c r="B21" s="187" t="str">
        <f>'Tariff Jul 2022'!L13</f>
        <v>GloSave</v>
      </c>
      <c r="C21" s="188">
        <f>IF('Tariff Jul 2022'!BP13=0,91*'Tariff Jul 2022'!M13/100,(91*'Tariff Jul 2022'!M13/100)+'Tariff Jul 2022'!BP13/4)</f>
        <v>81.899999999999991</v>
      </c>
      <c r="D21" s="188">
        <f>IF('Tariff Jul 2022'!O13="",$F$5*'Tariff Jul 2022'!N13/100,IF($F$5&gt;='Tariff Jul 2022'!P13,('Tariff Jul 2022'!P13*'Tariff Jul 2022'!N13/100),($F$5*'Tariff Jul 2022'!N13/100)))</f>
        <v>437.4131999999999</v>
      </c>
      <c r="E21" s="188">
        <f>IF(AND('Tariff Jul 2022'!P13&gt;0,'Tariff Jul 2022'!R13&gt;0),IF($F$5&lt;'Tariff Jul 2022'!P13,0,IF($F$5&lt;=('Tariff Jul 2022'!R13+'Tariff Jul 2022'!P13),(($F$5-'Tariff Jul 2022'!P13)*'Tariff Jul 2022'!Q13/100),(('Tariff Jul 2022'!R13)*'Tariff Jul 2022'!Q13/100))),0)</f>
        <v>0</v>
      </c>
      <c r="F21" s="189">
        <f>IF(AND('Tariff Jul 2022'!Q13&gt;0,'Tariff Jul 2022'!S13&gt;0),IF($F$5&lt;('Tariff Jul 2022'!R13+'Tariff Jul 2022'!P13),0,IF($F$5&lt;=('Tariff Jul 2022'!T13+'Tariff Jul 2022'!R13+'Tariff Jul 2022'!P13),(($F$5-('Tariff Jul 2022'!R13+'Tariff Jul 2022'!P13))*'Tariff Jul 2022'!S13/100),('Tariff Jul 2022'!T13*'Tariff Jul 2022'!S13/100))),0)</f>
        <v>0</v>
      </c>
      <c r="G21" s="188">
        <v>0</v>
      </c>
      <c r="H21" s="188">
        <v>0</v>
      </c>
      <c r="I21" s="189">
        <f>IF('Tariff Jul 2022'!T13&gt;0,IF(($F$5&lt;'Tariff Jul 2022'!T13),(0),($F$5-'Tariff Jul 2022'!T13)*'Tariff Jul 2022'!U13/100),IF(AND('Tariff Jul 2022'!R13&gt;0,'Tariff Jul 2022'!T13=""),IF(($F$5&lt;'Tariff Jul 2022'!R13),(0),($F$5-'Tariff Jul 2022'!R13)*'Tariff Jul 2022'!S13/100),IF(AND('Tariff Jul 2022'!P13&gt;0,'Tariff Jul 2022'!R13=""),IF(($F$5&lt;'Tariff Jul 2022'!P13),(0),($F$5-'Tariff Jul 2022'!P13)*'Tariff Jul 2022'!Q13/100),0)))</f>
        <v>0</v>
      </c>
      <c r="J21" s="188">
        <f t="shared" si="7"/>
        <v>519.31319999999994</v>
      </c>
      <c r="K21" s="283">
        <f>(J21-C21)*4</f>
        <v>1749.6527999999998</v>
      </c>
      <c r="L21" s="283">
        <f t="shared" si="8"/>
        <v>2077.2527999999998</v>
      </c>
      <c r="M21" s="191">
        <f t="shared" si="9"/>
        <v>2284.9780799999999</v>
      </c>
      <c r="N21" s="187">
        <f>'Tariff Jul 2022'!AZ13</f>
        <v>0</v>
      </c>
      <c r="O21" s="187">
        <f>'Tariff Jul 2022'!BA13</f>
        <v>0</v>
      </c>
      <c r="P21" s="187">
        <f>'Tariff Jul 2022'!BB13</f>
        <v>0</v>
      </c>
      <c r="Q21" s="187">
        <f>'Tariff Jul 2022'!BC13</f>
        <v>0</v>
      </c>
      <c r="R21" s="192">
        <f>($F$6*'Tariff Jul 2022'!AT13/100)*4</f>
        <v>26.107199999999999</v>
      </c>
      <c r="S21" s="193" t="str">
        <f t="shared" si="0"/>
        <v>No discount</v>
      </c>
      <c r="T21" s="193" t="str">
        <f t="shared" si="1"/>
        <v>Exclusive</v>
      </c>
      <c r="U21" s="304">
        <f t="shared" si="2"/>
        <v>2077.2527999999998</v>
      </c>
      <c r="V21" s="283">
        <f t="shared" si="3"/>
        <v>2077.2527999999998</v>
      </c>
      <c r="W21" s="283">
        <f t="shared" si="4"/>
        <v>2051.1455999999998</v>
      </c>
      <c r="X21" s="283">
        <f t="shared" si="5"/>
        <v>2051.1455999999998</v>
      </c>
      <c r="Y21" s="285">
        <f t="shared" si="6"/>
        <v>2256.2601599999998</v>
      </c>
      <c r="Z21" s="285">
        <f t="shared" si="6"/>
        <v>2256.2601599999998</v>
      </c>
      <c r="AA21" s="194">
        <f>'Tariff Jul 2022'!AT13</f>
        <v>1</v>
      </c>
      <c r="AB21" s="195">
        <f>'Tariff Jul 2022'!BL13</f>
        <v>0</v>
      </c>
      <c r="AC21" s="195" t="str">
        <f>'Tariff Jul 2022'!BM13</f>
        <v>n</v>
      </c>
      <c r="AD21" s="196">
        <f>'Tariff Jul 2022'!G13</f>
        <v>43252</v>
      </c>
      <c r="AE21" s="344"/>
      <c r="AF21" s="344"/>
      <c r="AG21" s="344"/>
      <c r="AH21" s="344"/>
      <c r="AI21" s="344"/>
      <c r="AJ21" s="344"/>
      <c r="AK21" s="344"/>
      <c r="AL21" s="344"/>
      <c r="AM21" s="344"/>
      <c r="AN21" s="344"/>
      <c r="AO21" s="344"/>
      <c r="AP21" s="344"/>
      <c r="AQ21" s="344"/>
      <c r="AR21" s="344"/>
      <c r="AS21" s="344"/>
      <c r="AT21" s="344"/>
      <c r="AU21" s="344"/>
      <c r="AV21" s="344"/>
    </row>
    <row r="22" spans="1:48" s="187" customFormat="1" x14ac:dyDescent="0.15">
      <c r="A22" s="186" t="str">
        <f>'Tariff Jul 2022'!K14</f>
        <v>Kogan Energy</v>
      </c>
      <c r="B22" s="187" t="str">
        <f>'Tariff Jul 2022'!L14</f>
        <v>Free Kogan First Membership</v>
      </c>
      <c r="C22" s="188">
        <f>IF('Tariff Jul 2022'!BP14=0,91*'Tariff Jul 2022'!M14/100,(91*'Tariff Jul 2022'!M14/100)+'Tariff Jul 2022'!BP14/4)</f>
        <v>100.646</v>
      </c>
      <c r="D22" s="188">
        <f>IF('Tariff Jul 2022'!O14="",$F$5*'Tariff Jul 2022'!N14/100,IF($F$5&gt;='Tariff Jul 2022'!P14,('Tariff Jul 2022'!P14*'Tariff Jul 2022'!N14/100),($F$5*'Tariff Jul 2022'!N14/100)))</f>
        <v>277.86693818181817</v>
      </c>
      <c r="E22" s="188">
        <f>IF(AND('Tariff Jul 2022'!P14&gt;0,'Tariff Jul 2022'!R14&gt;0),IF($F$5&lt;'Tariff Jul 2022'!P14,0,IF($F$5&lt;=('Tariff Jul 2022'!R14+'Tariff Jul 2022'!P14),(($F$5-'Tariff Jul 2022'!P14)*'Tariff Jul 2022'!Q14/100),(('Tariff Jul 2022'!R14)*'Tariff Jul 2022'!Q14/100))),0)</f>
        <v>0</v>
      </c>
      <c r="F22" s="189">
        <f>IF(AND('Tariff Jul 2022'!Q14&gt;0,'Tariff Jul 2022'!S14&gt;0),IF($F$5&lt;('Tariff Jul 2022'!R14+'Tariff Jul 2022'!P14),0,IF($F$5&lt;=('Tariff Jul 2022'!T14+'Tariff Jul 2022'!R14+'Tariff Jul 2022'!P14),(($F$5-('Tariff Jul 2022'!R14+'Tariff Jul 2022'!P14))*'Tariff Jul 2022'!S14/100),('Tariff Jul 2022'!T14*'Tariff Jul 2022'!S14/100))),0)</f>
        <v>0</v>
      </c>
      <c r="G22" s="188">
        <v>0</v>
      </c>
      <c r="H22" s="188">
        <v>0</v>
      </c>
      <c r="I22" s="189">
        <f>IF('Tariff Jul 2022'!T14&gt;0,IF(($F$5&lt;'Tariff Jul 2022'!T14),(0),($F$5-'Tariff Jul 2022'!T14)*'Tariff Jul 2022'!U14/100),IF(AND('Tariff Jul 2022'!R14&gt;0,'Tariff Jul 2022'!T14=""),IF(($F$5&lt;'Tariff Jul 2022'!R14),(0),($F$5-'Tariff Jul 2022'!R14)*'Tariff Jul 2022'!S14/100),IF(AND('Tariff Jul 2022'!P14&gt;0,'Tariff Jul 2022'!R14=""),IF(($F$5&lt;'Tariff Jul 2022'!P14),(0),($F$5-'Tariff Jul 2022'!P14)*'Tariff Jul 2022'!Q14/100),0)))</f>
        <v>0</v>
      </c>
      <c r="J22" s="188">
        <f t="shared" si="7"/>
        <v>378.51293818181819</v>
      </c>
      <c r="K22" s="283">
        <f t="shared" si="10"/>
        <v>1111.4677527272727</v>
      </c>
      <c r="L22" s="283">
        <f t="shared" si="8"/>
        <v>1514.0517527272727</v>
      </c>
      <c r="M22" s="191">
        <f t="shared" si="9"/>
        <v>1665.4569280000001</v>
      </c>
      <c r="N22" s="187">
        <f>'Tariff Jul 2022'!AZ14</f>
        <v>0</v>
      </c>
      <c r="O22" s="187">
        <f>'Tariff Jul 2022'!BA14</f>
        <v>0</v>
      </c>
      <c r="P22" s="187">
        <f>'Tariff Jul 2022'!BB14</f>
        <v>0</v>
      </c>
      <c r="Q22" s="187">
        <f>'Tariff Jul 2022'!BC14</f>
        <v>0</v>
      </c>
      <c r="R22" s="192">
        <f>($F$6*'Tariff Jul 2022'!AT14/100)*4</f>
        <v>53.780832000000004</v>
      </c>
      <c r="S22" s="193" t="str">
        <f t="shared" si="0"/>
        <v>No discount</v>
      </c>
      <c r="T22" s="193" t="str">
        <f t="shared" si="1"/>
        <v>Exclusive</v>
      </c>
      <c r="U22" s="304">
        <f t="shared" si="2"/>
        <v>1514.0517527272727</v>
      </c>
      <c r="V22" s="283">
        <f t="shared" si="3"/>
        <v>1514.0517527272727</v>
      </c>
      <c r="W22" s="283">
        <f t="shared" si="4"/>
        <v>1460.2709207272728</v>
      </c>
      <c r="X22" s="283">
        <f t="shared" si="5"/>
        <v>1460.2709207272728</v>
      </c>
      <c r="Y22" s="285">
        <f t="shared" si="6"/>
        <v>1606.2980128000002</v>
      </c>
      <c r="Z22" s="285">
        <f t="shared" si="6"/>
        <v>1606.2980128000002</v>
      </c>
      <c r="AA22" s="194">
        <f>'Tariff Jul 2022'!AT14</f>
        <v>2.06</v>
      </c>
      <c r="AB22" s="195">
        <f>'Tariff Jul 2022'!BL14</f>
        <v>0</v>
      </c>
      <c r="AC22" s="195" t="str">
        <f>'Tariff Jul 2022'!BM14</f>
        <v>n</v>
      </c>
      <c r="AD22" s="196">
        <f>'Tariff Jul 2022'!G14</f>
        <v>43266</v>
      </c>
      <c r="AE22" s="344"/>
      <c r="AF22" s="344"/>
      <c r="AG22" s="344"/>
      <c r="AH22" s="344"/>
      <c r="AI22" s="344"/>
      <c r="AJ22" s="344"/>
      <c r="AK22" s="344"/>
      <c r="AL22" s="344"/>
      <c r="AM22" s="344"/>
      <c r="AN22" s="344"/>
      <c r="AO22" s="344"/>
      <c r="AP22" s="344"/>
      <c r="AQ22" s="344"/>
      <c r="AR22" s="344"/>
      <c r="AS22" s="344"/>
      <c r="AT22" s="344"/>
      <c r="AU22" s="344"/>
      <c r="AV22" s="344"/>
    </row>
    <row r="23" spans="1:48" s="187" customFormat="1" x14ac:dyDescent="0.15">
      <c r="A23" s="186" t="str">
        <f>'Tariff Jul 2022'!K15</f>
        <v>ReAmped Energy</v>
      </c>
      <c r="B23" s="187" t="str">
        <f>'Tariff Jul 2022'!L15</f>
        <v>Solar</v>
      </c>
      <c r="C23" s="188">
        <f>IF('Tariff Jul 2022'!BP15=0,91*'Tariff Jul 2022'!M15/100,(91*'Tariff Jul 2022'!M15/100)+'Tariff Jul 2022'!BP15/4)</f>
        <v>94.085727272727269</v>
      </c>
      <c r="D23" s="188">
        <f>IF('Tariff Jul 2022'!O15="",$F$5*'Tariff Jul 2022'!N15/100,IF($F$5&gt;='Tariff Jul 2022'!P15,('Tariff Jul 2022'!P15*'Tariff Jul 2022'!N15/100),($F$5*'Tariff Jul 2022'!N15/100)))</f>
        <v>355.04318181818178</v>
      </c>
      <c r="E23" s="188">
        <f>IF(AND('Tariff Jul 2022'!P15&gt;0,'Tariff Jul 2022'!R15&gt;0),IF($F$5&lt;'Tariff Jul 2022'!P15,0,IF($F$5&lt;=('Tariff Jul 2022'!R15+'Tariff Jul 2022'!P15),(($F$5-'Tariff Jul 2022'!P15)*'Tariff Jul 2022'!Q15/100),(('Tariff Jul 2022'!R15)*'Tariff Jul 2022'!Q15/100))),0)</f>
        <v>0</v>
      </c>
      <c r="F23" s="189">
        <f>IF(AND('Tariff Jul 2022'!Q15&gt;0,'Tariff Jul 2022'!S15&gt;0),IF($F$5&lt;('Tariff Jul 2022'!R15+'Tariff Jul 2022'!P15),0,IF($F$5&lt;=('Tariff Jul 2022'!T15+'Tariff Jul 2022'!R15+'Tariff Jul 2022'!P15),(($F$5-('Tariff Jul 2022'!R15+'Tariff Jul 2022'!P15))*'Tariff Jul 2022'!S15/100),('Tariff Jul 2022'!T15*'Tariff Jul 2022'!S15/100))),0)</f>
        <v>0</v>
      </c>
      <c r="G23" s="188">
        <v>0</v>
      </c>
      <c r="H23" s="188">
        <v>0</v>
      </c>
      <c r="I23" s="189">
        <f>IF('Tariff Jul 2022'!T15&gt;0,IF(($F$5&lt;'Tariff Jul 2022'!T15),(0),($F$5-'Tariff Jul 2022'!T15)*'Tariff Jul 2022'!U15/100),IF(AND('Tariff Jul 2022'!R15&gt;0,'Tariff Jul 2022'!T15=""),IF(($F$5&lt;'Tariff Jul 2022'!R15),(0),($F$5-'Tariff Jul 2022'!R15)*'Tariff Jul 2022'!S15/100),IF(AND('Tariff Jul 2022'!P15&gt;0,'Tariff Jul 2022'!R15=""),IF(($F$5&lt;'Tariff Jul 2022'!P15),(0),($F$5-'Tariff Jul 2022'!P15)*'Tariff Jul 2022'!Q15/100),0)))</f>
        <v>0</v>
      </c>
      <c r="J23" s="188">
        <f t="shared" si="7"/>
        <v>449.12890909090902</v>
      </c>
      <c r="K23" s="283">
        <f t="shared" si="10"/>
        <v>1420.1727272727271</v>
      </c>
      <c r="L23" s="283">
        <f t="shared" si="8"/>
        <v>1796.5156363636361</v>
      </c>
      <c r="M23" s="191">
        <f t="shared" si="9"/>
        <v>1976.1671999999999</v>
      </c>
      <c r="N23" s="187">
        <f>'Tariff Jul 2022'!AZ15</f>
        <v>0</v>
      </c>
      <c r="O23" s="187">
        <f>'Tariff Jul 2022'!BA15</f>
        <v>0</v>
      </c>
      <c r="P23" s="187">
        <f>'Tariff Jul 2022'!BB15</f>
        <v>0</v>
      </c>
      <c r="Q23" s="187">
        <f>'Tariff Jul 2022'!BC15</f>
        <v>0</v>
      </c>
      <c r="R23" s="192">
        <f>($F$6*'Tariff Jul 2022'!AT15/100)*4</f>
        <v>0</v>
      </c>
      <c r="S23" s="193" t="str">
        <f t="shared" si="0"/>
        <v>No discount</v>
      </c>
      <c r="T23" s="193" t="str">
        <f t="shared" si="1"/>
        <v>Exclusive</v>
      </c>
      <c r="U23" s="304">
        <f t="shared" si="2"/>
        <v>1796.5156363636361</v>
      </c>
      <c r="V23" s="283">
        <f t="shared" si="3"/>
        <v>1796.5156363636361</v>
      </c>
      <c r="W23" s="283">
        <f t="shared" si="4"/>
        <v>1796.5156363636361</v>
      </c>
      <c r="X23" s="283">
        <f t="shared" si="5"/>
        <v>1796.5156363636361</v>
      </c>
      <c r="Y23" s="285">
        <f t="shared" si="6"/>
        <v>1976.1671999999999</v>
      </c>
      <c r="Z23" s="285">
        <f t="shared" si="6"/>
        <v>1976.1671999999999</v>
      </c>
      <c r="AA23" s="194">
        <f>'Tariff Jul 2022'!AT15</f>
        <v>0</v>
      </c>
      <c r="AB23" s="195">
        <f>'Tariff Jul 2022'!BL15</f>
        <v>0</v>
      </c>
      <c r="AC23" s="195" t="str">
        <f>'Tariff Jul 2022'!BM15</f>
        <v>n</v>
      </c>
      <c r="AD23" s="196">
        <f>'Tariff Jul 2022'!G15</f>
        <v>43273</v>
      </c>
      <c r="AE23" s="344"/>
      <c r="AF23" s="344"/>
      <c r="AG23" s="344"/>
      <c r="AH23" s="344"/>
      <c r="AI23" s="344"/>
      <c r="AJ23" s="344"/>
      <c r="AK23" s="344"/>
      <c r="AL23" s="344"/>
      <c r="AM23" s="344"/>
      <c r="AN23" s="344"/>
      <c r="AO23" s="344"/>
      <c r="AP23" s="344"/>
      <c r="AQ23" s="344"/>
      <c r="AR23" s="344"/>
      <c r="AS23" s="344"/>
      <c r="AT23" s="344"/>
      <c r="AU23" s="344"/>
      <c r="AV23" s="344"/>
    </row>
    <row r="24" spans="1:48" s="187" customFormat="1" x14ac:dyDescent="0.15">
      <c r="A24" s="186" t="str">
        <f>'Tariff Jul 2022'!K16</f>
        <v>Circular Energy</v>
      </c>
      <c r="B24" s="187" t="str">
        <f>'Tariff Jul 2022'!L16</f>
        <v>Community Energy</v>
      </c>
      <c r="C24" s="188">
        <f>IF('Tariff Jul 2022'!BP16=0,91*'Tariff Jul 2022'!M16/100,(91*'Tariff Jul 2022'!M16/100)+'Tariff Jul 2022'!BP16/4)</f>
        <v>102.8090909090909</v>
      </c>
      <c r="D24" s="188">
        <f>IF('Tariff Jul 2022'!O16="",$F$5*'Tariff Jul 2022'!N16/100,IF($F$5&gt;='Tariff Jul 2022'!P16,('Tariff Jul 2022'!P16*'Tariff Jul 2022'!N16/100),($F$5*'Tariff Jul 2022'!N16/100)))</f>
        <v>291.82520727272725</v>
      </c>
      <c r="E24" s="188">
        <f>IF(AND('Tariff Jul 2022'!P16&gt;0,'Tariff Jul 2022'!R16&gt;0),IF($F$5&lt;'Tariff Jul 2022'!P16,0,IF($F$5&lt;=('Tariff Jul 2022'!R16+'Tariff Jul 2022'!P16),(($F$5-'Tariff Jul 2022'!P16)*'Tariff Jul 2022'!Q16/100),(('Tariff Jul 2022'!R16)*'Tariff Jul 2022'!Q16/100))),0)</f>
        <v>0</v>
      </c>
      <c r="F24" s="189">
        <f>IF(AND('Tariff Jul 2022'!Q16&gt;0,'Tariff Jul 2022'!S16&gt;0),IF($F$5&lt;('Tariff Jul 2022'!R16+'Tariff Jul 2022'!P16),0,IF($F$5&lt;=('Tariff Jul 2022'!T16+'Tariff Jul 2022'!R16+'Tariff Jul 2022'!P16),(($F$5-('Tariff Jul 2022'!R16+'Tariff Jul 2022'!P16))*'Tariff Jul 2022'!S16/100),('Tariff Jul 2022'!T16*'Tariff Jul 2022'!S16/100))),0)</f>
        <v>0</v>
      </c>
      <c r="G24" s="188">
        <v>0</v>
      </c>
      <c r="H24" s="188">
        <v>0</v>
      </c>
      <c r="I24" s="189">
        <f>IF('Tariff Jul 2022'!T16&gt;0,IF(($F$5&lt;'Tariff Jul 2022'!T16),(0),($F$5-'Tariff Jul 2022'!T16)*'Tariff Jul 2022'!U16/100),IF(AND('Tariff Jul 2022'!R16&gt;0,'Tariff Jul 2022'!T16=""),IF(($F$5&lt;'Tariff Jul 2022'!R16),(0),($F$5-'Tariff Jul 2022'!R16)*'Tariff Jul 2022'!S16/100),IF(AND('Tariff Jul 2022'!P16&gt;0,'Tariff Jul 2022'!R16=""),IF(($F$5&lt;'Tariff Jul 2022'!P16),(0),($F$5-'Tariff Jul 2022'!P16)*'Tariff Jul 2022'!Q16/100),0)))</f>
        <v>0</v>
      </c>
      <c r="J24" s="188">
        <f t="shared" si="7"/>
        <v>394.63429818181817</v>
      </c>
      <c r="K24" s="283">
        <f t="shared" si="10"/>
        <v>1167.300829090909</v>
      </c>
      <c r="L24" s="283">
        <f t="shared" si="8"/>
        <v>1578.5371927272727</v>
      </c>
      <c r="M24" s="191">
        <f t="shared" si="9"/>
        <v>1736.3909120000001</v>
      </c>
      <c r="N24" s="187">
        <f>'Tariff Jul 2022'!AZ16</f>
        <v>0</v>
      </c>
      <c r="O24" s="187">
        <f>'Tariff Jul 2022'!BA16</f>
        <v>0</v>
      </c>
      <c r="P24" s="187">
        <f>'Tariff Jul 2022'!BB16</f>
        <v>0</v>
      </c>
      <c r="Q24" s="187">
        <f>'Tariff Jul 2022'!BC16</f>
        <v>0</v>
      </c>
      <c r="R24" s="192">
        <f>($F$6*'Tariff Jul 2022'!AT16/100)*4</f>
        <v>182.75039999999998</v>
      </c>
      <c r="S24" s="193" t="str">
        <f t="shared" si="0"/>
        <v>No discount</v>
      </c>
      <c r="T24" s="193" t="str">
        <f t="shared" si="1"/>
        <v>Exclusive</v>
      </c>
      <c r="U24" s="304">
        <f t="shared" si="2"/>
        <v>1578.5371927272727</v>
      </c>
      <c r="V24" s="283">
        <f t="shared" si="3"/>
        <v>1578.5371927272727</v>
      </c>
      <c r="W24" s="283">
        <f t="shared" si="4"/>
        <v>1395.7867927272728</v>
      </c>
      <c r="X24" s="283">
        <f t="shared" si="5"/>
        <v>1395.7867927272728</v>
      </c>
      <c r="Y24" s="285">
        <f t="shared" si="6"/>
        <v>1535.3654720000002</v>
      </c>
      <c r="Z24" s="285">
        <f t="shared" si="6"/>
        <v>1535.3654720000002</v>
      </c>
      <c r="AA24" s="194">
        <f>'Tariff Jul 2022'!AT16</f>
        <v>7</v>
      </c>
      <c r="AB24" s="195">
        <f>'Tariff Jul 2022'!BL16</f>
        <v>0</v>
      </c>
      <c r="AC24" s="195" t="str">
        <f>'Tariff Jul 2022'!BM16</f>
        <v>n</v>
      </c>
      <c r="AD24" s="196">
        <f>'Tariff Jul 2022'!G16</f>
        <v>43281</v>
      </c>
      <c r="AE24" s="344"/>
      <c r="AF24" s="344"/>
      <c r="AG24" s="344"/>
      <c r="AH24" s="344"/>
      <c r="AI24" s="344"/>
      <c r="AJ24" s="344"/>
      <c r="AK24" s="344"/>
      <c r="AL24" s="344"/>
      <c r="AM24" s="344"/>
      <c r="AN24" s="344"/>
      <c r="AO24" s="344"/>
      <c r="AP24" s="344"/>
      <c r="AQ24" s="344"/>
      <c r="AR24" s="344"/>
      <c r="AS24" s="344"/>
      <c r="AT24" s="344"/>
      <c r="AU24" s="344"/>
      <c r="AV24" s="344"/>
    </row>
    <row r="25" spans="1:48" s="187" customFormat="1" x14ac:dyDescent="0.15">
      <c r="A25" s="344"/>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c r="AT25" s="344"/>
      <c r="AU25" s="344"/>
      <c r="AV25" s="344"/>
    </row>
    <row r="26" spans="1:48" s="187" customFormat="1" ht="15" thickBot="1" x14ac:dyDescent="0.2">
      <c r="A26" s="344"/>
      <c r="B26" s="344"/>
      <c r="C26" s="344"/>
      <c r="D26" s="344"/>
      <c r="E26" s="344"/>
      <c r="F26" s="344"/>
      <c r="G26" s="344"/>
      <c r="H26" s="344"/>
      <c r="I26" s="344"/>
      <c r="J26" s="344"/>
      <c r="K26" s="344"/>
      <c r="L26" s="344"/>
      <c r="M26" s="344"/>
      <c r="N26" s="344"/>
      <c r="O26" s="344"/>
      <c r="P26" s="344"/>
      <c r="Q26" s="344"/>
      <c r="R26" s="344"/>
      <c r="S26" s="344"/>
      <c r="T26" s="344"/>
      <c r="U26" s="344"/>
      <c r="V26" s="344"/>
      <c r="W26" s="344"/>
      <c r="X26" s="344"/>
      <c r="Y26" s="344"/>
      <c r="Z26" s="344"/>
      <c r="AA26" s="344"/>
      <c r="AB26" s="344"/>
      <c r="AC26" s="344"/>
      <c r="AD26" s="344"/>
      <c r="AE26" s="344"/>
      <c r="AF26" s="344"/>
      <c r="AG26" s="344"/>
      <c r="AH26" s="344"/>
      <c r="AI26" s="344"/>
      <c r="AJ26" s="344"/>
      <c r="AK26" s="344"/>
      <c r="AL26" s="344"/>
      <c r="AM26" s="344"/>
      <c r="AN26" s="344"/>
      <c r="AO26" s="344"/>
      <c r="AP26" s="344"/>
      <c r="AQ26" s="344"/>
      <c r="AR26" s="344"/>
      <c r="AS26" s="344"/>
      <c r="AT26" s="344"/>
      <c r="AU26" s="344"/>
      <c r="AV26" s="344"/>
    </row>
    <row r="27" spans="1:48" s="187" customFormat="1" x14ac:dyDescent="0.15">
      <c r="A27" s="336" t="s">
        <v>154</v>
      </c>
      <c r="B27" s="337"/>
      <c r="C27" s="338"/>
      <c r="D27" s="338"/>
      <c r="E27" s="338"/>
      <c r="F27" s="338"/>
      <c r="G27" s="339"/>
      <c r="H27" s="339"/>
      <c r="I27" s="337"/>
      <c r="J27" s="337"/>
      <c r="K27" s="339"/>
      <c r="L27" s="337"/>
      <c r="M27" s="337"/>
      <c r="N27" s="337"/>
      <c r="O27" s="337"/>
      <c r="P27" s="337"/>
      <c r="Q27" s="337"/>
      <c r="R27" s="337"/>
      <c r="S27" s="337"/>
      <c r="T27" s="337"/>
      <c r="U27" s="337"/>
      <c r="V27" s="337"/>
      <c r="W27" s="337"/>
      <c r="X27" s="337"/>
      <c r="Y27" s="337"/>
      <c r="Z27" s="337"/>
      <c r="AA27" s="337"/>
      <c r="AB27" s="337"/>
      <c r="AC27" s="337"/>
      <c r="AD27" s="268"/>
      <c r="AE27" s="344"/>
      <c r="AF27" s="344"/>
      <c r="AG27" s="344"/>
      <c r="AH27" s="344"/>
      <c r="AI27" s="344"/>
      <c r="AJ27" s="344"/>
      <c r="AK27" s="344"/>
      <c r="AL27" s="344"/>
      <c r="AM27" s="344"/>
      <c r="AN27" s="344"/>
      <c r="AO27" s="344"/>
      <c r="AP27" s="344"/>
      <c r="AQ27" s="344"/>
      <c r="AR27" s="344"/>
      <c r="AS27" s="344"/>
      <c r="AT27" s="344"/>
      <c r="AU27" s="344"/>
      <c r="AV27" s="344"/>
    </row>
    <row r="28" spans="1:48" s="187" customFormat="1" ht="90" x14ac:dyDescent="0.15">
      <c r="A28" s="271" t="s">
        <v>231</v>
      </c>
      <c r="B28" s="272" t="s">
        <v>243</v>
      </c>
      <c r="C28" s="279" t="s">
        <v>244</v>
      </c>
      <c r="D28" s="279" t="s">
        <v>227</v>
      </c>
      <c r="E28" s="279" t="s">
        <v>357</v>
      </c>
      <c r="F28" s="279" t="s">
        <v>358</v>
      </c>
      <c r="G28" s="279" t="s">
        <v>329</v>
      </c>
      <c r="H28" s="279" t="s">
        <v>222</v>
      </c>
      <c r="I28" s="279" t="s">
        <v>223</v>
      </c>
      <c r="J28" s="273" t="s">
        <v>799</v>
      </c>
      <c r="K28" s="280" t="s">
        <v>246</v>
      </c>
      <c r="L28" s="280" t="s">
        <v>247</v>
      </c>
      <c r="M28" s="274" t="s">
        <v>636</v>
      </c>
      <c r="N28" s="275" t="s">
        <v>249</v>
      </c>
      <c r="O28" s="275" t="s">
        <v>250</v>
      </c>
      <c r="P28" s="275" t="s">
        <v>251</v>
      </c>
      <c r="Q28" s="275" t="s">
        <v>365</v>
      </c>
      <c r="R28" s="276" t="s">
        <v>373</v>
      </c>
      <c r="S28" s="281" t="s">
        <v>637</v>
      </c>
      <c r="T28" s="281" t="s">
        <v>638</v>
      </c>
      <c r="U28" s="282" t="s">
        <v>255</v>
      </c>
      <c r="V28" s="282" t="s">
        <v>224</v>
      </c>
      <c r="W28" s="282" t="s">
        <v>374</v>
      </c>
      <c r="X28" s="282" t="s">
        <v>375</v>
      </c>
      <c r="Y28" s="276" t="s">
        <v>376</v>
      </c>
      <c r="Z28" s="276" t="s">
        <v>436</v>
      </c>
      <c r="AA28" s="275" t="s">
        <v>155</v>
      </c>
      <c r="AB28" s="275" t="s">
        <v>225</v>
      </c>
      <c r="AC28" s="275" t="s">
        <v>226</v>
      </c>
      <c r="AD28" s="277" t="s">
        <v>221</v>
      </c>
      <c r="AE28" s="344"/>
      <c r="AF28" s="344"/>
      <c r="AG28" s="344"/>
      <c r="AH28" s="344"/>
      <c r="AI28" s="344"/>
      <c r="AJ28" s="344"/>
      <c r="AK28" s="344"/>
      <c r="AL28" s="344"/>
      <c r="AM28" s="344"/>
      <c r="AN28" s="344"/>
      <c r="AO28" s="344"/>
      <c r="AP28" s="344"/>
      <c r="AQ28" s="344"/>
      <c r="AR28" s="344"/>
      <c r="AS28" s="344"/>
      <c r="AT28" s="344"/>
      <c r="AU28" s="344"/>
      <c r="AV28" s="344"/>
    </row>
    <row r="29" spans="1:48" s="187" customFormat="1" x14ac:dyDescent="0.15">
      <c r="A29" s="186" t="str">
        <f>'Tariff Jul 2022'!K17</f>
        <v>AGL</v>
      </c>
      <c r="B29" s="187" t="str">
        <f>'Tariff Jul 2022'!L17</f>
        <v>Solar Savers</v>
      </c>
      <c r="C29" s="208">
        <f>IF('Tariff Jul 2022'!BP17=0,91*'Tariff Jul 2022'!M17/100,(91*'Tariff Jul 2022'!M17/100)+'Tariff Jul 2022'!BP17/4)</f>
        <v>85.705454545454543</v>
      </c>
      <c r="D29" s="208">
        <f>IF('Tariff Jul 2022'!O17="",$H$5*'Tariff Jul 2022'!N17/100,IF($H$5&gt;='Tariff Jul 2022'!P17,('Tariff Jul 2022'!P17*'Tariff Jul 2022'!N17/100),($H$5*'Tariff Jul 2022'!N17/100)))</f>
        <v>237.2256523636363</v>
      </c>
      <c r="E29" s="208">
        <f>IF(AND('Tariff Jul 2022'!P17&gt;0,'Tariff Jul 2022'!R17&gt;0),IF($H$5&lt;'Tariff Jul 2022'!P17,0,IF($H$5&lt;=('Tariff Jul 2022'!R17+'Tariff Jul 2022'!P17),(($H$5-'Tariff Jul 2022'!P17)*'Tariff Jul 2022'!Q17/100),(('Tariff Jul 2022'!R17)*'Tariff Jul 2022'!Q17/100))),0)</f>
        <v>0</v>
      </c>
      <c r="F29" s="208">
        <f>IF(AND('Tariff Jul 2022'!Q17&gt;0,'Tariff Jul 2022'!S17&gt;0),IF($H$5&lt;('Tariff Jul 2022'!R17+'Tariff Jul 2022'!P17),0,IF($H$5&lt;=('Tariff Jul 2022'!T17+'Tariff Jul 2022'!R17+'Tariff Jul 2022'!P17),(($H$5-('Tariff Jul 2022'!R17+'Tariff Jul 2022'!P17))*'Tariff Jul 2022'!S17/100),('Tariff Jul 2022'!T17*'Tariff Jul 2022'!S17/100))),0)</f>
        <v>0</v>
      </c>
      <c r="G29" s="208">
        <f>IF('Tariff Jul 2022'!T17&gt;0,IF(($H$5&lt;'Tariff Jul 2022'!T17),(0),($H$5-'Tariff Jul 2022'!T17)*'Tariff Jul 2022'!U17/100),IF(AND('Tariff Jul 2022'!R17&gt;0,'Tariff Jul 2022'!T17=""),IF(($H$5&lt;'Tariff Jul 2022'!R17),(0),($H$5-'Tariff Jul 2022'!R17)*'Tariff Jul 2022'!S17/100),IF(AND('Tariff Jul 2022'!P17&gt;0,'Tariff Jul 2022'!R17=""),IF(($H$5&lt;'Tariff Jul 2022'!P17),(0),($H$5-'Tariff Jul 2022'!P17)*'Tariff Jul 2022'!Q17/100),0)))</f>
        <v>0</v>
      </c>
      <c r="H29" s="208">
        <f>($I$5)*'Tariff Jul 2022'!AE17/100</f>
        <v>32.62339636363636</v>
      </c>
      <c r="I29" s="208">
        <v>0</v>
      </c>
      <c r="J29" s="208">
        <f>SUM(C29:I29)</f>
        <v>355.55450327272717</v>
      </c>
      <c r="K29" s="283">
        <f>(J29-C29)*4</f>
        <v>1079.3961949090906</v>
      </c>
      <c r="L29" s="283">
        <f>J29*4</f>
        <v>1422.2180130909087</v>
      </c>
      <c r="M29" s="191">
        <f>L29*1.1</f>
        <v>1564.4398143999997</v>
      </c>
      <c r="N29" s="187">
        <f>'Tariff Jul 2022'!AZ17</f>
        <v>0</v>
      </c>
      <c r="O29" s="187">
        <f>'Tariff Jul 2022'!BA17</f>
        <v>0</v>
      </c>
      <c r="P29" s="187">
        <f>'Tariff Jul 2022'!BB17</f>
        <v>0</v>
      </c>
      <c r="Q29" s="187">
        <f>'Tariff Jul 2022'!BC17</f>
        <v>0</v>
      </c>
      <c r="R29" s="192">
        <f>($F$6*'Tariff Jul 2022'!AT17/100)*4</f>
        <v>261.07199999999995</v>
      </c>
      <c r="S29" s="193" t="str">
        <f t="shared" ref="S29:S43" si="11">IF(SUM(N29:Q29)=0,"No discount",IF(N29&gt;0,"Guaranteed off bill",IF(O29&gt;0,"Guaranteed off usage",IF(P29&gt;0,"Pay-on-time off bill","Pay-on-time off usage"))))</f>
        <v>No discount</v>
      </c>
      <c r="T29" s="193" t="str">
        <f t="shared" ref="T29:T43" si="12">IF(OR(A29="Origin Energy",A29="Red Energy",A29="Powershop"),"Inclusive","Exclusive")</f>
        <v>Exclusive</v>
      </c>
      <c r="U29" s="304">
        <f t="shared" ref="U29:U43" si="13">IF(AND(S29="Guaranteed off bill",T29="Inclusive"),((L29*1.1)-((L29*1.1)*N29/100))/1.1,IF(AND(S29="Guaranteed off usage",T29="Inclusive"),((L29*1.1)-((K29*1.1)*O29/100))/1.1,IF(AND(S29="Guaranteed off bill",T29="Exclusive"),L29-(L29*N29/100),IF(AND(S29="Guaranteed off usage",T29="Exclusive"),L29-(K29*O29/100),IF(T29="Inclusive",((L29*1.1))/1.1,L29)))))</f>
        <v>1422.2180130909087</v>
      </c>
      <c r="V29" s="283">
        <f t="shared" ref="V29:V43" si="14">IF(AND(S29="Pay-on-time off bill",T29="Inclusive"),((U29*1.1)-((U29*1.1)*P29/100))/1.1,IF(AND(S29="Pay-on-time off usage",T29="Inclusive"),((U29*1.1)-((K29*1.1)*Q29/100))/1.1,IF(AND(S29="Pay-on-time off bill",T29="Exclusive"),U29-(U29*P29/100),IF(AND(S29="Pay-on-time off usage",T29="Exclusive"),U29-(K29*Q29/100),IF(T29="Inclusive",((U29*1.1))/1.1,U29)))))</f>
        <v>1422.2180130909087</v>
      </c>
      <c r="W29" s="283">
        <f t="shared" ref="W29:W43" si="15">U29-R29</f>
        <v>1161.1460130909088</v>
      </c>
      <c r="X29" s="283">
        <f t="shared" ref="X29:X43" si="16">V29-R29</f>
        <v>1161.1460130909088</v>
      </c>
      <c r="Y29" s="285">
        <f t="shared" ref="Y29:Z43" si="17">W29*1.1</f>
        <v>1277.2606143999999</v>
      </c>
      <c r="Z29" s="285">
        <f t="shared" si="17"/>
        <v>1277.2606143999999</v>
      </c>
      <c r="AA29" s="194">
        <f>'Tariff Jul 2022'!AT14</f>
        <v>2.06</v>
      </c>
      <c r="AB29" s="195">
        <f>'Tariff Jul 2022'!BL17</f>
        <v>0</v>
      </c>
      <c r="AC29" s="195" t="str">
        <f>'Tariff Jul 2022'!BM17</f>
        <v>n</v>
      </c>
      <c r="AD29" s="196">
        <f>'Tariff Jul 2022'!G17</f>
        <v>43284</v>
      </c>
      <c r="AE29" s="344"/>
      <c r="AF29" s="344"/>
      <c r="AG29" s="344"/>
      <c r="AH29" s="344"/>
      <c r="AI29" s="344"/>
      <c r="AJ29" s="344"/>
      <c r="AK29" s="344"/>
      <c r="AL29" s="344"/>
      <c r="AM29" s="344"/>
      <c r="AN29" s="344"/>
      <c r="AO29" s="344"/>
      <c r="AP29" s="344"/>
      <c r="AQ29" s="344"/>
      <c r="AR29" s="344"/>
      <c r="AS29" s="344"/>
      <c r="AT29" s="344"/>
      <c r="AU29" s="344"/>
      <c r="AV29" s="344"/>
    </row>
    <row r="30" spans="1:48" s="187" customFormat="1" x14ac:dyDescent="0.15">
      <c r="A30" s="186" t="str">
        <f>'Tariff Jul 2022'!K18</f>
        <v>Alinta Energy</v>
      </c>
      <c r="B30" s="187" t="str">
        <f>'Tariff Jul 2022'!L18</f>
        <v>Home Deal</v>
      </c>
      <c r="C30" s="208">
        <f>IF('Tariff Jul 2022'!BP18=0,91*'Tariff Jul 2022'!M18/100,(91*'Tariff Jul 2022'!M18/100)+'Tariff Jul 2022'!BP18/4)</f>
        <v>82.528727272727266</v>
      </c>
      <c r="D30" s="208">
        <f>IF('Tariff Jul 2022'!O18="",$H$5*'Tariff Jul 2022'!N18/100,IF($H$5&gt;='Tariff Jul 2022'!P18,('Tariff Jul 2022'!P18*'Tariff Jul 2022'!N18/100),($H$5*'Tariff Jul 2022'!N18/100)))</f>
        <v>233.33032145454538</v>
      </c>
      <c r="E30" s="208">
        <f>IF(AND('Tariff Jul 2022'!P18&gt;0,'Tariff Jul 2022'!R18&gt;0),IF($H$5&lt;'Tariff Jul 2022'!P18,0,IF($H$5&lt;=('Tariff Jul 2022'!R18+'Tariff Jul 2022'!P18),(($H$5-'Tariff Jul 2022'!P18)*'Tariff Jul 2022'!Q18/100),(('Tariff Jul 2022'!R18)*'Tariff Jul 2022'!Q18/100))),0)</f>
        <v>0</v>
      </c>
      <c r="F30" s="208">
        <f>IF(AND('Tariff Jul 2022'!Q18&gt;0,'Tariff Jul 2022'!S18&gt;0),IF($H$5&lt;('Tariff Jul 2022'!R18+'Tariff Jul 2022'!P18),0,IF($H$5&lt;=('Tariff Jul 2022'!T18+'Tariff Jul 2022'!R18+'Tariff Jul 2022'!P18),(($H$5-('Tariff Jul 2022'!R18+'Tariff Jul 2022'!P18))*'Tariff Jul 2022'!S18/100),('Tariff Jul 2022'!T18*'Tariff Jul 2022'!S18/100))),0)</f>
        <v>0</v>
      </c>
      <c r="G30" s="208">
        <f>IF('Tariff Jul 2022'!T18&gt;0,IF(($H$5&lt;'Tariff Jul 2022'!T18),(0),($H$5-'Tariff Jul 2022'!T18)*'Tariff Jul 2022'!U18/100),IF(AND('Tariff Jul 2022'!R18&gt;0,'Tariff Jul 2022'!T18=""),IF(($H$5&lt;'Tariff Jul 2022'!R18),(0),($H$5-'Tariff Jul 2022'!R18)*'Tariff Jul 2022'!S18/100),IF(AND('Tariff Jul 2022'!P18&gt;0,'Tariff Jul 2022'!R18=""),IF(($H$5&lt;'Tariff Jul 2022'!P18),(0),($H$5-'Tariff Jul 2022'!P18)*'Tariff Jul 2022'!Q18/100),0)))</f>
        <v>0</v>
      </c>
      <c r="H30" s="208">
        <f>($I$5)*'Tariff Jul 2022'!AE18/100</f>
        <v>31.941713454545447</v>
      </c>
      <c r="I30" s="208">
        <f>IF((I5&lt;'Tariff Jul 2022'!AF18),(0),(I5-'Tariff Jul 2022'!AF18)*'Tariff Jul 2022'!AG18/100)</f>
        <v>0</v>
      </c>
      <c r="J30" s="208">
        <f t="shared" ref="J30:J41" si="18">SUM(C30:I30)</f>
        <v>347.80076218181807</v>
      </c>
      <c r="K30" s="283">
        <f>(J30-C30)*4</f>
        <v>1061.0881396363632</v>
      </c>
      <c r="L30" s="283">
        <f t="shared" ref="L30:L43" si="19">J30*4</f>
        <v>1391.2030487272723</v>
      </c>
      <c r="M30" s="191">
        <f t="shared" ref="M30:M43" si="20">L30*1.1</f>
        <v>1530.3233535999996</v>
      </c>
      <c r="N30" s="187">
        <f>'Tariff Jul 2022'!AZ18</f>
        <v>0</v>
      </c>
      <c r="O30" s="187">
        <f>'Tariff Jul 2022'!BA18</f>
        <v>0</v>
      </c>
      <c r="P30" s="187">
        <f>'Tariff Jul 2022'!BB18</f>
        <v>0</v>
      </c>
      <c r="Q30" s="187">
        <f>'Tariff Jul 2022'!BC18</f>
        <v>0</v>
      </c>
      <c r="R30" s="192">
        <f>($F$6*'Tariff Jul 2022'!AT18/100)*4</f>
        <v>208.85759999999999</v>
      </c>
      <c r="S30" s="193" t="str">
        <f t="shared" si="11"/>
        <v>No discount</v>
      </c>
      <c r="T30" s="193" t="str">
        <f t="shared" si="12"/>
        <v>Exclusive</v>
      </c>
      <c r="U30" s="304">
        <f t="shared" si="13"/>
        <v>1391.2030487272723</v>
      </c>
      <c r="V30" s="283">
        <f t="shared" si="14"/>
        <v>1391.2030487272723</v>
      </c>
      <c r="W30" s="283">
        <f t="shared" si="15"/>
        <v>1182.3454487272722</v>
      </c>
      <c r="X30" s="283">
        <f t="shared" si="16"/>
        <v>1182.3454487272722</v>
      </c>
      <c r="Y30" s="285">
        <f t="shared" si="17"/>
        <v>1300.5799935999996</v>
      </c>
      <c r="Z30" s="285">
        <f t="shared" si="17"/>
        <v>1300.5799935999996</v>
      </c>
      <c r="AA30" s="194">
        <f>'Tariff Jul 2022'!AT17</f>
        <v>10</v>
      </c>
      <c r="AB30" s="195">
        <f>'Tariff Jul 2022'!BL18</f>
        <v>0</v>
      </c>
      <c r="AC30" s="195" t="str">
        <f>'Tariff Jul 2022'!BM18</f>
        <v>n</v>
      </c>
      <c r="AD30" s="196">
        <f>'Tariff Jul 2022'!G18</f>
        <v>43299</v>
      </c>
      <c r="AE30" s="344"/>
      <c r="AF30" s="344"/>
      <c r="AG30" s="344"/>
      <c r="AH30" s="344"/>
      <c r="AI30" s="344"/>
      <c r="AJ30" s="344"/>
      <c r="AK30" s="344"/>
      <c r="AL30" s="344"/>
      <c r="AM30" s="344"/>
      <c r="AN30" s="344"/>
      <c r="AO30" s="344"/>
      <c r="AP30" s="344"/>
      <c r="AQ30" s="344"/>
      <c r="AR30" s="344"/>
      <c r="AS30" s="344"/>
      <c r="AT30" s="344"/>
      <c r="AU30" s="344"/>
      <c r="AV30" s="344"/>
    </row>
    <row r="31" spans="1:48" s="187" customFormat="1" x14ac:dyDescent="0.15">
      <c r="A31" s="186" t="str">
        <f>'Tariff Jul 2022'!K19</f>
        <v>Diamond Energy</v>
      </c>
      <c r="B31" s="187" t="str">
        <f>'Tariff Jul 2022'!L19</f>
        <v>Renewable Saver</v>
      </c>
      <c r="C31" s="208">
        <f>IF('Tariff Jul 2022'!BP19=0,91*'Tariff Jul 2022'!M19/100,(91*'Tariff Jul 2022'!M19/100)+'Tariff Jul 2022'!BP19/4)</f>
        <v>72.8</v>
      </c>
      <c r="D31" s="208">
        <f>IF('Tariff Jul 2022'!O19="",$H$5*'Tariff Jul 2022'!N19/100,IF($H$5&gt;='Tariff Jul 2022'!P19,('Tariff Jul 2022'!P19*'Tariff Jul 2022'!N19/100),($H$5*'Tariff Jul 2022'!N19/100)))</f>
        <v>98.999999999999986</v>
      </c>
      <c r="E31" s="208">
        <f>IF(AND('Tariff Jul 2022'!P19&gt;0,'Tariff Jul 2022'!R19&gt;0),IF($H$5&lt;'Tariff Jul 2022'!P19,0,IF($H$5&lt;=('Tariff Jul 2022'!R19+'Tariff Jul 2022'!P19),(($H$5-'Tariff Jul 2022'!P19)*'Tariff Jul 2022'!Q19/100),(('Tariff Jul 2022'!R19)*'Tariff Jul 2022'!Q19/100))),0)</f>
        <v>145.59044072727269</v>
      </c>
      <c r="F31" s="208">
        <f>IF(AND('Tariff Jul 2022'!Q19&gt;0,'Tariff Jul 2022'!S19&gt;0),IF($H$5&lt;('Tariff Jul 2022'!R19+'Tariff Jul 2022'!P19),0,IF($H$5&lt;=('Tariff Jul 2022'!T19+'Tariff Jul 2022'!R19+'Tariff Jul 2022'!P19),(($H$5-('Tariff Jul 2022'!R19+'Tariff Jul 2022'!P19))*'Tariff Jul 2022'!S19/100),('Tariff Jul 2022'!T19*'Tariff Jul 2022'!S19/100))),0)</f>
        <v>0</v>
      </c>
      <c r="G31" s="208">
        <f>IF('Tariff Jul 2022'!T19&gt;0,IF(($H$5&lt;'Tariff Jul 2022'!T19),(0),($H$5-'Tariff Jul 2022'!T19)*'Tariff Jul 2022'!U19/100),IF(AND('Tariff Jul 2022'!R19&gt;0,'Tariff Jul 2022'!T19=""),IF(($H$5&lt;'Tariff Jul 2022'!R19),(0),($H$5-'Tariff Jul 2022'!R19)*'Tariff Jul 2022'!S19/100),IF(AND('Tariff Jul 2022'!P19&gt;0,'Tariff Jul 2022'!R19=""),IF(($H$5&lt;'Tariff Jul 2022'!P19),(0),($H$5-'Tariff Jul 2022'!P19)*'Tariff Jul 2022'!Q19/100),0)))</f>
        <v>0</v>
      </c>
      <c r="H31" s="208">
        <f>($I$5)*'Tariff Jul 2022'!AE19/100</f>
        <v>31.308722181818176</v>
      </c>
      <c r="I31" s="208">
        <v>0</v>
      </c>
      <c r="J31" s="208">
        <f t="shared" si="18"/>
        <v>348.69916290909083</v>
      </c>
      <c r="K31" s="283">
        <f t="shared" ref="K31:K43" si="21">(J31-C31)*4</f>
        <v>1103.5966516363633</v>
      </c>
      <c r="L31" s="283">
        <f t="shared" si="19"/>
        <v>1394.7966516363633</v>
      </c>
      <c r="M31" s="191">
        <f t="shared" si="20"/>
        <v>1534.2763167999997</v>
      </c>
      <c r="N31" s="187">
        <f>'Tariff Jul 2022'!AZ19</f>
        <v>0</v>
      </c>
      <c r="O31" s="187">
        <f>'Tariff Jul 2022'!BA19</f>
        <v>0</v>
      </c>
      <c r="P31" s="187">
        <f>'Tariff Jul 2022'!BB19</f>
        <v>2</v>
      </c>
      <c r="Q31" s="187">
        <f>'Tariff Jul 2022'!BC19</f>
        <v>0</v>
      </c>
      <c r="R31" s="192">
        <f>($F$6*'Tariff Jul 2022'!AT19/100)*4</f>
        <v>135.75743999999997</v>
      </c>
      <c r="S31" s="193" t="str">
        <f t="shared" si="11"/>
        <v>Pay-on-time off bill</v>
      </c>
      <c r="T31" s="193" t="str">
        <f t="shared" si="12"/>
        <v>Exclusive</v>
      </c>
      <c r="U31" s="304">
        <f t="shared" si="13"/>
        <v>1394.7966516363633</v>
      </c>
      <c r="V31" s="283">
        <f t="shared" si="14"/>
        <v>1366.9007186036361</v>
      </c>
      <c r="W31" s="283">
        <f t="shared" si="15"/>
        <v>1259.0392116363632</v>
      </c>
      <c r="X31" s="283">
        <f t="shared" si="16"/>
        <v>1231.1432786036362</v>
      </c>
      <c r="Y31" s="285">
        <f t="shared" si="17"/>
        <v>1384.9431327999996</v>
      </c>
      <c r="Z31" s="285">
        <f t="shared" si="17"/>
        <v>1354.257606464</v>
      </c>
      <c r="AA31" s="194">
        <f>'Tariff Jul 2022'!AT18</f>
        <v>8</v>
      </c>
      <c r="AB31" s="195">
        <f>'Tariff Jul 2022'!BL19</f>
        <v>0</v>
      </c>
      <c r="AC31" s="195" t="str">
        <f>'Tariff Jul 2022'!BM19</f>
        <v>n</v>
      </c>
      <c r="AD31" s="196">
        <f>'Tariff Jul 2022'!G19</f>
        <v>43281</v>
      </c>
      <c r="AE31" s="344"/>
      <c r="AF31" s="344"/>
      <c r="AG31" s="344"/>
      <c r="AH31" s="344"/>
      <c r="AI31" s="344"/>
      <c r="AJ31" s="344"/>
      <c r="AK31" s="344"/>
      <c r="AL31" s="344"/>
      <c r="AM31" s="344"/>
      <c r="AN31" s="344"/>
      <c r="AO31" s="344"/>
      <c r="AP31" s="344"/>
      <c r="AQ31" s="344"/>
      <c r="AR31" s="344"/>
      <c r="AS31" s="344"/>
      <c r="AT31" s="344"/>
      <c r="AU31" s="344"/>
      <c r="AV31" s="344"/>
    </row>
    <row r="32" spans="1:48" s="187" customFormat="1" x14ac:dyDescent="0.15">
      <c r="A32" s="186" t="str">
        <f>'Tariff Jul 2022'!K20</f>
        <v>EnergyAustralia</v>
      </c>
      <c r="B32" s="187" t="str">
        <f>'Tariff Jul 2022'!L20</f>
        <v>Solar Max</v>
      </c>
      <c r="C32" s="208">
        <f>IF('Tariff Jul 2022'!BP20=0,91*'Tariff Jul 2022'!M20/100,(91*'Tariff Jul 2022'!M20/100)+'Tariff Jul 2022'!BP20/4)</f>
        <v>76.894999999999996</v>
      </c>
      <c r="D32" s="208">
        <f>IF('Tariff Jul 2022'!O20="",$H$5*'Tariff Jul 2022'!N20/100,IF($H$5&gt;='Tariff Jul 2022'!P20,('Tariff Jul 2022'!P20*'Tariff Jul 2022'!N20/100),($H$5*'Tariff Jul 2022'!N20/100)))</f>
        <v>243.58802618181812</v>
      </c>
      <c r="E32" s="208">
        <f>IF(AND('Tariff Jul 2022'!P20&gt;0,'Tariff Jul 2022'!R20&gt;0),IF($H$5&lt;'Tariff Jul 2022'!P20,0,IF($H$5&lt;=('Tariff Jul 2022'!R20+'Tariff Jul 2022'!P20),(($H$5-'Tariff Jul 2022'!P20)*'Tariff Jul 2022'!Q20/100),(('Tariff Jul 2022'!R20)*'Tariff Jul 2022'!Q20/100))),0)</f>
        <v>0</v>
      </c>
      <c r="F32" s="208">
        <f>IF(AND('Tariff Jul 2022'!Q20&gt;0,'Tariff Jul 2022'!S20&gt;0),IF($H$5&lt;('Tariff Jul 2022'!R20+'Tariff Jul 2022'!P20),0,IF($H$5&lt;=('Tariff Jul 2022'!T20+'Tariff Jul 2022'!R20+'Tariff Jul 2022'!P20),(($H$5-('Tariff Jul 2022'!R20+'Tariff Jul 2022'!P20))*'Tariff Jul 2022'!S20/100),('Tariff Jul 2022'!T20*'Tariff Jul 2022'!S20/100))),0)</f>
        <v>0</v>
      </c>
      <c r="G32" s="208">
        <f>IF('Tariff Jul 2022'!T20&gt;0,IF(($H$5&lt;'Tariff Jul 2022'!T20),(0),($H$5-'Tariff Jul 2022'!T20)*'Tariff Jul 2022'!U20/100),IF(AND('Tariff Jul 2022'!R20&gt;0,'Tariff Jul 2022'!T20=""),IF(($H$5&lt;'Tariff Jul 2022'!R20),(0),($H$5-'Tariff Jul 2022'!R20)*'Tariff Jul 2022'!S20/100),IF(AND('Tariff Jul 2022'!P20&gt;0,'Tariff Jul 2022'!R20=""),IF(($H$5&lt;'Tariff Jul 2022'!P20),(0),($H$5-'Tariff Jul 2022'!P20)*'Tariff Jul 2022'!Q20/100),0)))</f>
        <v>0</v>
      </c>
      <c r="H32" s="208">
        <f>($I$5)*'Tariff Jul 2022'!AE20/100</f>
        <v>32.461090909090899</v>
      </c>
      <c r="I32" s="208">
        <f>IF((I7&lt;'Tariff Jul 2022'!AF20),(0),(I7-'Tariff Jul 2022'!AF20)*'Tariff Jul 2022'!AG20/100)</f>
        <v>0</v>
      </c>
      <c r="J32" s="208">
        <f t="shared" si="18"/>
        <v>352.944117090909</v>
      </c>
      <c r="K32" s="283">
        <f t="shared" si="21"/>
        <v>1104.1964683636361</v>
      </c>
      <c r="L32" s="283">
        <f t="shared" si="19"/>
        <v>1411.776468363636</v>
      </c>
      <c r="M32" s="191">
        <f t="shared" si="20"/>
        <v>1552.9541151999997</v>
      </c>
      <c r="N32" s="187">
        <f>'Tariff Jul 2022'!AZ20</f>
        <v>0</v>
      </c>
      <c r="O32" s="187">
        <f>'Tariff Jul 2022'!BA20</f>
        <v>0</v>
      </c>
      <c r="P32" s="187">
        <f>'Tariff Jul 2022'!BB20</f>
        <v>0</v>
      </c>
      <c r="Q32" s="187">
        <f>'Tariff Jul 2022'!BC20</f>
        <v>0</v>
      </c>
      <c r="R32" s="192">
        <f>($F$6*'Tariff Jul 2022'!AT20/100)*4</f>
        <v>261.07199999999995</v>
      </c>
      <c r="S32" s="193" t="str">
        <f t="shared" si="11"/>
        <v>No discount</v>
      </c>
      <c r="T32" s="193" t="str">
        <f t="shared" si="12"/>
        <v>Exclusive</v>
      </c>
      <c r="U32" s="304">
        <f t="shared" si="13"/>
        <v>1411.776468363636</v>
      </c>
      <c r="V32" s="283">
        <f t="shared" si="14"/>
        <v>1411.776468363636</v>
      </c>
      <c r="W32" s="283">
        <f t="shared" si="15"/>
        <v>1150.7044683636361</v>
      </c>
      <c r="X32" s="283">
        <f t="shared" si="16"/>
        <v>1150.7044683636361</v>
      </c>
      <c r="Y32" s="285">
        <f t="shared" si="17"/>
        <v>1265.7749151999999</v>
      </c>
      <c r="Z32" s="285">
        <f t="shared" si="17"/>
        <v>1265.7749151999999</v>
      </c>
      <c r="AA32" s="194">
        <f>'Tariff Jul 2022'!AT19</f>
        <v>5.2</v>
      </c>
      <c r="AB32" s="195">
        <f>'Tariff Jul 2022'!BL20</f>
        <v>0</v>
      </c>
      <c r="AC32" s="195" t="str">
        <f>'Tariff Jul 2022'!BM20</f>
        <v>n</v>
      </c>
      <c r="AD32" s="196">
        <f>'Tariff Jul 2022'!G20</f>
        <v>43251</v>
      </c>
      <c r="AE32" s="344"/>
      <c r="AF32" s="344"/>
      <c r="AG32" s="344"/>
      <c r="AH32" s="344"/>
      <c r="AI32" s="344"/>
      <c r="AJ32" s="344"/>
      <c r="AK32" s="344"/>
      <c r="AL32" s="344"/>
      <c r="AM32" s="344"/>
      <c r="AN32" s="344"/>
      <c r="AO32" s="344"/>
      <c r="AP32" s="344"/>
      <c r="AQ32" s="344"/>
      <c r="AR32" s="344"/>
      <c r="AS32" s="344"/>
      <c r="AT32" s="344"/>
      <c r="AU32" s="344"/>
      <c r="AV32" s="344"/>
    </row>
    <row r="33" spans="1:48" s="187" customFormat="1" x14ac:dyDescent="0.15">
      <c r="A33" s="186" t="str">
        <f>'Tariff Jul 2022'!K21</f>
        <v>Lumo Energy</v>
      </c>
      <c r="B33" s="187" t="str">
        <f>'Tariff Jul 2022'!L21</f>
        <v>Plus</v>
      </c>
      <c r="C33" s="208">
        <f>IF('Tariff Jul 2022'!BP21=0,91*'Tariff Jul 2022'!M21/100,(91*'Tariff Jul 2022'!M21/100)+'Tariff Jul 2022'!BP21/4)</f>
        <v>76.580636363636344</v>
      </c>
      <c r="D33" s="208">
        <f>IF('Tariff Jul 2022'!O21="",$H$5*'Tariff Jul 2022'!N21/100,IF($H$5&gt;='Tariff Jul 2022'!P21,('Tariff Jul 2022'!P21*'Tariff Jul 2022'!N21/100),($H$5*'Tariff Jul 2022'!N21/100)))</f>
        <v>235.53767563636356</v>
      </c>
      <c r="E33" s="208">
        <f>IF(AND('Tariff Jul 2022'!P21&gt;0,'Tariff Jul 2022'!R21&gt;0),IF($H$5&lt;'Tariff Jul 2022'!P21,0,IF($H$5&lt;=('Tariff Jul 2022'!R21+'Tariff Jul 2022'!P21),(($H$5-'Tariff Jul 2022'!P21)*'Tariff Jul 2022'!Q21/100),(('Tariff Jul 2022'!R21)*'Tariff Jul 2022'!Q21/100))),0)</f>
        <v>0</v>
      </c>
      <c r="F33" s="208">
        <f>IF(AND('Tariff Jul 2022'!Q21&gt;0,'Tariff Jul 2022'!S21&gt;0),IF($H$5&lt;('Tariff Jul 2022'!R21+'Tariff Jul 2022'!P21),0,IF($H$5&lt;=('Tariff Jul 2022'!T21+'Tariff Jul 2022'!R21+'Tariff Jul 2022'!P21),(($H$5-('Tariff Jul 2022'!R21+'Tariff Jul 2022'!P21))*'Tariff Jul 2022'!S21/100),('Tariff Jul 2022'!T21*'Tariff Jul 2022'!S21/100))),0)</f>
        <v>0</v>
      </c>
      <c r="G33" s="208">
        <f>IF('Tariff Jul 2022'!T21&gt;0,IF(($H$5&lt;'Tariff Jul 2022'!T21),(0),($H$5-'Tariff Jul 2022'!T21)*'Tariff Jul 2022'!U21/100),IF(AND('Tariff Jul 2022'!R21&gt;0,'Tariff Jul 2022'!T21=""),IF(($H$5&lt;'Tariff Jul 2022'!R21),(0),($H$5-'Tariff Jul 2022'!R21)*'Tariff Jul 2022'!S21/100),IF(AND('Tariff Jul 2022'!P21&gt;0,'Tariff Jul 2022'!R21=""),IF(($H$5&lt;'Tariff Jul 2022'!P21),(0),($H$5-'Tariff Jul 2022'!P21)*'Tariff Jul 2022'!Q21/100),0)))</f>
        <v>0</v>
      </c>
      <c r="H33" s="208">
        <f>($I$5)*'Tariff Jul 2022'!AE21/100</f>
        <v>32.136479999999999</v>
      </c>
      <c r="I33" s="208">
        <v>0</v>
      </c>
      <c r="J33" s="208">
        <f t="shared" si="18"/>
        <v>344.2547919999999</v>
      </c>
      <c r="K33" s="283">
        <f t="shared" si="21"/>
        <v>1070.6966225454541</v>
      </c>
      <c r="L33" s="283">
        <f t="shared" si="19"/>
        <v>1377.0191679999996</v>
      </c>
      <c r="M33" s="191">
        <f t="shared" si="20"/>
        <v>1514.7210847999997</v>
      </c>
      <c r="N33" s="187">
        <f>'Tariff Jul 2022'!AZ21</f>
        <v>0</v>
      </c>
      <c r="O33" s="187">
        <f>'Tariff Jul 2022'!BA21</f>
        <v>0</v>
      </c>
      <c r="P33" s="187">
        <f>'Tariff Jul 2022'!BB21</f>
        <v>0</v>
      </c>
      <c r="Q33" s="187">
        <f>'Tariff Jul 2022'!BC21</f>
        <v>0</v>
      </c>
      <c r="R33" s="192">
        <f>($F$6*'Tariff Jul 2022'!AT21/100)*4</f>
        <v>78.321600000000004</v>
      </c>
      <c r="S33" s="193" t="str">
        <f t="shared" si="11"/>
        <v>No discount</v>
      </c>
      <c r="T33" s="193" t="str">
        <f t="shared" si="12"/>
        <v>Exclusive</v>
      </c>
      <c r="U33" s="304">
        <f t="shared" si="13"/>
        <v>1377.0191679999996</v>
      </c>
      <c r="V33" s="283">
        <f t="shared" si="14"/>
        <v>1377.0191679999996</v>
      </c>
      <c r="W33" s="283">
        <f t="shared" si="15"/>
        <v>1298.6975679999996</v>
      </c>
      <c r="X33" s="283">
        <f t="shared" si="16"/>
        <v>1298.6975679999996</v>
      </c>
      <c r="Y33" s="285">
        <f t="shared" si="17"/>
        <v>1428.5673247999996</v>
      </c>
      <c r="Z33" s="285">
        <f t="shared" si="17"/>
        <v>1428.5673247999996</v>
      </c>
      <c r="AA33" s="194">
        <f>'Tariff Jul 2022'!AT20</f>
        <v>10</v>
      </c>
      <c r="AB33" s="195">
        <f>'Tariff Jul 2022'!BL21</f>
        <v>0</v>
      </c>
      <c r="AC33" s="195" t="str">
        <f>'Tariff Jul 2022'!BM21</f>
        <v>n</v>
      </c>
      <c r="AD33" s="196">
        <f>'Tariff Jul 2022'!G21</f>
        <v>43302</v>
      </c>
      <c r="AE33" s="344"/>
      <c r="AF33" s="344"/>
      <c r="AG33" s="344"/>
      <c r="AH33" s="344"/>
      <c r="AI33" s="344"/>
      <c r="AJ33" s="344"/>
      <c r="AK33" s="344"/>
      <c r="AL33" s="344"/>
      <c r="AM33" s="344"/>
      <c r="AN33" s="344"/>
      <c r="AO33" s="344"/>
      <c r="AP33" s="344"/>
      <c r="AQ33" s="344"/>
      <c r="AR33" s="344"/>
      <c r="AS33" s="344"/>
      <c r="AT33" s="344"/>
      <c r="AU33" s="344"/>
      <c r="AV33" s="344"/>
    </row>
    <row r="34" spans="1:48" s="187" customFormat="1" x14ac:dyDescent="0.15">
      <c r="A34" s="186" t="str">
        <f>'Tariff Jul 2022'!K22</f>
        <v>Origin Energy</v>
      </c>
      <c r="B34" s="187" t="str">
        <f>'Tariff Jul 2022'!L22</f>
        <v>Solar Boost</v>
      </c>
      <c r="C34" s="208">
        <f>IF('Tariff Jul 2022'!BP22=0,91*'Tariff Jul 2022'!M22/100,(91*'Tariff Jul 2022'!M22/100)+'Tariff Jul 2022'!BP22/4)</f>
        <v>79.889727272727271</v>
      </c>
      <c r="D34" s="208">
        <f>IF('Tariff Jul 2022'!O22="",$H$5*'Tariff Jul 2022'!N22/100,IF($H$5&gt;='Tariff Jul 2022'!P22,('Tariff Jul 2022'!P22*'Tariff Jul 2022'!N22/100),($H$5*'Tariff Jul 2022'!N22/100)))</f>
        <v>241.31574981818176</v>
      </c>
      <c r="E34" s="208">
        <f>IF(AND('Tariff Jul 2022'!P22&gt;0,'Tariff Jul 2022'!R22&gt;0),IF($H$5&lt;'Tariff Jul 2022'!P22,0,IF($H$5&lt;=('Tariff Jul 2022'!R22+'Tariff Jul 2022'!P22),(($H$5-'Tariff Jul 2022'!P22)*'Tariff Jul 2022'!Q22/100),(('Tariff Jul 2022'!R22)*'Tariff Jul 2022'!Q22/100))),0)</f>
        <v>0</v>
      </c>
      <c r="F34" s="208">
        <f>IF(AND('Tariff Jul 2022'!Q22&gt;0,'Tariff Jul 2022'!S22&gt;0),IF($H$5&lt;('Tariff Jul 2022'!R22+'Tariff Jul 2022'!P22),0,IF($H$5&lt;=('Tariff Jul 2022'!T22+'Tariff Jul 2022'!R22+'Tariff Jul 2022'!P22),(($H$5-('Tariff Jul 2022'!R22+'Tariff Jul 2022'!P22))*'Tariff Jul 2022'!S22/100),('Tariff Jul 2022'!T22*'Tariff Jul 2022'!S22/100))),0)</f>
        <v>0</v>
      </c>
      <c r="G34" s="208">
        <f>IF('Tariff Jul 2022'!T22&gt;0,IF(($H$5&lt;'Tariff Jul 2022'!T22),(0),($H$5-'Tariff Jul 2022'!T22)*'Tariff Jul 2022'!U22/100),IF(AND('Tariff Jul 2022'!R22&gt;0,'Tariff Jul 2022'!T22=""),IF(($H$5&lt;'Tariff Jul 2022'!R22),(0),($H$5-'Tariff Jul 2022'!R22)*'Tariff Jul 2022'!S22/100),IF(AND('Tariff Jul 2022'!P22&gt;0,'Tariff Jul 2022'!R22=""),IF(($H$5&lt;'Tariff Jul 2022'!P22),(0),($H$5-'Tariff Jul 2022'!P22)*'Tariff Jul 2022'!Q22/100),0)))</f>
        <v>0</v>
      </c>
      <c r="H34" s="208">
        <f>($I$5)*'Tariff Jul 2022'!AE22/100</f>
        <v>31.941713454545447</v>
      </c>
      <c r="I34" s="208">
        <v>0</v>
      </c>
      <c r="J34" s="208">
        <f t="shared" si="18"/>
        <v>353.14719054545446</v>
      </c>
      <c r="K34" s="283">
        <f t="shared" si="21"/>
        <v>1093.0298530909088</v>
      </c>
      <c r="L34" s="283">
        <f t="shared" si="19"/>
        <v>1412.5887621818179</v>
      </c>
      <c r="M34" s="191">
        <f t="shared" si="20"/>
        <v>1553.8476383999998</v>
      </c>
      <c r="N34" s="187">
        <f>'Tariff Jul 2022'!AZ22</f>
        <v>0</v>
      </c>
      <c r="O34" s="187">
        <f>'Tariff Jul 2022'!BA22</f>
        <v>0</v>
      </c>
      <c r="P34" s="187">
        <f>'Tariff Jul 2022'!BB22</f>
        <v>0</v>
      </c>
      <c r="Q34" s="187">
        <f>'Tariff Jul 2022'!BC22</f>
        <v>0</v>
      </c>
      <c r="R34" s="192">
        <f>($F$6*'Tariff Jul 2022'!AT22/100)*4</f>
        <v>261.07199999999995</v>
      </c>
      <c r="S34" s="193" t="str">
        <f t="shared" si="11"/>
        <v>No discount</v>
      </c>
      <c r="T34" s="193" t="str">
        <f t="shared" si="12"/>
        <v>Inclusive</v>
      </c>
      <c r="U34" s="304">
        <f t="shared" si="13"/>
        <v>1412.5887621818179</v>
      </c>
      <c r="V34" s="283">
        <f t="shared" si="14"/>
        <v>1412.5887621818179</v>
      </c>
      <c r="W34" s="283">
        <f t="shared" si="15"/>
        <v>1151.516762181818</v>
      </c>
      <c r="X34" s="283">
        <f t="shared" si="16"/>
        <v>1151.516762181818</v>
      </c>
      <c r="Y34" s="285">
        <f t="shared" si="17"/>
        <v>1266.6684383999998</v>
      </c>
      <c r="Z34" s="285">
        <f t="shared" si="17"/>
        <v>1266.6684383999998</v>
      </c>
      <c r="AA34" s="194">
        <f>'Tariff Jul 2022'!AT21</f>
        <v>3</v>
      </c>
      <c r="AB34" s="195">
        <f>'Tariff Jul 2022'!BL22</f>
        <v>0</v>
      </c>
      <c r="AC34" s="195" t="str">
        <f>'Tariff Jul 2022'!BM22</f>
        <v>n</v>
      </c>
      <c r="AD34" s="196">
        <f>'Tariff Jul 2022'!G22</f>
        <v>43287</v>
      </c>
      <c r="AE34" s="344"/>
      <c r="AF34" s="344"/>
      <c r="AG34" s="344"/>
      <c r="AH34" s="344"/>
      <c r="AI34" s="344"/>
      <c r="AJ34" s="344"/>
      <c r="AK34" s="344"/>
      <c r="AL34" s="344"/>
      <c r="AM34" s="344"/>
      <c r="AN34" s="344"/>
      <c r="AO34" s="344"/>
      <c r="AP34" s="344"/>
      <c r="AQ34" s="344"/>
      <c r="AR34" s="344"/>
      <c r="AS34" s="344"/>
      <c r="AT34" s="344"/>
      <c r="AU34" s="344"/>
      <c r="AV34" s="344"/>
    </row>
    <row r="35" spans="1:48" s="187" customFormat="1" x14ac:dyDescent="0.15">
      <c r="A35" s="186" t="str">
        <f>'Tariff Jul 2022'!K23</f>
        <v>Red Energy</v>
      </c>
      <c r="B35" s="187" t="str">
        <f>'Tariff Jul 2022'!L23</f>
        <v>Living Energy Saver</v>
      </c>
      <c r="C35" s="208">
        <f>IF('Tariff Jul 2022'!BP23=0,91*'Tariff Jul 2022'!M23/100,(91*'Tariff Jul 2022'!M23/100)+'Tariff Jul 2022'!BP23/4)</f>
        <v>74.62</v>
      </c>
      <c r="D35" s="208">
        <f>IF('Tariff Jul 2022'!O23="",$H$5*'Tariff Jul 2022'!N23/100,IF($H$5&gt;='Tariff Jul 2022'!P23,('Tariff Jul 2022'!P23*'Tariff Jul 2022'!N23/100),($H$5*'Tariff Jul 2022'!N23/100)))</f>
        <v>222.09878399999994</v>
      </c>
      <c r="E35" s="208">
        <f>IF(AND('Tariff Jul 2022'!P23&gt;0,'Tariff Jul 2022'!R23&gt;0),IF($H$5&lt;'Tariff Jul 2022'!P23,0,IF($H$5&lt;=('Tariff Jul 2022'!R23+'Tariff Jul 2022'!P23),(($H$5-'Tariff Jul 2022'!P23)*'Tariff Jul 2022'!Q23/100),(('Tariff Jul 2022'!R23)*'Tariff Jul 2022'!Q23/100))),0)</f>
        <v>0</v>
      </c>
      <c r="F35" s="208">
        <f>IF(AND('Tariff Jul 2022'!Q23&gt;0,'Tariff Jul 2022'!S23&gt;0),IF($H$5&lt;('Tariff Jul 2022'!R23+'Tariff Jul 2022'!P23),0,IF($H$5&lt;=('Tariff Jul 2022'!T23+'Tariff Jul 2022'!R23+'Tariff Jul 2022'!P23),(($H$5-('Tariff Jul 2022'!R23+'Tariff Jul 2022'!P23))*'Tariff Jul 2022'!S23/100),('Tariff Jul 2022'!T23*'Tariff Jul 2022'!S23/100))),0)</f>
        <v>0</v>
      </c>
      <c r="G35" s="208">
        <f>IF('Tariff Jul 2022'!T23&gt;0,IF(($H$5&lt;'Tariff Jul 2022'!T23),(0),($H$5-'Tariff Jul 2022'!T23)*'Tariff Jul 2022'!U23/100),IF(AND('Tariff Jul 2022'!R23&gt;0,'Tariff Jul 2022'!T23=""),IF(($H$5&lt;'Tariff Jul 2022'!R23),(0),($H$5-'Tariff Jul 2022'!R23)*'Tariff Jul 2022'!S23/100),IF(AND('Tariff Jul 2022'!P23&gt;0,'Tariff Jul 2022'!R23=""),IF(($H$5&lt;'Tariff Jul 2022'!P23),(0),($H$5-'Tariff Jul 2022'!P23)*'Tariff Jul 2022'!Q23/100),0)))</f>
        <v>0</v>
      </c>
      <c r="H35" s="208">
        <f>($I$5)*'Tariff Jul 2022'!AE23/100</f>
        <v>27.705541090909087</v>
      </c>
      <c r="I35" s="208">
        <v>0</v>
      </c>
      <c r="J35" s="208">
        <f t="shared" si="18"/>
        <v>324.42432509090901</v>
      </c>
      <c r="K35" s="283">
        <f t="shared" si="21"/>
        <v>999.21730036363601</v>
      </c>
      <c r="L35" s="283">
        <f t="shared" si="19"/>
        <v>1297.697300363636</v>
      </c>
      <c r="M35" s="191">
        <f t="shared" si="20"/>
        <v>1427.4670303999997</v>
      </c>
      <c r="N35" s="187">
        <f>'Tariff Jul 2022'!AZ23</f>
        <v>0</v>
      </c>
      <c r="O35" s="187">
        <f>'Tariff Jul 2022'!BA23</f>
        <v>0</v>
      </c>
      <c r="P35" s="187">
        <f>'Tariff Jul 2022'!BB23</f>
        <v>0</v>
      </c>
      <c r="Q35" s="187">
        <f>'Tariff Jul 2022'!BC23</f>
        <v>0</v>
      </c>
      <c r="R35" s="192">
        <f>($F$6*'Tariff Jul 2022'!AT23/100)*4</f>
        <v>78.321600000000004</v>
      </c>
      <c r="S35" s="193" t="str">
        <f t="shared" si="11"/>
        <v>No discount</v>
      </c>
      <c r="T35" s="193" t="str">
        <f t="shared" si="12"/>
        <v>Inclusive</v>
      </c>
      <c r="U35" s="304">
        <f t="shared" si="13"/>
        <v>1297.697300363636</v>
      </c>
      <c r="V35" s="283">
        <f t="shared" si="14"/>
        <v>1297.697300363636</v>
      </c>
      <c r="W35" s="283">
        <f t="shared" si="15"/>
        <v>1219.375700363636</v>
      </c>
      <c r="X35" s="283">
        <f t="shared" si="16"/>
        <v>1219.375700363636</v>
      </c>
      <c r="Y35" s="285">
        <f t="shared" si="17"/>
        <v>1341.3132703999997</v>
      </c>
      <c r="Z35" s="285">
        <f t="shared" si="17"/>
        <v>1341.3132703999997</v>
      </c>
      <c r="AA35" s="194">
        <f>'Tariff Jul 2022'!AT22</f>
        <v>10</v>
      </c>
      <c r="AB35" s="195">
        <f>'Tariff Jul 2022'!BL23</f>
        <v>0</v>
      </c>
      <c r="AC35" s="195" t="str">
        <f>'Tariff Jul 2022'!BM23</f>
        <v>n</v>
      </c>
      <c r="AD35" s="196">
        <f>'Tariff Jul 2022'!G23</f>
        <v>43281</v>
      </c>
      <c r="AE35" s="344"/>
      <c r="AF35" s="344"/>
      <c r="AG35" s="344"/>
      <c r="AH35" s="344"/>
      <c r="AI35" s="344"/>
      <c r="AJ35" s="344"/>
      <c r="AK35" s="344"/>
      <c r="AL35" s="344"/>
      <c r="AM35" s="344"/>
      <c r="AN35" s="344"/>
      <c r="AO35" s="344"/>
      <c r="AP35" s="344"/>
      <c r="AQ35" s="344"/>
      <c r="AR35" s="344"/>
      <c r="AS35" s="344"/>
      <c r="AT35" s="344"/>
      <c r="AU35" s="344"/>
      <c r="AV35" s="344"/>
    </row>
    <row r="36" spans="1:48" s="187" customFormat="1" x14ac:dyDescent="0.15">
      <c r="A36" s="186" t="str">
        <f>'Tariff Jul 2022'!K24</f>
        <v>Energy Locals</v>
      </c>
      <c r="B36" s="187" t="str">
        <f>'Tariff Jul 2022'!L24</f>
        <v>Online Member</v>
      </c>
      <c r="C36" s="208">
        <f>IF('Tariff Jul 2022'!BP24=0,91*'Tariff Jul 2022'!M24/100,(91*'Tariff Jul 2022'!M24/100)+'Tariff Jul 2022'!BP24/4)</f>
        <v>101.85727272727271</v>
      </c>
      <c r="D36" s="208">
        <f>IF('Tariff Jul 2022'!O24="",$H$5*'Tariff Jul 2022'!N24/100,IF($H$5&gt;='Tariff Jul 2022'!P24,('Tariff Jul 2022'!P24*'Tariff Jul 2022'!N24/100),($H$5*'Tariff Jul 2022'!N24/100)))</f>
        <v>207.10175999999996</v>
      </c>
      <c r="E36" s="208">
        <f>IF(AND('Tariff Jul 2022'!P24&gt;0,'Tariff Jul 2022'!R24&gt;0),IF($H$5&lt;'Tariff Jul 2022'!P24,0,IF($H$5&lt;=('Tariff Jul 2022'!R24+'Tariff Jul 2022'!P24),(($H$5-'Tariff Jul 2022'!P24)*'Tariff Jul 2022'!Q24/100),(('Tariff Jul 2022'!R24)*'Tariff Jul 2022'!Q24/100))),0)</f>
        <v>0</v>
      </c>
      <c r="F36" s="208">
        <f>IF(AND('Tariff Jul 2022'!Q24&gt;0,'Tariff Jul 2022'!S24&gt;0),IF($H$5&lt;('Tariff Jul 2022'!R24+'Tariff Jul 2022'!P24),0,IF($H$5&lt;=('Tariff Jul 2022'!T24+'Tariff Jul 2022'!R24+'Tariff Jul 2022'!P24),(($H$5-('Tariff Jul 2022'!R24+'Tariff Jul 2022'!P24))*'Tariff Jul 2022'!S24/100),('Tariff Jul 2022'!T24*'Tariff Jul 2022'!S24/100))),0)</f>
        <v>0</v>
      </c>
      <c r="G36" s="208">
        <f>IF('Tariff Jul 2022'!T24&gt;0,IF(($H$5&lt;'Tariff Jul 2022'!T24),(0),($H$5-'Tariff Jul 2022'!T24)*'Tariff Jul 2022'!U24/100),IF(AND('Tariff Jul 2022'!R24&gt;0,'Tariff Jul 2022'!T24=""),IF(($H$5&lt;'Tariff Jul 2022'!R24),(0),($H$5-'Tariff Jul 2022'!R24)*'Tariff Jul 2022'!S24/100),IF(AND('Tariff Jul 2022'!P24&gt;0,'Tariff Jul 2022'!R24=""),IF(($H$5&lt;'Tariff Jul 2022'!P24),(0),($H$5-'Tariff Jul 2022'!P24)*'Tariff Jul 2022'!Q24/100),0)))</f>
        <v>0</v>
      </c>
      <c r="H36" s="208">
        <f>($I$5)*'Tariff Jul 2022'!AE24/100</f>
        <v>38.385239999999989</v>
      </c>
      <c r="I36" s="208">
        <v>0</v>
      </c>
      <c r="J36" s="208">
        <f t="shared" si="18"/>
        <v>347.34427272727265</v>
      </c>
      <c r="K36" s="283">
        <f t="shared" si="21"/>
        <v>981.94799999999975</v>
      </c>
      <c r="L36" s="283">
        <f t="shared" si="19"/>
        <v>1389.3770909090906</v>
      </c>
      <c r="M36" s="191">
        <f t="shared" si="20"/>
        <v>1528.3147999999999</v>
      </c>
      <c r="N36" s="187">
        <f>'Tariff Jul 2022'!AZ24</f>
        <v>0</v>
      </c>
      <c r="O36" s="187">
        <f>'Tariff Jul 2022'!BA24</f>
        <v>0</v>
      </c>
      <c r="P36" s="187">
        <f>'Tariff Jul 2022'!BB24</f>
        <v>0</v>
      </c>
      <c r="Q36" s="187">
        <f>'Tariff Jul 2022'!BC24</f>
        <v>0</v>
      </c>
      <c r="R36" s="192">
        <f>($F$6*'Tariff Jul 2022'!AT24/100)*4</f>
        <v>234.9648</v>
      </c>
      <c r="S36" s="193" t="str">
        <f t="shared" si="11"/>
        <v>No discount</v>
      </c>
      <c r="T36" s="193" t="str">
        <f t="shared" si="12"/>
        <v>Exclusive</v>
      </c>
      <c r="U36" s="304">
        <f t="shared" si="13"/>
        <v>1389.3770909090906</v>
      </c>
      <c r="V36" s="283">
        <f t="shared" si="14"/>
        <v>1389.3770909090906</v>
      </c>
      <c r="W36" s="283">
        <f t="shared" si="15"/>
        <v>1154.4122909090906</v>
      </c>
      <c r="X36" s="283">
        <f t="shared" si="16"/>
        <v>1154.4122909090906</v>
      </c>
      <c r="Y36" s="285">
        <f t="shared" si="17"/>
        <v>1269.8535199999999</v>
      </c>
      <c r="Z36" s="285">
        <f t="shared" si="17"/>
        <v>1269.8535199999999</v>
      </c>
      <c r="AA36" s="194">
        <f>'Tariff Jul 2022'!AT23</f>
        <v>3</v>
      </c>
      <c r="AB36" s="195">
        <f>'Tariff Jul 2022'!BL24</f>
        <v>0</v>
      </c>
      <c r="AC36" s="195" t="str">
        <f>'Tariff Jul 2022'!BM24</f>
        <v>n</v>
      </c>
      <c r="AD36" s="196">
        <f>'Tariff Jul 2022'!G24</f>
        <v>43299</v>
      </c>
      <c r="AE36" s="344"/>
      <c r="AF36" s="344"/>
      <c r="AG36" s="344"/>
      <c r="AH36" s="344"/>
      <c r="AI36" s="344"/>
      <c r="AJ36" s="344"/>
      <c r="AK36" s="344"/>
      <c r="AL36" s="344"/>
      <c r="AM36" s="344"/>
      <c r="AN36" s="344"/>
      <c r="AO36" s="344"/>
      <c r="AP36" s="344"/>
      <c r="AQ36" s="344"/>
      <c r="AR36" s="344"/>
      <c r="AS36" s="344"/>
      <c r="AT36" s="344"/>
      <c r="AU36" s="344"/>
      <c r="AV36" s="344"/>
    </row>
    <row r="37" spans="1:48" s="187" customFormat="1" x14ac:dyDescent="0.15">
      <c r="A37" s="186" t="str">
        <f>'Tariff Jul 2022'!K25</f>
        <v>Simply Energy</v>
      </c>
      <c r="B37" s="187" t="str">
        <f>'Tariff Jul 2022'!L25</f>
        <v>RAA</v>
      </c>
      <c r="C37" s="208">
        <f>IF('Tariff Jul 2022'!BP25=0,91*'Tariff Jul 2022'!M25/100,(91*'Tariff Jul 2022'!M25/100)+'Tariff Jul 2022'!BP25/4)</f>
        <v>90.826272727272737</v>
      </c>
      <c r="D37" s="208">
        <f>IF('Tariff Jul 2022'!O25="",$H$5*'Tariff Jul 2022'!N25/100,IF($H$5&gt;='Tariff Jul 2022'!P25,('Tariff Jul 2022'!P25*'Tariff Jul 2022'!N25/100),($H$5*'Tariff Jul 2022'!N25/100)))</f>
        <v>233.59001018181812</v>
      </c>
      <c r="E37" s="208">
        <f>IF(AND('Tariff Jul 2022'!P25&gt;0,'Tariff Jul 2022'!R25&gt;0),IF($H$5&lt;'Tariff Jul 2022'!P25,0,IF($H$5&lt;=('Tariff Jul 2022'!R25+'Tariff Jul 2022'!P25),(($H$5-'Tariff Jul 2022'!P25)*'Tariff Jul 2022'!Q25/100),(('Tariff Jul 2022'!R25)*'Tariff Jul 2022'!Q25/100))),0)</f>
        <v>0</v>
      </c>
      <c r="F37" s="208">
        <f>IF(AND('Tariff Jul 2022'!Q25&gt;0,'Tariff Jul 2022'!S25&gt;0),IF($H$5&lt;('Tariff Jul 2022'!R25+'Tariff Jul 2022'!P25),0,IF($H$5&lt;=('Tariff Jul 2022'!T25+'Tariff Jul 2022'!R25+'Tariff Jul 2022'!P25),(($H$5-('Tariff Jul 2022'!R25+'Tariff Jul 2022'!P25))*'Tariff Jul 2022'!S25/100),('Tariff Jul 2022'!T25*'Tariff Jul 2022'!S25/100))),0)</f>
        <v>0</v>
      </c>
      <c r="G37" s="208">
        <f>IF('Tariff Jul 2022'!T25&gt;0,IF(($H$5&lt;'Tariff Jul 2022'!T25),(0),($H$5-'Tariff Jul 2022'!T25)*'Tariff Jul 2022'!U25/100),IF(AND('Tariff Jul 2022'!R25&gt;0,'Tariff Jul 2022'!T25=""),IF(($H$5&lt;'Tariff Jul 2022'!R25),(0),($H$5-'Tariff Jul 2022'!R25)*'Tariff Jul 2022'!S25/100),IF(AND('Tariff Jul 2022'!P25&gt;0,'Tariff Jul 2022'!R25=""),IF(($H$5&lt;'Tariff Jul 2022'!P25),(0),($H$5-'Tariff Jul 2022'!P25)*'Tariff Jul 2022'!Q25/100),0)))</f>
        <v>0</v>
      </c>
      <c r="H37" s="208">
        <f>($I$5)*'Tariff Jul 2022'!AE25/100</f>
        <v>32.461090909090899</v>
      </c>
      <c r="I37" s="208">
        <v>0</v>
      </c>
      <c r="J37" s="208">
        <f t="shared" si="18"/>
        <v>356.87737381818175</v>
      </c>
      <c r="K37" s="283">
        <f t="shared" si="21"/>
        <v>1064.2044043636361</v>
      </c>
      <c r="L37" s="283">
        <f t="shared" si="19"/>
        <v>1427.509495272727</v>
      </c>
      <c r="M37" s="191">
        <f t="shared" si="20"/>
        <v>1570.2604447999997</v>
      </c>
      <c r="N37" s="187">
        <f>'Tariff Jul 2022'!AZ25</f>
        <v>1</v>
      </c>
      <c r="O37" s="187">
        <f>'Tariff Jul 2022'!BA25</f>
        <v>0</v>
      </c>
      <c r="P37" s="187">
        <f>'Tariff Jul 2022'!BB25</f>
        <v>0</v>
      </c>
      <c r="Q37" s="187">
        <f>'Tariff Jul 2022'!BC25</f>
        <v>0</v>
      </c>
      <c r="R37" s="192">
        <f>($F$6*'Tariff Jul 2022'!AT25/100)*4</f>
        <v>156.64320000000001</v>
      </c>
      <c r="S37" s="193" t="str">
        <f t="shared" si="11"/>
        <v>Guaranteed off bill</v>
      </c>
      <c r="T37" s="193" t="str">
        <f t="shared" si="12"/>
        <v>Exclusive</v>
      </c>
      <c r="U37" s="304">
        <f t="shared" si="13"/>
        <v>1413.2344003199998</v>
      </c>
      <c r="V37" s="283">
        <f t="shared" si="14"/>
        <v>1413.2344003199998</v>
      </c>
      <c r="W37" s="283">
        <f t="shared" si="15"/>
        <v>1256.5912003199999</v>
      </c>
      <c r="X37" s="283">
        <f t="shared" si="16"/>
        <v>1256.5912003199999</v>
      </c>
      <c r="Y37" s="285">
        <f t="shared" si="17"/>
        <v>1382.250320352</v>
      </c>
      <c r="Z37" s="285">
        <f t="shared" si="17"/>
        <v>1382.250320352</v>
      </c>
      <c r="AA37" s="194">
        <f>'Tariff Jul 2022'!AT24</f>
        <v>9</v>
      </c>
      <c r="AB37" s="195">
        <f>'Tariff Jul 2022'!BL25</f>
        <v>0</v>
      </c>
      <c r="AC37" s="195" t="str">
        <f>'Tariff Jul 2022'!BM25</f>
        <v>n</v>
      </c>
      <c r="AD37" s="196">
        <f>'Tariff Jul 2022'!G25</f>
        <v>43281</v>
      </c>
      <c r="AE37" s="344"/>
      <c r="AF37" s="344"/>
      <c r="AG37" s="344"/>
      <c r="AH37" s="344"/>
      <c r="AI37" s="344"/>
      <c r="AJ37" s="344"/>
      <c r="AK37" s="344"/>
      <c r="AL37" s="344"/>
      <c r="AM37" s="344"/>
      <c r="AN37" s="344"/>
      <c r="AO37" s="344"/>
      <c r="AP37" s="344"/>
      <c r="AQ37" s="344"/>
      <c r="AR37" s="344"/>
      <c r="AS37" s="344"/>
      <c r="AT37" s="344"/>
      <c r="AU37" s="344"/>
      <c r="AV37" s="344"/>
    </row>
    <row r="38" spans="1:48" s="187" customFormat="1" x14ac:dyDescent="0.15">
      <c r="A38" s="186" t="str">
        <f>'Tariff Jul 2022'!K26</f>
        <v>Powershop</v>
      </c>
      <c r="B38" s="187" t="str">
        <f>'Tariff Jul 2022'!L26</f>
        <v>Carbon neutral</v>
      </c>
      <c r="C38" s="208">
        <f>IF('Tariff Jul 2022'!BP26=0,91*'Tariff Jul 2022'!M26/100,(91*'Tariff Jul 2022'!M26/100)+'Tariff Jul 2022'!BP26/4)</f>
        <v>105.34490909090908</v>
      </c>
      <c r="D38" s="208">
        <f>IF('Tariff Jul 2022'!O26="",$H$5*'Tariff Jul 2022'!N26/100,IF($H$5&gt;='Tariff Jul 2022'!P26,('Tariff Jul 2022'!P26*'Tariff Jul 2022'!N26/100),($H$5*'Tariff Jul 2022'!N26/100)))</f>
        <v>216.58039854545447</v>
      </c>
      <c r="E38" s="208">
        <f>IF(AND('Tariff Jul 2022'!P26&gt;0,'Tariff Jul 2022'!R26&gt;0),IF($H$5&lt;'Tariff Jul 2022'!P26,0,IF($H$5&lt;=('Tariff Jul 2022'!R26+'Tariff Jul 2022'!P26),(($H$5-'Tariff Jul 2022'!P26)*'Tariff Jul 2022'!Q26/100),(('Tariff Jul 2022'!R26)*'Tariff Jul 2022'!Q26/100))),0)</f>
        <v>0</v>
      </c>
      <c r="F38" s="208">
        <f>IF(AND('Tariff Jul 2022'!Q26&gt;0,'Tariff Jul 2022'!S26&gt;0),IF($H$5&lt;('Tariff Jul 2022'!R26+'Tariff Jul 2022'!P26),0,IF($H$5&lt;=('Tariff Jul 2022'!T26+'Tariff Jul 2022'!R26+'Tariff Jul 2022'!P26),(($H$5-('Tariff Jul 2022'!R26+'Tariff Jul 2022'!P26))*'Tariff Jul 2022'!S26/100),('Tariff Jul 2022'!T26*'Tariff Jul 2022'!S26/100))),0)</f>
        <v>0</v>
      </c>
      <c r="G38" s="208">
        <f>IF('Tariff Jul 2022'!T26&gt;0,IF(($H$5&lt;'Tariff Jul 2022'!T26),(0),($H$5-'Tariff Jul 2022'!T26)*'Tariff Jul 2022'!U26/100),IF(AND('Tariff Jul 2022'!R26&gt;0,'Tariff Jul 2022'!T26=""),IF(($H$5&lt;'Tariff Jul 2022'!R26),(0),($H$5-'Tariff Jul 2022'!R26)*'Tariff Jul 2022'!S26/100),IF(AND('Tariff Jul 2022'!P26&gt;0,'Tariff Jul 2022'!R26=""),IF(($H$5&lt;'Tariff Jul 2022'!P26),(0),($H$5-'Tariff Jul 2022'!P26)*'Tariff Jul 2022'!Q26/100),0)))</f>
        <v>0</v>
      </c>
      <c r="H38" s="208">
        <f>($I$5)*'Tariff Jul 2022'!AE26/100</f>
        <v>32.948007272727267</v>
      </c>
      <c r="I38" s="208">
        <v>0</v>
      </c>
      <c r="J38" s="208">
        <f t="shared" si="18"/>
        <v>354.87331490909082</v>
      </c>
      <c r="K38" s="283">
        <f t="shared" si="21"/>
        <v>998.11362327272695</v>
      </c>
      <c r="L38" s="283">
        <f t="shared" si="19"/>
        <v>1419.4932596363633</v>
      </c>
      <c r="M38" s="191">
        <f t="shared" si="20"/>
        <v>1561.4425855999998</v>
      </c>
      <c r="N38" s="187">
        <f>'Tariff Jul 2022'!AZ26</f>
        <v>0</v>
      </c>
      <c r="O38" s="187">
        <f>'Tariff Jul 2022'!BA26</f>
        <v>0</v>
      </c>
      <c r="P38" s="187">
        <f>'Tariff Jul 2022'!BB26</f>
        <v>0</v>
      </c>
      <c r="Q38" s="187">
        <f>'Tariff Jul 2022'!BC26</f>
        <v>0</v>
      </c>
      <c r="R38" s="192">
        <f>($F$6*'Tariff Jul 2022'!AT26/100)*4</f>
        <v>78.321600000000004</v>
      </c>
      <c r="S38" s="193" t="str">
        <f t="shared" si="11"/>
        <v>No discount</v>
      </c>
      <c r="T38" s="193" t="str">
        <f t="shared" si="12"/>
        <v>Inclusive</v>
      </c>
      <c r="U38" s="304">
        <f t="shared" si="13"/>
        <v>1419.4932596363633</v>
      </c>
      <c r="V38" s="283">
        <f t="shared" si="14"/>
        <v>1419.4932596363633</v>
      </c>
      <c r="W38" s="283">
        <f t="shared" si="15"/>
        <v>1341.1716596363633</v>
      </c>
      <c r="X38" s="283">
        <f t="shared" si="16"/>
        <v>1341.1716596363633</v>
      </c>
      <c r="Y38" s="285">
        <f t="shared" si="17"/>
        <v>1475.2888255999997</v>
      </c>
      <c r="Z38" s="285">
        <f t="shared" si="17"/>
        <v>1475.2888255999997</v>
      </c>
      <c r="AA38" s="194">
        <f>'Tariff Jul 2022'!AT25</f>
        <v>6</v>
      </c>
      <c r="AB38" s="195">
        <f>'Tariff Jul 2022'!BL26</f>
        <v>0</v>
      </c>
      <c r="AC38" s="195" t="str">
        <f>'Tariff Jul 2022'!BM26</f>
        <v>n</v>
      </c>
      <c r="AD38" s="196">
        <f>'Tariff Jul 2022'!G26</f>
        <v>43266</v>
      </c>
      <c r="AE38" s="344"/>
      <c r="AF38" s="344"/>
      <c r="AG38" s="344"/>
      <c r="AH38" s="344"/>
      <c r="AI38" s="344"/>
      <c r="AJ38" s="344"/>
      <c r="AK38" s="344"/>
      <c r="AL38" s="344"/>
      <c r="AM38" s="344"/>
      <c r="AN38" s="344"/>
      <c r="AO38" s="344"/>
      <c r="AP38" s="344"/>
      <c r="AQ38" s="344"/>
      <c r="AR38" s="344"/>
      <c r="AS38" s="344"/>
      <c r="AT38" s="344"/>
      <c r="AU38" s="344"/>
      <c r="AV38" s="344"/>
    </row>
    <row r="39" spans="1:48" s="187" customFormat="1" x14ac:dyDescent="0.15">
      <c r="A39" s="186" t="str">
        <f>'Tariff Jul 2022'!K27</f>
        <v>Amber Electric</v>
      </c>
      <c r="B39" s="187" t="str">
        <f>'Tariff Jul 2022'!L27</f>
        <v>Amber Plan</v>
      </c>
      <c r="C39" s="208">
        <f>IF('Tariff Jul 2022'!BP27=0,91*'Tariff Jul 2022'!M27/100,(91*'Tariff Jul 2022'!M27/100)+'Tariff Jul 2022'!BP27/4)</f>
        <v>135.55736363636362</v>
      </c>
      <c r="D39" s="208">
        <f>IF('Tariff Jul 2022'!O27="",$H$5*'Tariff Jul 2022'!N27/100,IF($H$5&gt;='Tariff Jul 2022'!P27,('Tariff Jul 2022'!P27*'Tariff Jul 2022'!N27/100),($H$5*'Tariff Jul 2022'!N27/100)))</f>
        <v>265.92125672727269</v>
      </c>
      <c r="E39" s="208">
        <f>IF(AND('Tariff Jul 2022'!P27&gt;0,'Tariff Jul 2022'!R27&gt;0),IF($H$5&lt;'Tariff Jul 2022'!P27,0,IF($H$5&lt;=('Tariff Jul 2022'!R27+'Tariff Jul 2022'!P27),(($H$5-'Tariff Jul 2022'!P27)*'Tariff Jul 2022'!Q27/100),(('Tariff Jul 2022'!R27)*'Tariff Jul 2022'!Q27/100))),0)</f>
        <v>0</v>
      </c>
      <c r="F39" s="208">
        <f>IF(AND('Tariff Jul 2022'!Q27&gt;0,'Tariff Jul 2022'!S27&gt;0),IF($H$5&lt;('Tariff Jul 2022'!R27+'Tariff Jul 2022'!P27),0,IF($H$5&lt;=('Tariff Jul 2022'!T27+'Tariff Jul 2022'!R27+'Tariff Jul 2022'!P27),(($H$5-('Tariff Jul 2022'!R27+'Tariff Jul 2022'!P27))*'Tariff Jul 2022'!S27/100),('Tariff Jul 2022'!T27*'Tariff Jul 2022'!S27/100))),0)</f>
        <v>0</v>
      </c>
      <c r="G39" s="208">
        <f>IF('Tariff Jul 2022'!T27&gt;0,IF(($H$5&lt;'Tariff Jul 2022'!T27),(0),($H$5-'Tariff Jul 2022'!T27)*'Tariff Jul 2022'!U27/100),IF(AND('Tariff Jul 2022'!R27&gt;0,'Tariff Jul 2022'!T27=""),IF(($H$5&lt;'Tariff Jul 2022'!R27),(0),($H$5-'Tariff Jul 2022'!R27)*'Tariff Jul 2022'!S27/100),IF(AND('Tariff Jul 2022'!P27&gt;0,'Tariff Jul 2022'!R27=""),IF(($H$5&lt;'Tariff Jul 2022'!P27),(0),($H$5-'Tariff Jul 2022'!P27)*'Tariff Jul 2022'!Q27/100),0)))</f>
        <v>0</v>
      </c>
      <c r="H39" s="208">
        <f>($I$5)*'Tariff Jul 2022'!AE27/100</f>
        <v>47.474345454545443</v>
      </c>
      <c r="I39" s="208">
        <v>0</v>
      </c>
      <c r="J39" s="208">
        <f t="shared" si="18"/>
        <v>448.95296581818172</v>
      </c>
      <c r="K39" s="283">
        <f t="shared" si="21"/>
        <v>1253.5824087272724</v>
      </c>
      <c r="L39" s="283">
        <f t="shared" si="19"/>
        <v>1795.8118632727269</v>
      </c>
      <c r="M39" s="191">
        <f t="shared" si="20"/>
        <v>1975.3930495999998</v>
      </c>
      <c r="N39" s="187">
        <f>'Tariff Jul 2022'!AZ27</f>
        <v>0</v>
      </c>
      <c r="O39" s="187">
        <f>'Tariff Jul 2022'!BA27</f>
        <v>0</v>
      </c>
      <c r="P39" s="187">
        <f>'Tariff Jul 2022'!BB27</f>
        <v>0</v>
      </c>
      <c r="Q39" s="187">
        <f>'Tariff Jul 2022'!BC27</f>
        <v>0</v>
      </c>
      <c r="R39" s="192">
        <f>($F$6*'Tariff Jul 2022'!AT27/100)*4</f>
        <v>0</v>
      </c>
      <c r="S39" s="193" t="str">
        <f t="shared" si="11"/>
        <v>No discount</v>
      </c>
      <c r="T39" s="193" t="str">
        <f t="shared" si="12"/>
        <v>Exclusive</v>
      </c>
      <c r="U39" s="304">
        <f t="shared" si="13"/>
        <v>1795.8118632727269</v>
      </c>
      <c r="V39" s="283">
        <f t="shared" si="14"/>
        <v>1795.8118632727269</v>
      </c>
      <c r="W39" s="283">
        <f t="shared" si="15"/>
        <v>1795.8118632727269</v>
      </c>
      <c r="X39" s="283">
        <f t="shared" si="16"/>
        <v>1795.8118632727269</v>
      </c>
      <c r="Y39" s="285">
        <f t="shared" si="17"/>
        <v>1975.3930495999998</v>
      </c>
      <c r="Z39" s="285">
        <f t="shared" si="17"/>
        <v>1975.3930495999998</v>
      </c>
      <c r="AA39" s="194">
        <f>'Tariff Jul 2022'!AT26</f>
        <v>3</v>
      </c>
      <c r="AB39" s="195">
        <f>'Tariff Jul 2022'!BL27</f>
        <v>0</v>
      </c>
      <c r="AC39" s="195" t="str">
        <f>'Tariff Jul 2022'!BM27</f>
        <v>n</v>
      </c>
      <c r="AD39" s="196">
        <f>'Tariff Jul 2022'!G27</f>
        <v>43281</v>
      </c>
      <c r="AE39" s="344"/>
      <c r="AF39" s="344"/>
      <c r="AG39" s="344"/>
      <c r="AH39" s="344"/>
      <c r="AI39" s="344"/>
      <c r="AJ39" s="344"/>
      <c r="AK39" s="344"/>
      <c r="AL39" s="344"/>
      <c r="AM39" s="344"/>
      <c r="AN39" s="344"/>
      <c r="AO39" s="344"/>
      <c r="AP39" s="344"/>
      <c r="AQ39" s="344"/>
      <c r="AR39" s="344"/>
      <c r="AS39" s="344"/>
      <c r="AT39" s="344"/>
      <c r="AU39" s="344"/>
      <c r="AV39" s="344"/>
    </row>
    <row r="40" spans="1:48" s="187" customFormat="1" x14ac:dyDescent="0.15">
      <c r="A40" s="186" t="str">
        <f>'Tariff Jul 2022'!K28</f>
        <v>GloBird Energy</v>
      </c>
      <c r="B40" s="187" t="str">
        <f>'Tariff Jul 2022'!L28</f>
        <v>GloSave</v>
      </c>
      <c r="C40" s="208">
        <f>IF('Tariff Jul 2022'!BP28=0,91*'Tariff Jul 2022'!M28/100,(91*'Tariff Jul 2022'!M28/100)+'Tariff Jul 2022'!BP28/4)</f>
        <v>81.899999999999991</v>
      </c>
      <c r="D40" s="208">
        <f>IF('Tariff Jul 2022'!O28="",$H$5*'Tariff Jul 2022'!N28/100,IF($H$5&gt;='Tariff Jul 2022'!P28,('Tariff Jul 2022'!P28*'Tariff Jul 2022'!N28/100),($H$5*'Tariff Jul 2022'!N28/100)))</f>
        <v>349.9305599999999</v>
      </c>
      <c r="E40" s="208">
        <f>IF(AND('Tariff Jul 2022'!P28&gt;0,'Tariff Jul 2022'!R28&gt;0),IF($H$5&lt;'Tariff Jul 2022'!P28,0,IF($H$5&lt;=('Tariff Jul 2022'!R28+'Tariff Jul 2022'!P28),(($H$5-'Tariff Jul 2022'!P28)*'Tariff Jul 2022'!Q28/100),(('Tariff Jul 2022'!R28)*'Tariff Jul 2022'!Q28/100))),0)</f>
        <v>0</v>
      </c>
      <c r="F40" s="208">
        <f>IF(AND('Tariff Jul 2022'!Q28&gt;0,'Tariff Jul 2022'!S28&gt;0),IF($H$5&lt;('Tariff Jul 2022'!R28+'Tariff Jul 2022'!P28),0,IF($H$5&lt;=('Tariff Jul 2022'!T28+'Tariff Jul 2022'!R28+'Tariff Jul 2022'!P28),(($H$5-('Tariff Jul 2022'!R28+'Tariff Jul 2022'!P28))*'Tariff Jul 2022'!S28/100),('Tariff Jul 2022'!T28*'Tariff Jul 2022'!S28/100))),0)</f>
        <v>0</v>
      </c>
      <c r="G40" s="208">
        <f>IF('Tariff Jul 2022'!T28&gt;0,IF(($H$5&lt;'Tariff Jul 2022'!T28),(0),($H$5-'Tariff Jul 2022'!T28)*'Tariff Jul 2022'!U28/100),IF(AND('Tariff Jul 2022'!R28&gt;0,'Tariff Jul 2022'!T28=""),IF(($H$5&lt;'Tariff Jul 2022'!R28),(0),($H$5-'Tariff Jul 2022'!R28)*'Tariff Jul 2022'!S28/100),IF(AND('Tariff Jul 2022'!P28&gt;0,'Tariff Jul 2022'!R28=""),IF(($H$5&lt;'Tariff Jul 2022'!P28),(0),($H$5-'Tariff Jul 2022'!P28)*'Tariff Jul 2022'!Q28/100),0)))</f>
        <v>0</v>
      </c>
      <c r="H40" s="208">
        <f>($I$5)*'Tariff Jul 2022'!AE28/100</f>
        <v>74.985119999999995</v>
      </c>
      <c r="I40" s="208">
        <v>0</v>
      </c>
      <c r="J40" s="208">
        <f t="shared" si="18"/>
        <v>506.81567999999987</v>
      </c>
      <c r="K40" s="283">
        <f t="shared" si="21"/>
        <v>1699.6627199999996</v>
      </c>
      <c r="L40" s="283">
        <f t="shared" si="19"/>
        <v>2027.2627199999995</v>
      </c>
      <c r="M40" s="191">
        <f t="shared" si="20"/>
        <v>2229.9889919999996</v>
      </c>
      <c r="N40" s="187">
        <f>'Tariff Jul 2022'!AZ28</f>
        <v>0</v>
      </c>
      <c r="O40" s="187">
        <f>'Tariff Jul 2022'!BA28</f>
        <v>0</v>
      </c>
      <c r="P40" s="187">
        <f>'Tariff Jul 2022'!BB28</f>
        <v>0</v>
      </c>
      <c r="Q40" s="187">
        <f>'Tariff Jul 2022'!BC28</f>
        <v>0</v>
      </c>
      <c r="R40" s="192">
        <f>($F$6*'Tariff Jul 2022'!AT28/100)*4</f>
        <v>26.107199999999999</v>
      </c>
      <c r="S40" s="193" t="str">
        <f t="shared" si="11"/>
        <v>No discount</v>
      </c>
      <c r="T40" s="193" t="str">
        <f t="shared" si="12"/>
        <v>Exclusive</v>
      </c>
      <c r="U40" s="304">
        <f t="shared" si="13"/>
        <v>2027.2627199999995</v>
      </c>
      <c r="V40" s="283">
        <f t="shared" si="14"/>
        <v>2027.2627199999995</v>
      </c>
      <c r="W40" s="283">
        <f t="shared" si="15"/>
        <v>2001.1555199999996</v>
      </c>
      <c r="X40" s="283">
        <f t="shared" si="16"/>
        <v>2001.1555199999996</v>
      </c>
      <c r="Y40" s="285">
        <f t="shared" si="17"/>
        <v>2201.2710719999995</v>
      </c>
      <c r="Z40" s="285">
        <f t="shared" si="17"/>
        <v>2201.2710719999995</v>
      </c>
      <c r="AA40" s="194">
        <f>'Tariff Jul 2022'!AT27</f>
        <v>0</v>
      </c>
      <c r="AB40" s="195">
        <f>'Tariff Jul 2022'!BL28</f>
        <v>0</v>
      </c>
      <c r="AC40" s="195" t="str">
        <f>'Tariff Jul 2022'!BM28</f>
        <v>n</v>
      </c>
      <c r="AD40" s="196">
        <f>'Tariff Jul 2022'!G28</f>
        <v>43252</v>
      </c>
      <c r="AE40" s="344"/>
      <c r="AF40" s="344"/>
      <c r="AG40" s="344"/>
      <c r="AH40" s="344"/>
      <c r="AI40" s="344"/>
      <c r="AJ40" s="344"/>
      <c r="AK40" s="344"/>
      <c r="AL40" s="344"/>
      <c r="AM40" s="344"/>
      <c r="AN40" s="344"/>
      <c r="AO40" s="344"/>
      <c r="AP40" s="344"/>
      <c r="AQ40" s="344"/>
      <c r="AR40" s="344"/>
      <c r="AS40" s="344"/>
      <c r="AT40" s="344"/>
      <c r="AU40" s="344"/>
      <c r="AV40" s="344"/>
    </row>
    <row r="41" spans="1:48" s="187" customFormat="1" x14ac:dyDescent="0.15">
      <c r="A41" s="186" t="str">
        <f>'Tariff Jul 2022'!K29</f>
        <v>Kogan Energy</v>
      </c>
      <c r="B41" s="187" t="str">
        <f>'Tariff Jul 2022'!L29</f>
        <v>Free Kogan First Membership</v>
      </c>
      <c r="C41" s="208">
        <f>IF('Tariff Jul 2022'!BP29=0,91*'Tariff Jul 2022'!M29/100,(91*'Tariff Jul 2022'!M29/100)+'Tariff Jul 2022'!BP29/4)</f>
        <v>100.646</v>
      </c>
      <c r="D41" s="208">
        <f>IF('Tariff Jul 2022'!O29="",$H$5*'Tariff Jul 2022'!N29/100,IF($H$5&gt;='Tariff Jul 2022'!P29,('Tariff Jul 2022'!P29*'Tariff Jul 2022'!N29/100),($H$5*'Tariff Jul 2022'!N29/100)))</f>
        <v>222.29355054545448</v>
      </c>
      <c r="E41" s="208">
        <f>IF(AND('Tariff Jul 2022'!P29&gt;0,'Tariff Jul 2022'!R29&gt;0),IF($H$5&lt;'Tariff Jul 2022'!P29,0,IF($H$5&lt;=('Tariff Jul 2022'!R29+'Tariff Jul 2022'!P29),(($H$5-'Tariff Jul 2022'!P29)*'Tariff Jul 2022'!Q29/100),(('Tariff Jul 2022'!R29)*'Tariff Jul 2022'!Q29/100))),0)</f>
        <v>0</v>
      </c>
      <c r="F41" s="208">
        <f>IF(AND('Tariff Jul 2022'!Q29&gt;0,'Tariff Jul 2022'!S29&gt;0),IF($H$5&lt;('Tariff Jul 2022'!R29+'Tariff Jul 2022'!P29),0,IF($H$5&lt;=('Tariff Jul 2022'!T29+'Tariff Jul 2022'!R29+'Tariff Jul 2022'!P29),(($H$5-('Tariff Jul 2022'!R29+'Tariff Jul 2022'!P29))*'Tariff Jul 2022'!S29/100),('Tariff Jul 2022'!T29*'Tariff Jul 2022'!S29/100))),0)</f>
        <v>0</v>
      </c>
      <c r="G41" s="208">
        <f>IF('Tariff Jul 2022'!T29&gt;0,IF(($H$5&lt;'Tariff Jul 2022'!T29),(0),($H$5-'Tariff Jul 2022'!T29)*'Tariff Jul 2022'!U29/100),IF(AND('Tariff Jul 2022'!R29&gt;0,'Tariff Jul 2022'!T29=""),IF(($H$5&lt;'Tariff Jul 2022'!R29),(0),($H$5-'Tariff Jul 2022'!R29)*'Tariff Jul 2022'!S29/100),IF(AND('Tariff Jul 2022'!P29&gt;0,'Tariff Jul 2022'!R29=""),IF(($H$5&lt;'Tariff Jul 2022'!P29),(0),($H$5-'Tariff Jul 2022'!P29)*'Tariff Jul 2022'!Q29/100),0)))</f>
        <v>0</v>
      </c>
      <c r="H41" s="208">
        <f>($I$5)*'Tariff Jul 2022'!AE29/100</f>
        <v>43.595245090909074</v>
      </c>
      <c r="I41" s="208">
        <v>0</v>
      </c>
      <c r="J41" s="208">
        <f t="shared" si="18"/>
        <v>366.53479563636358</v>
      </c>
      <c r="K41" s="283">
        <f t="shared" si="21"/>
        <v>1063.5551825454543</v>
      </c>
      <c r="L41" s="283">
        <f t="shared" si="19"/>
        <v>1466.1391825454543</v>
      </c>
      <c r="M41" s="191">
        <f t="shared" si="20"/>
        <v>1612.7531007999999</v>
      </c>
      <c r="N41" s="187">
        <f>'Tariff Jul 2022'!AZ29</f>
        <v>0</v>
      </c>
      <c r="O41" s="187">
        <f>'Tariff Jul 2022'!BA29</f>
        <v>0</v>
      </c>
      <c r="P41" s="187">
        <f>'Tariff Jul 2022'!BB29</f>
        <v>0</v>
      </c>
      <c r="Q41" s="187">
        <f>'Tariff Jul 2022'!BC29</f>
        <v>0</v>
      </c>
      <c r="R41" s="192">
        <f>($F$6*'Tariff Jul 2022'!AT29/100)*4</f>
        <v>53.780832000000004</v>
      </c>
      <c r="S41" s="193" t="str">
        <f t="shared" si="11"/>
        <v>No discount</v>
      </c>
      <c r="T41" s="193" t="str">
        <f t="shared" si="12"/>
        <v>Exclusive</v>
      </c>
      <c r="U41" s="304">
        <f t="shared" si="13"/>
        <v>1466.1391825454543</v>
      </c>
      <c r="V41" s="283">
        <f t="shared" si="14"/>
        <v>1466.1391825454543</v>
      </c>
      <c r="W41" s="283">
        <f t="shared" si="15"/>
        <v>1412.3583505454544</v>
      </c>
      <c r="X41" s="283">
        <f t="shared" si="16"/>
        <v>1412.3583505454544</v>
      </c>
      <c r="Y41" s="285">
        <f t="shared" si="17"/>
        <v>1553.5941855999999</v>
      </c>
      <c r="Z41" s="285">
        <f t="shared" si="17"/>
        <v>1553.5941855999999</v>
      </c>
      <c r="AA41" s="194">
        <f>'Tariff Jul 2022'!AT28</f>
        <v>1</v>
      </c>
      <c r="AB41" s="195">
        <f>'Tariff Jul 2022'!BL29</f>
        <v>0</v>
      </c>
      <c r="AC41" s="195" t="str">
        <f>'Tariff Jul 2022'!BM29</f>
        <v>n</v>
      </c>
      <c r="AD41" s="196">
        <f>'Tariff Jul 2022'!G29</f>
        <v>43266</v>
      </c>
      <c r="AE41" s="344"/>
      <c r="AF41" s="344"/>
      <c r="AG41" s="344"/>
      <c r="AH41" s="344"/>
      <c r="AI41" s="344"/>
      <c r="AJ41" s="344"/>
      <c r="AK41" s="344"/>
      <c r="AL41" s="344"/>
      <c r="AM41" s="344"/>
      <c r="AN41" s="344"/>
      <c r="AO41" s="344"/>
      <c r="AP41" s="344"/>
      <c r="AQ41" s="344"/>
      <c r="AR41" s="344"/>
      <c r="AS41" s="344"/>
      <c r="AT41" s="344"/>
      <c r="AU41" s="344"/>
      <c r="AV41" s="344"/>
    </row>
    <row r="42" spans="1:48" s="187" customFormat="1" x14ac:dyDescent="0.15">
      <c r="A42" s="186" t="str">
        <f>'Tariff Jul 2022'!K30</f>
        <v>ReAmped Energy</v>
      </c>
      <c r="B42" s="187" t="str">
        <f>'Tariff Jul 2022'!L30</f>
        <v>Solar</v>
      </c>
      <c r="C42" s="208">
        <f>IF('Tariff Jul 2022'!BP30=0,91*'Tariff Jul 2022'!M30/100,(91*'Tariff Jul 2022'!M30/100)+'Tariff Jul 2022'!BP30/4)</f>
        <v>94.085727272727269</v>
      </c>
      <c r="D42" s="208">
        <f>IF('Tariff Jul 2022'!O30="",$H$5*'Tariff Jul 2022'!N30/100,IF($H$5&gt;='Tariff Jul 2022'!P30,('Tariff Jul 2022'!P30*'Tariff Jul 2022'!N30/100),($H$5*'Tariff Jul 2022'!N30/100)))</f>
        <v>284.03454545454537</v>
      </c>
      <c r="E42" s="208">
        <f>IF(AND('Tariff Jul 2022'!P30&gt;0,'Tariff Jul 2022'!R30&gt;0),IF($H$5&lt;'Tariff Jul 2022'!P30,0,IF($H$5&lt;=('Tariff Jul 2022'!R30+'Tariff Jul 2022'!P30),(($H$5-'Tariff Jul 2022'!P30)*'Tariff Jul 2022'!Q30/100),(('Tariff Jul 2022'!R30)*'Tariff Jul 2022'!Q30/100))),0)</f>
        <v>0</v>
      </c>
      <c r="F42" s="208">
        <f>IF(AND('Tariff Jul 2022'!Q30&gt;0,'Tariff Jul 2022'!S30&gt;0),IF($H$5&lt;('Tariff Jul 2022'!R30+'Tariff Jul 2022'!P30),0,IF($H$5&lt;=('Tariff Jul 2022'!T30+'Tariff Jul 2022'!R30+'Tariff Jul 2022'!P30),(($H$5-('Tariff Jul 2022'!R30+'Tariff Jul 2022'!P30))*'Tariff Jul 2022'!S30/100),('Tariff Jul 2022'!T30*'Tariff Jul 2022'!S30/100))),0)</f>
        <v>0</v>
      </c>
      <c r="G42" s="208">
        <f>IF('Tariff Jul 2022'!T30&gt;0,IF(($H$5&lt;'Tariff Jul 2022'!T30),(0),($H$5-'Tariff Jul 2022'!T30)*'Tariff Jul 2022'!U30/100),IF(AND('Tariff Jul 2022'!R30&gt;0,'Tariff Jul 2022'!T30=""),IF(($H$5&lt;'Tariff Jul 2022'!R30),(0),($H$5-'Tariff Jul 2022'!R30)*'Tariff Jul 2022'!S30/100),IF(AND('Tariff Jul 2022'!P30&gt;0,'Tariff Jul 2022'!R30=""),IF(($H$5&lt;'Tariff Jul 2022'!P30),(0),($H$5-'Tariff Jul 2022'!P30)*'Tariff Jul 2022'!Q30/100),0)))</f>
        <v>0</v>
      </c>
      <c r="H42" s="208">
        <f>($I$5)*'Tariff Jul 2022'!AE30/100</f>
        <v>57.796972363636343</v>
      </c>
      <c r="I42" s="208">
        <v>0</v>
      </c>
      <c r="J42" s="208">
        <f t="shared" ref="J42:J43" si="22">SUM(C42:I42)</f>
        <v>435.91724509090898</v>
      </c>
      <c r="K42" s="283">
        <f t="shared" si="21"/>
        <v>1367.3260712727269</v>
      </c>
      <c r="L42" s="283">
        <f t="shared" si="19"/>
        <v>1743.6689803636359</v>
      </c>
      <c r="M42" s="191">
        <f t="shared" si="20"/>
        <v>1918.0358783999995</v>
      </c>
      <c r="N42" s="187">
        <f>'Tariff Jul 2022'!AZ30</f>
        <v>0</v>
      </c>
      <c r="O42" s="187">
        <f>'Tariff Jul 2022'!BA30</f>
        <v>0</v>
      </c>
      <c r="P42" s="187">
        <f>'Tariff Jul 2022'!BB30</f>
        <v>0</v>
      </c>
      <c r="Q42" s="187">
        <f>'Tariff Jul 2022'!BC30</f>
        <v>0</v>
      </c>
      <c r="R42" s="192">
        <f>($F$6*'Tariff Jul 2022'!AT30/100)*4</f>
        <v>0</v>
      </c>
      <c r="S42" s="193" t="str">
        <f t="shared" si="11"/>
        <v>No discount</v>
      </c>
      <c r="T42" s="193" t="str">
        <f t="shared" si="12"/>
        <v>Exclusive</v>
      </c>
      <c r="U42" s="304">
        <f t="shared" si="13"/>
        <v>1743.6689803636359</v>
      </c>
      <c r="V42" s="283">
        <f t="shared" si="14"/>
        <v>1743.6689803636359</v>
      </c>
      <c r="W42" s="283">
        <f t="shared" si="15"/>
        <v>1743.6689803636359</v>
      </c>
      <c r="X42" s="283">
        <f t="shared" si="16"/>
        <v>1743.6689803636359</v>
      </c>
      <c r="Y42" s="285">
        <f t="shared" si="17"/>
        <v>1918.0358783999995</v>
      </c>
      <c r="Z42" s="285">
        <f t="shared" si="17"/>
        <v>1918.0358783999995</v>
      </c>
      <c r="AA42" s="194">
        <f>'Tariff Jul 2022'!AT29</f>
        <v>2.06</v>
      </c>
      <c r="AB42" s="195">
        <f>'Tariff Jul 2022'!BL30</f>
        <v>0</v>
      </c>
      <c r="AC42" s="195" t="str">
        <f>'Tariff Jul 2022'!BM30</f>
        <v>n</v>
      </c>
      <c r="AD42" s="196">
        <f>'Tariff Jul 2022'!G30</f>
        <v>43273</v>
      </c>
      <c r="AE42" s="344"/>
      <c r="AF42" s="344"/>
      <c r="AG42" s="344"/>
      <c r="AH42" s="344"/>
      <c r="AI42" s="344"/>
      <c r="AJ42" s="344"/>
      <c r="AK42" s="344"/>
      <c r="AL42" s="344"/>
      <c r="AM42" s="344"/>
      <c r="AN42" s="344"/>
      <c r="AO42" s="344"/>
      <c r="AP42" s="344"/>
      <c r="AQ42" s="344"/>
      <c r="AR42" s="344"/>
      <c r="AS42" s="344"/>
      <c r="AT42" s="344"/>
      <c r="AU42" s="344"/>
      <c r="AV42" s="344"/>
    </row>
    <row r="43" spans="1:48" s="187" customFormat="1" x14ac:dyDescent="0.15">
      <c r="A43" s="186" t="str">
        <f>'Tariff Jul 2022'!K31</f>
        <v>Circular Energy</v>
      </c>
      <c r="B43" s="187" t="str">
        <f>'Tariff Jul 2022'!L31</f>
        <v>Community Energy</v>
      </c>
      <c r="C43" s="208">
        <f>IF('Tariff Jul 2022'!BP31=0,91*'Tariff Jul 2022'!M31/100,(91*'Tariff Jul 2022'!M31/100)+'Tariff Jul 2022'!BP31/4)</f>
        <v>102.8090909090909</v>
      </c>
      <c r="D43" s="208">
        <f>IF('Tariff Jul 2022'!O31="",$H$5*'Tariff Jul 2022'!N31/100,IF($H$5&gt;='Tariff Jul 2022'!P31,('Tariff Jul 2022'!P31*'Tariff Jul 2022'!N31/100),($H$5*'Tariff Jul 2022'!N31/100)))</f>
        <v>233.46016581818176</v>
      </c>
      <c r="E43" s="208">
        <f>IF(AND('Tariff Jul 2022'!P31&gt;0,'Tariff Jul 2022'!R31&gt;0),IF($H$5&lt;'Tariff Jul 2022'!P31,0,IF($H$5&lt;=('Tariff Jul 2022'!R31+'Tariff Jul 2022'!P31),(($H$5-'Tariff Jul 2022'!P31)*'Tariff Jul 2022'!Q31/100),(('Tariff Jul 2022'!R31)*'Tariff Jul 2022'!Q31/100))),0)</f>
        <v>0</v>
      </c>
      <c r="F43" s="208">
        <f>IF(AND('Tariff Jul 2022'!Q31&gt;0,'Tariff Jul 2022'!S31&gt;0),IF($H$5&lt;('Tariff Jul 2022'!R31+'Tariff Jul 2022'!P31),0,IF($H$5&lt;=('Tariff Jul 2022'!T31+'Tariff Jul 2022'!R31+'Tariff Jul 2022'!P31),(($H$5-('Tariff Jul 2022'!R31+'Tariff Jul 2022'!P31))*'Tariff Jul 2022'!S31/100),('Tariff Jul 2022'!T31*'Tariff Jul 2022'!S31/100))),0)</f>
        <v>0</v>
      </c>
      <c r="G43" s="208">
        <f>IF('Tariff Jul 2022'!T31&gt;0,IF(($H$5&lt;'Tariff Jul 2022'!T31),(0),($H$5-'Tariff Jul 2022'!T31)*'Tariff Jul 2022'!U31/100),IF(AND('Tariff Jul 2022'!R31&gt;0,'Tariff Jul 2022'!T31=""),IF(($H$5&lt;'Tariff Jul 2022'!R31),(0),($H$5-'Tariff Jul 2022'!R31)*'Tariff Jul 2022'!S31/100),IF(AND('Tariff Jul 2022'!P31&gt;0,'Tariff Jul 2022'!R31=""),IF(($H$5&lt;'Tariff Jul 2022'!P31),(0),($H$5-'Tariff Jul 2022'!P31)*'Tariff Jul 2022'!Q31/100),0)))</f>
        <v>0</v>
      </c>
      <c r="H43" s="208">
        <f>($I$5)*'Tariff Jul 2022'!AE31/100</f>
        <v>32.704549090909083</v>
      </c>
      <c r="I43" s="208">
        <v>0</v>
      </c>
      <c r="J43" s="208">
        <f t="shared" si="22"/>
        <v>368.97380581818175</v>
      </c>
      <c r="K43" s="283">
        <f t="shared" si="21"/>
        <v>1064.6588596363633</v>
      </c>
      <c r="L43" s="283">
        <f t="shared" si="19"/>
        <v>1475.895223272727</v>
      </c>
      <c r="M43" s="191">
        <f t="shared" si="20"/>
        <v>1623.4847455999998</v>
      </c>
      <c r="N43" s="187">
        <f>'Tariff Jul 2022'!AZ31</f>
        <v>0</v>
      </c>
      <c r="O43" s="187">
        <f>'Tariff Jul 2022'!BA31</f>
        <v>0</v>
      </c>
      <c r="P43" s="187">
        <f>'Tariff Jul 2022'!BB31</f>
        <v>0</v>
      </c>
      <c r="Q43" s="187">
        <f>'Tariff Jul 2022'!BC31</f>
        <v>0</v>
      </c>
      <c r="R43" s="192">
        <f>($F$6*'Tariff Jul 2022'!AT31/100)*4</f>
        <v>182.75039999999998</v>
      </c>
      <c r="S43" s="193" t="str">
        <f t="shared" si="11"/>
        <v>No discount</v>
      </c>
      <c r="T43" s="193" t="str">
        <f t="shared" si="12"/>
        <v>Exclusive</v>
      </c>
      <c r="U43" s="304">
        <f t="shared" si="13"/>
        <v>1475.895223272727</v>
      </c>
      <c r="V43" s="283">
        <f t="shared" si="14"/>
        <v>1475.895223272727</v>
      </c>
      <c r="W43" s="283">
        <f t="shared" si="15"/>
        <v>1293.1448232727271</v>
      </c>
      <c r="X43" s="283">
        <f t="shared" si="16"/>
        <v>1293.1448232727271</v>
      </c>
      <c r="Y43" s="285">
        <f t="shared" si="17"/>
        <v>1422.4593055999999</v>
      </c>
      <c r="Z43" s="285">
        <f t="shared" si="17"/>
        <v>1422.4593055999999</v>
      </c>
      <c r="AA43" s="194">
        <f>'Tariff Jul 2022'!AT30</f>
        <v>0</v>
      </c>
      <c r="AB43" s="195">
        <f>'Tariff Jul 2022'!BL31</f>
        <v>0</v>
      </c>
      <c r="AC43" s="195" t="str">
        <f>'Tariff Jul 2022'!BM31</f>
        <v>n</v>
      </c>
      <c r="AD43" s="196">
        <f>'Tariff Jul 2022'!G31</f>
        <v>43281</v>
      </c>
      <c r="AE43" s="344"/>
      <c r="AF43" s="344"/>
      <c r="AG43" s="344"/>
      <c r="AH43" s="344"/>
      <c r="AI43" s="344"/>
      <c r="AJ43" s="344"/>
      <c r="AK43" s="344"/>
      <c r="AL43" s="344"/>
      <c r="AM43" s="344"/>
      <c r="AN43" s="344"/>
      <c r="AO43" s="344"/>
      <c r="AP43" s="344"/>
      <c r="AQ43" s="344"/>
      <c r="AR43" s="344"/>
      <c r="AS43" s="344"/>
      <c r="AT43" s="344"/>
      <c r="AU43" s="344"/>
      <c r="AV43" s="344"/>
    </row>
    <row r="44" spans="1:48" s="187" customFormat="1" x14ac:dyDescent="0.15">
      <c r="A44" s="344"/>
      <c r="B44" s="344"/>
      <c r="C44" s="344"/>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row>
    <row r="45" spans="1:48" s="187" customFormat="1" x14ac:dyDescent="0.15">
      <c r="A45" s="344"/>
      <c r="B45" s="344"/>
      <c r="C45" s="344"/>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row>
    <row r="46" spans="1:48" s="187" customFormat="1" x14ac:dyDescent="0.15">
      <c r="A46" s="344"/>
      <c r="B46" s="344"/>
      <c r="C46" s="344"/>
      <c r="D46" s="344"/>
      <c r="E46" s="344"/>
      <c r="F46" s="344"/>
      <c r="G46" s="344"/>
      <c r="H46" s="344"/>
      <c r="I46" s="344"/>
      <c r="J46" s="344"/>
      <c r="K46" s="344"/>
      <c r="L46" s="344"/>
      <c r="M46" s="344"/>
      <c r="N46" s="344"/>
      <c r="O46" s="344"/>
      <c r="P46" s="344"/>
      <c r="Q46" s="344"/>
      <c r="R46" s="344"/>
      <c r="S46" s="344"/>
      <c r="T46" s="344"/>
      <c r="U46" s="344"/>
      <c r="V46" s="344"/>
      <c r="W46" s="344"/>
      <c r="X46" s="344"/>
      <c r="Y46" s="344"/>
      <c r="Z46" s="344"/>
      <c r="AA46" s="344"/>
      <c r="AB46" s="344"/>
      <c r="AC46" s="344"/>
      <c r="AD46" s="344"/>
      <c r="AE46" s="344"/>
      <c r="AF46" s="344"/>
      <c r="AG46" s="344"/>
      <c r="AH46" s="344"/>
      <c r="AI46" s="344"/>
      <c r="AJ46" s="344"/>
      <c r="AK46" s="344"/>
      <c r="AL46" s="344"/>
      <c r="AM46" s="344"/>
      <c r="AN46" s="344"/>
      <c r="AO46" s="344"/>
      <c r="AP46" s="344"/>
      <c r="AQ46" s="344"/>
      <c r="AR46" s="344"/>
      <c r="AS46" s="344"/>
      <c r="AT46" s="344"/>
      <c r="AU46" s="344"/>
      <c r="AV46" s="344"/>
    </row>
    <row r="47" spans="1:48" s="187" customFormat="1" x14ac:dyDescent="0.15">
      <c r="A47" s="344"/>
      <c r="B47" s="344"/>
      <c r="C47" s="344"/>
      <c r="D47" s="344"/>
      <c r="E47" s="344"/>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row>
    <row r="48" spans="1:48" s="187" customFormat="1" x14ac:dyDescent="0.15">
      <c r="A48" s="344"/>
      <c r="B48" s="344"/>
      <c r="C48" s="344"/>
      <c r="D48" s="344"/>
      <c r="E48" s="344"/>
      <c r="F48" s="344"/>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344"/>
      <c r="AE48" s="344"/>
      <c r="AF48" s="344"/>
      <c r="AG48" s="344"/>
      <c r="AH48" s="344"/>
      <c r="AI48" s="344"/>
      <c r="AJ48" s="344"/>
      <c r="AK48" s="344"/>
      <c r="AL48" s="344"/>
      <c r="AM48" s="344"/>
      <c r="AN48" s="344"/>
      <c r="AO48" s="344"/>
      <c r="AP48" s="344"/>
      <c r="AQ48" s="344"/>
      <c r="AR48" s="344"/>
      <c r="AS48" s="344"/>
      <c r="AT48" s="344"/>
      <c r="AU48" s="344"/>
      <c r="AV48" s="344"/>
    </row>
    <row r="49" spans="1:48" s="187" customFormat="1" x14ac:dyDescent="0.15">
      <c r="A49" s="344"/>
      <c r="B49" s="344"/>
      <c r="C49" s="344"/>
      <c r="D49" s="344"/>
      <c r="E49" s="344"/>
      <c r="F49" s="344"/>
      <c r="G49" s="344"/>
      <c r="H49" s="344"/>
      <c r="I49" s="344"/>
      <c r="J49" s="344"/>
      <c r="K49" s="344"/>
      <c r="L49" s="344"/>
      <c r="M49" s="344"/>
      <c r="N49" s="344"/>
      <c r="O49" s="344"/>
      <c r="P49" s="344"/>
      <c r="Q49" s="344"/>
      <c r="R49" s="344"/>
      <c r="S49" s="344"/>
      <c r="T49" s="344"/>
      <c r="U49" s="344"/>
      <c r="V49" s="344"/>
      <c r="W49" s="344"/>
      <c r="X49" s="344"/>
      <c r="Y49" s="344"/>
      <c r="Z49" s="344"/>
      <c r="AA49" s="344"/>
      <c r="AB49" s="344"/>
      <c r="AC49" s="344"/>
      <c r="AD49" s="344"/>
      <c r="AE49" s="344"/>
      <c r="AF49" s="344"/>
      <c r="AG49" s="344"/>
      <c r="AH49" s="344"/>
      <c r="AI49" s="344"/>
      <c r="AJ49" s="344"/>
      <c r="AK49" s="344"/>
      <c r="AL49" s="344"/>
      <c r="AM49" s="344"/>
      <c r="AN49" s="344"/>
      <c r="AO49" s="344"/>
      <c r="AP49" s="344"/>
      <c r="AQ49" s="344"/>
      <c r="AR49" s="344"/>
      <c r="AS49" s="344"/>
      <c r="AT49" s="344"/>
      <c r="AU49" s="344"/>
      <c r="AV49" s="344"/>
    </row>
    <row r="50" spans="1:48" s="187" customFormat="1" x14ac:dyDescent="0.15">
      <c r="A50" s="344"/>
      <c r="B50" s="344"/>
      <c r="C50" s="344"/>
      <c r="D50" s="344"/>
      <c r="E50" s="344"/>
      <c r="F50" s="344"/>
      <c r="G50" s="344"/>
      <c r="H50" s="344"/>
      <c r="I50" s="344"/>
      <c r="J50" s="344"/>
      <c r="K50" s="344"/>
      <c r="L50" s="344"/>
      <c r="M50" s="344"/>
      <c r="N50" s="344"/>
      <c r="O50" s="344"/>
      <c r="P50" s="344"/>
      <c r="Q50" s="344"/>
      <c r="R50" s="344"/>
      <c r="S50" s="344"/>
      <c r="T50" s="344"/>
      <c r="U50" s="344"/>
      <c r="V50" s="344"/>
      <c r="W50" s="344"/>
      <c r="X50" s="344"/>
      <c r="Y50" s="344"/>
      <c r="Z50" s="344"/>
      <c r="AA50" s="344"/>
      <c r="AB50" s="344"/>
      <c r="AC50" s="344"/>
      <c r="AD50" s="344"/>
      <c r="AE50" s="344"/>
      <c r="AF50" s="344"/>
      <c r="AG50" s="344"/>
      <c r="AH50" s="344"/>
      <c r="AI50" s="344"/>
      <c r="AJ50" s="344"/>
      <c r="AK50" s="344"/>
      <c r="AL50" s="344"/>
      <c r="AM50" s="344"/>
      <c r="AN50" s="344"/>
      <c r="AO50" s="344"/>
      <c r="AP50" s="344"/>
      <c r="AQ50" s="344"/>
      <c r="AR50" s="344"/>
      <c r="AS50" s="344"/>
      <c r="AT50" s="344"/>
      <c r="AU50" s="344"/>
      <c r="AV50" s="344"/>
    </row>
    <row r="51" spans="1:48" s="187" customFormat="1" x14ac:dyDescent="0.15">
      <c r="A51" s="344"/>
      <c r="B51" s="344"/>
      <c r="C51" s="344"/>
      <c r="D51" s="344"/>
      <c r="E51" s="344"/>
      <c r="F51" s="344"/>
      <c r="G51" s="344"/>
      <c r="H51" s="344"/>
      <c r="I51" s="344"/>
      <c r="J51" s="344"/>
      <c r="K51" s="344"/>
      <c r="L51" s="344"/>
      <c r="M51" s="344"/>
      <c r="N51" s="344"/>
      <c r="O51" s="344"/>
      <c r="P51" s="344"/>
      <c r="Q51" s="344"/>
      <c r="R51" s="344"/>
      <c r="S51" s="344"/>
      <c r="T51" s="344"/>
      <c r="U51" s="344"/>
      <c r="V51" s="344"/>
      <c r="W51" s="344"/>
      <c r="X51" s="344"/>
      <c r="Y51" s="344"/>
      <c r="Z51" s="344"/>
      <c r="AA51" s="344"/>
      <c r="AB51" s="344"/>
      <c r="AC51" s="344"/>
      <c r="AD51" s="344"/>
      <c r="AE51" s="344"/>
      <c r="AF51" s="344"/>
      <c r="AG51" s="344"/>
      <c r="AH51" s="344"/>
      <c r="AI51" s="344"/>
      <c r="AJ51" s="344"/>
      <c r="AK51" s="344"/>
      <c r="AL51" s="344"/>
      <c r="AM51" s="344"/>
      <c r="AN51" s="344"/>
      <c r="AO51" s="344"/>
      <c r="AP51" s="344"/>
      <c r="AQ51" s="344"/>
      <c r="AR51" s="344"/>
      <c r="AS51" s="344"/>
      <c r="AT51" s="344"/>
      <c r="AU51" s="344"/>
      <c r="AV51" s="344"/>
    </row>
    <row r="52" spans="1:48" s="187" customFormat="1" x14ac:dyDescent="0.15">
      <c r="A52" s="344"/>
      <c r="B52" s="344"/>
      <c r="C52" s="344"/>
      <c r="D52" s="344"/>
      <c r="E52" s="344"/>
      <c r="F52" s="344"/>
      <c r="G52" s="344"/>
      <c r="H52" s="344"/>
      <c r="I52" s="344"/>
      <c r="J52" s="344"/>
      <c r="K52" s="344"/>
      <c r="L52" s="344"/>
      <c r="M52" s="344"/>
      <c r="N52" s="344"/>
      <c r="O52" s="344"/>
      <c r="P52" s="344"/>
      <c r="Q52" s="344"/>
      <c r="R52" s="344"/>
      <c r="S52" s="344"/>
      <c r="T52" s="344"/>
      <c r="U52" s="344"/>
      <c r="V52" s="344"/>
      <c r="W52" s="344"/>
      <c r="X52" s="344"/>
      <c r="Y52" s="344"/>
      <c r="Z52" s="344"/>
      <c r="AA52" s="344"/>
      <c r="AB52" s="344"/>
      <c r="AC52" s="344"/>
      <c r="AD52" s="344"/>
      <c r="AE52" s="344"/>
      <c r="AF52" s="344"/>
      <c r="AG52" s="344"/>
      <c r="AH52" s="344"/>
      <c r="AI52" s="344"/>
      <c r="AJ52" s="344"/>
      <c r="AK52" s="344"/>
      <c r="AL52" s="344"/>
      <c r="AM52" s="344"/>
      <c r="AN52" s="344"/>
      <c r="AO52" s="344"/>
      <c r="AP52" s="344"/>
      <c r="AQ52" s="344"/>
      <c r="AR52" s="344"/>
      <c r="AS52" s="344"/>
      <c r="AT52" s="344"/>
      <c r="AU52" s="344"/>
      <c r="AV52" s="344"/>
    </row>
    <row r="53" spans="1:48" s="187" customFormat="1" x14ac:dyDescent="0.15">
      <c r="A53" s="344"/>
      <c r="B53" s="344"/>
      <c r="C53" s="344"/>
      <c r="D53" s="344"/>
      <c r="E53" s="344"/>
      <c r="F53" s="344"/>
      <c r="G53" s="344"/>
      <c r="H53" s="344"/>
      <c r="I53" s="344"/>
      <c r="J53" s="344"/>
      <c r="K53" s="344"/>
      <c r="L53" s="344"/>
      <c r="M53" s="344"/>
      <c r="N53" s="344"/>
      <c r="O53" s="344"/>
      <c r="P53" s="344"/>
      <c r="Q53" s="344"/>
      <c r="R53" s="344"/>
      <c r="S53" s="344"/>
      <c r="T53" s="344"/>
      <c r="U53" s="344"/>
      <c r="V53" s="344"/>
      <c r="W53" s="344"/>
      <c r="X53" s="344"/>
      <c r="Y53" s="344"/>
      <c r="Z53" s="344"/>
      <c r="AA53" s="344"/>
      <c r="AB53" s="344"/>
      <c r="AC53" s="344"/>
      <c r="AD53" s="344"/>
      <c r="AE53" s="344"/>
      <c r="AF53" s="344"/>
      <c r="AG53" s="344"/>
      <c r="AH53" s="344"/>
      <c r="AI53" s="344"/>
      <c r="AJ53" s="344"/>
      <c r="AK53" s="344"/>
      <c r="AL53" s="344"/>
      <c r="AM53" s="344"/>
      <c r="AN53" s="344"/>
      <c r="AO53" s="344"/>
      <c r="AP53" s="344"/>
      <c r="AQ53" s="344"/>
      <c r="AR53" s="344"/>
      <c r="AS53" s="344"/>
      <c r="AT53" s="344"/>
      <c r="AU53" s="344"/>
      <c r="AV53" s="344"/>
    </row>
    <row r="54" spans="1:48" s="187" customFormat="1" x14ac:dyDescent="0.15">
      <c r="A54" s="344"/>
      <c r="B54" s="344"/>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4"/>
    </row>
    <row r="55" spans="1:48" s="187" customFormat="1" x14ac:dyDescent="0.15">
      <c r="A55" s="344"/>
      <c r="B55" s="344"/>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row>
    <row r="56" spans="1:48" s="187" customFormat="1" x14ac:dyDescent="0.15">
      <c r="A56" s="344"/>
      <c r="B56" s="344"/>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row>
    <row r="57" spans="1:48" s="187" customFormat="1" x14ac:dyDescent="0.15">
      <c r="A57" s="344"/>
      <c r="B57" s="344"/>
      <c r="C57" s="344"/>
      <c r="D57" s="344"/>
      <c r="E57" s="344"/>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row>
    <row r="58" spans="1:48" s="187" customFormat="1" x14ac:dyDescent="0.15">
      <c r="A58" s="344"/>
      <c r="B58" s="344"/>
      <c r="C58" s="344"/>
      <c r="D58" s="344"/>
      <c r="E58" s="344"/>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row>
    <row r="59" spans="1:48" s="187" customFormat="1" x14ac:dyDescent="0.15"/>
    <row r="60" spans="1:48" s="187" customFormat="1" x14ac:dyDescent="0.15"/>
    <row r="61" spans="1:48" s="187" customFormat="1" x14ac:dyDescent="0.15"/>
    <row r="62" spans="1:48" s="187" customFormat="1" x14ac:dyDescent="0.15"/>
    <row r="63" spans="1:48" s="187" customFormat="1" x14ac:dyDescent="0.15"/>
    <row r="64" spans="1:48" s="187" customFormat="1" x14ac:dyDescent="0.15"/>
    <row r="65" s="187" customFormat="1" x14ac:dyDescent="0.15"/>
    <row r="66" s="187" customFormat="1" x14ac:dyDescent="0.15"/>
    <row r="67" s="187" customFormat="1" x14ac:dyDescent="0.15"/>
    <row r="68" s="187" customFormat="1" x14ac:dyDescent="0.15"/>
    <row r="69" s="187" customFormat="1" x14ac:dyDescent="0.15"/>
    <row r="70" s="187" customFormat="1" x14ac:dyDescent="0.15"/>
    <row r="71" s="187" customFormat="1" x14ac:dyDescent="0.15"/>
    <row r="72" s="187" customFormat="1" x14ac:dyDescent="0.15"/>
    <row r="73" s="187" customFormat="1" x14ac:dyDescent="0.15"/>
    <row r="74" s="187" customFormat="1" x14ac:dyDescent="0.15"/>
    <row r="75" s="187" customFormat="1" x14ac:dyDescent="0.15"/>
    <row r="76" s="187" customFormat="1" x14ac:dyDescent="0.15"/>
    <row r="77" s="187" customFormat="1" x14ac:dyDescent="0.15"/>
    <row r="78" s="187" customFormat="1" x14ac:dyDescent="0.15"/>
    <row r="79" s="187" customFormat="1" x14ac:dyDescent="0.15"/>
    <row r="80" s="187" customFormat="1" x14ac:dyDescent="0.15"/>
    <row r="81" s="187" customFormat="1" x14ac:dyDescent="0.15"/>
    <row r="82" s="187" customFormat="1" x14ac:dyDescent="0.15"/>
    <row r="83" s="187" customFormat="1" x14ac:dyDescent="0.15"/>
    <row r="84" s="187" customFormat="1" x14ac:dyDescent="0.15"/>
    <row r="85" s="187" customFormat="1" x14ac:dyDescent="0.15"/>
    <row r="86" s="187" customFormat="1" x14ac:dyDescent="0.15"/>
    <row r="87" s="187" customFormat="1" x14ac:dyDescent="0.15"/>
    <row r="88" s="187" customFormat="1" x14ac:dyDescent="0.15"/>
    <row r="89" s="187" customFormat="1" x14ac:dyDescent="0.15"/>
    <row r="90" s="187" customFormat="1" x14ac:dyDescent="0.15"/>
    <row r="91" s="187" customFormat="1" x14ac:dyDescent="0.15"/>
    <row r="92" s="187" customFormat="1" x14ac:dyDescent="0.15"/>
    <row r="93" s="187" customFormat="1" x14ac:dyDescent="0.15"/>
    <row r="94" s="187" customFormat="1" x14ac:dyDescent="0.15"/>
    <row r="95" s="187" customFormat="1" x14ac:dyDescent="0.15"/>
    <row r="96" s="187" customFormat="1" x14ac:dyDescent="0.15"/>
    <row r="97" s="187" customFormat="1" x14ac:dyDescent="0.15"/>
    <row r="98" s="187" customFormat="1" x14ac:dyDescent="0.15"/>
    <row r="99" s="187" customFormat="1" x14ac:dyDescent="0.15"/>
    <row r="100" s="187" customFormat="1" x14ac:dyDescent="0.15"/>
    <row r="101" s="187" customFormat="1" x14ac:dyDescent="0.15"/>
    <row r="102" s="187" customFormat="1" x14ac:dyDescent="0.15"/>
    <row r="103" s="187" customFormat="1" x14ac:dyDescent="0.15"/>
    <row r="104" s="187" customFormat="1" x14ac:dyDescent="0.15"/>
    <row r="105" s="187" customFormat="1" x14ac:dyDescent="0.15"/>
    <row r="106" s="187" customFormat="1" x14ac:dyDescent="0.15"/>
    <row r="107" s="187" customFormat="1" x14ac:dyDescent="0.15"/>
    <row r="108" s="187" customFormat="1" x14ac:dyDescent="0.15"/>
    <row r="109" s="187" customFormat="1" x14ac:dyDescent="0.15"/>
    <row r="110" s="187" customFormat="1" x14ac:dyDescent="0.15"/>
    <row r="111" s="187" customFormat="1" x14ac:dyDescent="0.15"/>
    <row r="112" s="187" customFormat="1" x14ac:dyDescent="0.15"/>
    <row r="113" s="187" customFormat="1" x14ac:dyDescent="0.15"/>
    <row r="114" s="187" customFormat="1" x14ac:dyDescent="0.15"/>
    <row r="115" s="187" customFormat="1" x14ac:dyDescent="0.15"/>
    <row r="116" s="187" customFormat="1" x14ac:dyDescent="0.15"/>
    <row r="117" s="187" customFormat="1" x14ac:dyDescent="0.15"/>
    <row r="118" s="187" customFormat="1" x14ac:dyDescent="0.15"/>
    <row r="119" s="187" customFormat="1" x14ac:dyDescent="0.15"/>
    <row r="120" s="187" customFormat="1" x14ac:dyDescent="0.15"/>
    <row r="121" s="187" customFormat="1" x14ac:dyDescent="0.15"/>
    <row r="122" s="187" customFormat="1" x14ac:dyDescent="0.15"/>
    <row r="123" s="187" customFormat="1" x14ac:dyDescent="0.15"/>
    <row r="124" s="187" customFormat="1" x14ac:dyDescent="0.15"/>
    <row r="125" s="187" customFormat="1" x14ac:dyDescent="0.15"/>
    <row r="126" s="187" customFormat="1" x14ac:dyDescent="0.15"/>
    <row r="127" s="187" customFormat="1" x14ac:dyDescent="0.15"/>
    <row r="128" s="187" customFormat="1" x14ac:dyDescent="0.15"/>
    <row r="129" s="187" customFormat="1" x14ac:dyDescent="0.15"/>
    <row r="130" s="187" customFormat="1" x14ac:dyDescent="0.15"/>
    <row r="131" s="187" customFormat="1" x14ac:dyDescent="0.15"/>
    <row r="132" s="187" customFormat="1" x14ac:dyDescent="0.15"/>
    <row r="133" s="187" customFormat="1" x14ac:dyDescent="0.15"/>
    <row r="134" s="187" customFormat="1" x14ac:dyDescent="0.15"/>
    <row r="135" s="187" customFormat="1" x14ac:dyDescent="0.15"/>
    <row r="136" s="187" customFormat="1" x14ac:dyDescent="0.15"/>
    <row r="137" s="187" customFormat="1" x14ac:dyDescent="0.15"/>
    <row r="138" s="187" customFormat="1" x14ac:dyDescent="0.15"/>
    <row r="139" s="187" customFormat="1" x14ac:dyDescent="0.15"/>
    <row r="140" s="187" customFormat="1" x14ac:dyDescent="0.15"/>
    <row r="141" s="187" customFormat="1" x14ac:dyDescent="0.15"/>
    <row r="142" s="187" customFormat="1" x14ac:dyDescent="0.15"/>
    <row r="143" s="187" customFormat="1" x14ac:dyDescent="0.15"/>
    <row r="144" s="187" customFormat="1" x14ac:dyDescent="0.15"/>
    <row r="145" s="187" customFormat="1" x14ac:dyDescent="0.15"/>
    <row r="146" s="187" customFormat="1" x14ac:dyDescent="0.15"/>
    <row r="147" s="187" customFormat="1" x14ac:dyDescent="0.15"/>
    <row r="148" s="187" customFormat="1" x14ac:dyDescent="0.15"/>
    <row r="149" s="187" customFormat="1" x14ac:dyDescent="0.15"/>
    <row r="150" s="187" customFormat="1" x14ac:dyDescent="0.15"/>
    <row r="151" s="187" customFormat="1" x14ac:dyDescent="0.15"/>
    <row r="152" s="187" customFormat="1" x14ac:dyDescent="0.15"/>
    <row r="153" s="187" customFormat="1" x14ac:dyDescent="0.15"/>
    <row r="154" s="187" customFormat="1" x14ac:dyDescent="0.15"/>
    <row r="155" s="187" customFormat="1" x14ac:dyDescent="0.15"/>
    <row r="156" s="187" customFormat="1" x14ac:dyDescent="0.15"/>
    <row r="157" s="187" customFormat="1" x14ac:dyDescent="0.15"/>
    <row r="158" s="187" customFormat="1" x14ac:dyDescent="0.15"/>
    <row r="159" s="187" customFormat="1" x14ac:dyDescent="0.15"/>
    <row r="160" s="187" customFormat="1" x14ac:dyDescent="0.15"/>
    <row r="161" s="187" customFormat="1" x14ac:dyDescent="0.15"/>
    <row r="162" s="187" customFormat="1" x14ac:dyDescent="0.15"/>
    <row r="163" s="187" customFormat="1" x14ac:dyDescent="0.15"/>
    <row r="164" s="187" customFormat="1" x14ac:dyDescent="0.15"/>
    <row r="165" s="187" customFormat="1" x14ac:dyDescent="0.15"/>
    <row r="166" s="187" customFormat="1" x14ac:dyDescent="0.15"/>
    <row r="167" s="187" customFormat="1" x14ac:dyDescent="0.15"/>
    <row r="168" s="187" customFormat="1" x14ac:dyDescent="0.15"/>
    <row r="169" s="187" customFormat="1" x14ac:dyDescent="0.15"/>
    <row r="170" s="187" customFormat="1" x14ac:dyDescent="0.15"/>
    <row r="171" s="187" customFormat="1" x14ac:dyDescent="0.15"/>
    <row r="172" s="187" customFormat="1" x14ac:dyDescent="0.15"/>
    <row r="173" s="187" customFormat="1" x14ac:dyDescent="0.15"/>
    <row r="174" s="187" customFormat="1" x14ac:dyDescent="0.15"/>
    <row r="175" s="187" customFormat="1" x14ac:dyDescent="0.15"/>
    <row r="176" s="187" customFormat="1" x14ac:dyDescent="0.15"/>
    <row r="177" s="187" customFormat="1" x14ac:dyDescent="0.15"/>
    <row r="178" s="187" customFormat="1" x14ac:dyDescent="0.15"/>
    <row r="179" s="187" customFormat="1" x14ac:dyDescent="0.15"/>
    <row r="180" s="187" customFormat="1" x14ac:dyDescent="0.15"/>
    <row r="181" s="187" customFormat="1" x14ac:dyDescent="0.15"/>
    <row r="182" s="187" customFormat="1" x14ac:dyDescent="0.15"/>
    <row r="183" s="187" customFormat="1" x14ac:dyDescent="0.15"/>
    <row r="184" s="187" customFormat="1" x14ac:dyDescent="0.15"/>
    <row r="185" s="187" customFormat="1" x14ac:dyDescent="0.15"/>
    <row r="186" s="187" customFormat="1" x14ac:dyDescent="0.15"/>
    <row r="187" s="187" customFormat="1" x14ac:dyDescent="0.15"/>
    <row r="188" s="187" customFormat="1" x14ac:dyDescent="0.15"/>
    <row r="189" s="187" customFormat="1" x14ac:dyDescent="0.15"/>
    <row r="190" s="187" customFormat="1" x14ac:dyDescent="0.15"/>
    <row r="191" s="187" customFormat="1" x14ac:dyDescent="0.15"/>
    <row r="192" s="187" customFormat="1" x14ac:dyDescent="0.15"/>
    <row r="193" s="187" customFormat="1" x14ac:dyDescent="0.15"/>
    <row r="194" s="187" customFormat="1" x14ac:dyDescent="0.15"/>
    <row r="195" s="187" customFormat="1" x14ac:dyDescent="0.15"/>
    <row r="196" s="187" customFormat="1" x14ac:dyDescent="0.15"/>
    <row r="197" s="187" customFormat="1" x14ac:dyDescent="0.15"/>
    <row r="198" s="187" customFormat="1" x14ac:dyDescent="0.15"/>
    <row r="199" s="187" customFormat="1" x14ac:dyDescent="0.15"/>
    <row r="200" s="187" customFormat="1" x14ac:dyDescent="0.15"/>
    <row r="201" s="187" customFormat="1" x14ac:dyDescent="0.15"/>
    <row r="202" s="187" customFormat="1" x14ac:dyDescent="0.15"/>
    <row r="203" s="187" customFormat="1" x14ac:dyDescent="0.15"/>
    <row r="204" s="187" customFormat="1" x14ac:dyDescent="0.15"/>
    <row r="205" s="187" customFormat="1" x14ac:dyDescent="0.15"/>
    <row r="206" s="187" customFormat="1" x14ac:dyDescent="0.15"/>
    <row r="207" s="187" customFormat="1" x14ac:dyDescent="0.15"/>
    <row r="208" s="187" customFormat="1" x14ac:dyDescent="0.15"/>
    <row r="209" s="187" customFormat="1" x14ac:dyDescent="0.15"/>
    <row r="210" s="187" customFormat="1" x14ac:dyDescent="0.15"/>
    <row r="211" s="187" customFormat="1" x14ac:dyDescent="0.15"/>
    <row r="212" s="187" customFormat="1" x14ac:dyDescent="0.15"/>
    <row r="213" s="187" customFormat="1" x14ac:dyDescent="0.15"/>
    <row r="214" s="187" customFormat="1" x14ac:dyDescent="0.15"/>
    <row r="215" s="187" customFormat="1" x14ac:dyDescent="0.15"/>
    <row r="216" s="187" customFormat="1" x14ac:dyDescent="0.15"/>
    <row r="217" s="187" customFormat="1" x14ac:dyDescent="0.15"/>
    <row r="218" s="187" customFormat="1" x14ac:dyDescent="0.15"/>
    <row r="219" s="187" customFormat="1" x14ac:dyDescent="0.15"/>
    <row r="220" s="187" customFormat="1" x14ac:dyDescent="0.15"/>
    <row r="221" s="187" customFormat="1" x14ac:dyDescent="0.15"/>
    <row r="222" s="187" customFormat="1" x14ac:dyDescent="0.15"/>
    <row r="223" s="187" customFormat="1" x14ac:dyDescent="0.15"/>
    <row r="224" s="187" customFormat="1" x14ac:dyDescent="0.15"/>
    <row r="225" s="187" customFormat="1" x14ac:dyDescent="0.15"/>
    <row r="226" s="187" customFormat="1" x14ac:dyDescent="0.15"/>
    <row r="227" s="187" customFormat="1" x14ac:dyDescent="0.15"/>
    <row r="228" s="187" customFormat="1" x14ac:dyDescent="0.15"/>
    <row r="229" s="187" customFormat="1" x14ac:dyDescent="0.15"/>
    <row r="230" s="187" customFormat="1" x14ac:dyDescent="0.15"/>
    <row r="231" s="187" customFormat="1" x14ac:dyDescent="0.15"/>
    <row r="232" s="187" customFormat="1" x14ac:dyDescent="0.15"/>
    <row r="233" s="187" customFormat="1" x14ac:dyDescent="0.15"/>
    <row r="234" s="187" customFormat="1" x14ac:dyDescent="0.15"/>
    <row r="235" s="187" customFormat="1" x14ac:dyDescent="0.15"/>
    <row r="236" s="187" customFormat="1" x14ac:dyDescent="0.15"/>
    <row r="237" s="187" customFormat="1" x14ac:dyDescent="0.15"/>
    <row r="238" s="187" customFormat="1" x14ac:dyDescent="0.15"/>
    <row r="239" s="187" customFormat="1" x14ac:dyDescent="0.15"/>
    <row r="240" s="187" customFormat="1" x14ac:dyDescent="0.15"/>
    <row r="241" s="187" customFormat="1" x14ac:dyDescent="0.15"/>
    <row r="242" s="187" customFormat="1" x14ac:dyDescent="0.15"/>
    <row r="243" s="187" customFormat="1" x14ac:dyDescent="0.15"/>
    <row r="244" s="187" customFormat="1" x14ac:dyDescent="0.15"/>
    <row r="245" s="187" customFormat="1" x14ac:dyDescent="0.15"/>
    <row r="246" s="187" customFormat="1" x14ac:dyDescent="0.15"/>
    <row r="247" s="187" customFormat="1" x14ac:dyDescent="0.15"/>
    <row r="248" s="187" customFormat="1" x14ac:dyDescent="0.15"/>
    <row r="249" s="187" customFormat="1" x14ac:dyDescent="0.15"/>
    <row r="250" s="187" customFormat="1" x14ac:dyDescent="0.15"/>
    <row r="251" s="187" customFormat="1" x14ac:dyDescent="0.15"/>
    <row r="252" s="187" customFormat="1" x14ac:dyDescent="0.15"/>
    <row r="253" s="187" customFormat="1" x14ac:dyDescent="0.15"/>
    <row r="254" s="187" customFormat="1" x14ac:dyDescent="0.15"/>
    <row r="255" s="187" customFormat="1" x14ac:dyDescent="0.15"/>
    <row r="256" s="187" customFormat="1" x14ac:dyDescent="0.15"/>
    <row r="257" s="187" customFormat="1" x14ac:dyDescent="0.15"/>
    <row r="258" s="187" customFormat="1" x14ac:dyDescent="0.15"/>
    <row r="259" s="187" customFormat="1" x14ac:dyDescent="0.15"/>
    <row r="260" s="187" customFormat="1" x14ac:dyDescent="0.15"/>
    <row r="261" s="187" customFormat="1" x14ac:dyDescent="0.15"/>
    <row r="262" s="187" customFormat="1" x14ac:dyDescent="0.15"/>
    <row r="263" s="187" customFormat="1" x14ac:dyDescent="0.15"/>
    <row r="264" s="187" customFormat="1" x14ac:dyDescent="0.15"/>
    <row r="265" s="187" customFormat="1" x14ac:dyDescent="0.15"/>
    <row r="266" s="187" customFormat="1" x14ac:dyDescent="0.15"/>
    <row r="267" s="187" customFormat="1" x14ac:dyDescent="0.15"/>
    <row r="268" s="187" customFormat="1" x14ac:dyDescent="0.15"/>
    <row r="269" s="187" customFormat="1" x14ac:dyDescent="0.15"/>
    <row r="270" s="187" customFormat="1" x14ac:dyDescent="0.15"/>
    <row r="271" s="187" customFormat="1" x14ac:dyDescent="0.15"/>
    <row r="272" s="187" customFormat="1" x14ac:dyDescent="0.15"/>
    <row r="273" s="187" customFormat="1" x14ac:dyDescent="0.15"/>
    <row r="274" s="187" customFormat="1" x14ac:dyDescent="0.15"/>
    <row r="275" s="187" customFormat="1" x14ac:dyDescent="0.15"/>
    <row r="276" s="187" customFormat="1" x14ac:dyDescent="0.15"/>
    <row r="277" s="187" customFormat="1" x14ac:dyDescent="0.15"/>
    <row r="278" s="187" customFormat="1" x14ac:dyDescent="0.15"/>
    <row r="279" s="187" customFormat="1" x14ac:dyDescent="0.15"/>
    <row r="280" s="187" customFormat="1" x14ac:dyDescent="0.15"/>
    <row r="281" s="187" customFormat="1" x14ac:dyDescent="0.15"/>
    <row r="282" s="187" customFormat="1" x14ac:dyDescent="0.15"/>
    <row r="283" s="187" customFormat="1" x14ac:dyDescent="0.15"/>
    <row r="284" s="187" customFormat="1" x14ac:dyDescent="0.15"/>
    <row r="285" s="187" customFormat="1" x14ac:dyDescent="0.15"/>
    <row r="286" s="187" customFormat="1" x14ac:dyDescent="0.15"/>
    <row r="287" s="187" customFormat="1" x14ac:dyDescent="0.15"/>
    <row r="288" s="187" customFormat="1" x14ac:dyDescent="0.15"/>
    <row r="289" s="187" customFormat="1" x14ac:dyDescent="0.15"/>
    <row r="290" s="187" customFormat="1" x14ac:dyDescent="0.15"/>
    <row r="291" s="187" customFormat="1" x14ac:dyDescent="0.15"/>
    <row r="292" s="187" customFormat="1" x14ac:dyDescent="0.15"/>
    <row r="293" s="187" customFormat="1" x14ac:dyDescent="0.15"/>
    <row r="294" s="187" customFormat="1" x14ac:dyDescent="0.15"/>
    <row r="295" s="187" customFormat="1" x14ac:dyDescent="0.15"/>
    <row r="296" s="187" customFormat="1" x14ac:dyDescent="0.15"/>
    <row r="297" s="187" customFormat="1" x14ac:dyDescent="0.15"/>
    <row r="298" s="187" customFormat="1" x14ac:dyDescent="0.15"/>
    <row r="299" s="187" customFormat="1" x14ac:dyDescent="0.15"/>
    <row r="300" s="187" customFormat="1" x14ac:dyDescent="0.15"/>
    <row r="301" s="187" customFormat="1" x14ac:dyDescent="0.15"/>
    <row r="302" s="187" customFormat="1" x14ac:dyDescent="0.15"/>
    <row r="303" s="187" customFormat="1" x14ac:dyDescent="0.15"/>
    <row r="304" s="187" customFormat="1" x14ac:dyDescent="0.15"/>
    <row r="305" s="187" customFormat="1" x14ac:dyDescent="0.15"/>
    <row r="306" s="187" customFormat="1" x14ac:dyDescent="0.15"/>
    <row r="307" s="187" customFormat="1" x14ac:dyDescent="0.15"/>
    <row r="308" s="187" customFormat="1" x14ac:dyDescent="0.15"/>
    <row r="309" s="187" customFormat="1" x14ac:dyDescent="0.15"/>
    <row r="310" s="187" customFormat="1" x14ac:dyDescent="0.15"/>
    <row r="311" s="187" customFormat="1" x14ac:dyDescent="0.15"/>
    <row r="312" s="187" customFormat="1" x14ac:dyDescent="0.15"/>
    <row r="313" s="187" customFormat="1" x14ac:dyDescent="0.15"/>
    <row r="314" s="187" customFormat="1" x14ac:dyDescent="0.15"/>
    <row r="315" s="187" customFormat="1" x14ac:dyDescent="0.15"/>
    <row r="316" s="187" customFormat="1" x14ac:dyDescent="0.15"/>
    <row r="317" s="187" customFormat="1" x14ac:dyDescent="0.15"/>
    <row r="318" s="187" customFormat="1" x14ac:dyDescent="0.15"/>
    <row r="319" s="187" customFormat="1" x14ac:dyDescent="0.15"/>
    <row r="320" s="187" customFormat="1" x14ac:dyDescent="0.15"/>
    <row r="321" s="187" customFormat="1" x14ac:dyDescent="0.15"/>
    <row r="322" s="187" customFormat="1" x14ac:dyDescent="0.15"/>
    <row r="323" s="187" customFormat="1" x14ac:dyDescent="0.15"/>
    <row r="324" s="187" customFormat="1" x14ac:dyDescent="0.15"/>
    <row r="325" s="187" customFormat="1" x14ac:dyDescent="0.15"/>
    <row r="326" s="187" customFormat="1" x14ac:dyDescent="0.15"/>
    <row r="327" s="187" customFormat="1" x14ac:dyDescent="0.15"/>
    <row r="328" s="187" customFormat="1" x14ac:dyDescent="0.15"/>
    <row r="329" s="187" customFormat="1" x14ac:dyDescent="0.15"/>
    <row r="330" s="187" customFormat="1" x14ac:dyDescent="0.15"/>
    <row r="331" s="187" customFormat="1" x14ac:dyDescent="0.15"/>
    <row r="332" s="187" customFormat="1" x14ac:dyDescent="0.15"/>
    <row r="333" s="187" customFormat="1" x14ac:dyDescent="0.15"/>
    <row r="334" s="187" customFormat="1" x14ac:dyDescent="0.15"/>
    <row r="335" s="187" customFormat="1" x14ac:dyDescent="0.15"/>
    <row r="336" s="187" customFormat="1" x14ac:dyDescent="0.15"/>
    <row r="337" s="187" customFormat="1" x14ac:dyDescent="0.15"/>
    <row r="338" s="187" customFormat="1" x14ac:dyDescent="0.15"/>
    <row r="339" s="187" customFormat="1" x14ac:dyDescent="0.15"/>
    <row r="340" s="187" customFormat="1" x14ac:dyDescent="0.15"/>
    <row r="341" s="187" customFormat="1" x14ac:dyDescent="0.15"/>
    <row r="342" s="187" customFormat="1" x14ac:dyDescent="0.15"/>
    <row r="343" s="187" customFormat="1" x14ac:dyDescent="0.15"/>
    <row r="344" s="187" customFormat="1" x14ac:dyDescent="0.15"/>
    <row r="345" s="187" customFormat="1" x14ac:dyDescent="0.15"/>
    <row r="346" s="187" customFormat="1" x14ac:dyDescent="0.15"/>
    <row r="347" s="187" customFormat="1" x14ac:dyDescent="0.15"/>
    <row r="348" s="187" customFormat="1" x14ac:dyDescent="0.15"/>
    <row r="349" s="187" customFormat="1" x14ac:dyDescent="0.15"/>
    <row r="350" s="187" customFormat="1" x14ac:dyDescent="0.15"/>
    <row r="351" s="187" customFormat="1" x14ac:dyDescent="0.15"/>
    <row r="352" s="187" customFormat="1" x14ac:dyDescent="0.15"/>
    <row r="353" s="187" customFormat="1" x14ac:dyDescent="0.15"/>
    <row r="354" s="187" customFormat="1" x14ac:dyDescent="0.15"/>
    <row r="355" s="187" customFormat="1" x14ac:dyDescent="0.15"/>
    <row r="356" s="187" customFormat="1" x14ac:dyDescent="0.15"/>
    <row r="357" s="187" customFormat="1" x14ac:dyDescent="0.15"/>
    <row r="358" s="187" customFormat="1" x14ac:dyDescent="0.15"/>
    <row r="359" s="187" customFormat="1" x14ac:dyDescent="0.15"/>
    <row r="360" s="187" customFormat="1" x14ac:dyDescent="0.15"/>
    <row r="361" s="187" customFormat="1" x14ac:dyDescent="0.15"/>
    <row r="362" s="187" customFormat="1" x14ac:dyDescent="0.15"/>
    <row r="363" s="187" customFormat="1" x14ac:dyDescent="0.15"/>
    <row r="364" s="187" customFormat="1" x14ac:dyDescent="0.15"/>
    <row r="365" s="187" customFormat="1" x14ac:dyDescent="0.15"/>
    <row r="366" s="187" customFormat="1" x14ac:dyDescent="0.15"/>
    <row r="367" s="187" customFormat="1" x14ac:dyDescent="0.15"/>
    <row r="368" s="187" customFormat="1" x14ac:dyDescent="0.15"/>
    <row r="369" s="187" customFormat="1" x14ac:dyDescent="0.15"/>
    <row r="370" s="187" customFormat="1" x14ac:dyDescent="0.15"/>
    <row r="371" s="187" customFormat="1" x14ac:dyDescent="0.15"/>
    <row r="372" s="187" customFormat="1" x14ac:dyDescent="0.15"/>
    <row r="373" s="187" customFormat="1" x14ac:dyDescent="0.15"/>
    <row r="374" s="187" customFormat="1" x14ac:dyDescent="0.15"/>
    <row r="375" s="187" customFormat="1" x14ac:dyDescent="0.15"/>
    <row r="376" s="187" customFormat="1" x14ac:dyDescent="0.15"/>
    <row r="377" s="187" customFormat="1" x14ac:dyDescent="0.15"/>
    <row r="378" s="187" customFormat="1" x14ac:dyDescent="0.15"/>
    <row r="379" s="187" customFormat="1" x14ac:dyDescent="0.15"/>
    <row r="380" s="187" customFormat="1" x14ac:dyDescent="0.15"/>
    <row r="381" s="187" customFormat="1" x14ac:dyDescent="0.15"/>
    <row r="382" s="187" customFormat="1" x14ac:dyDescent="0.15"/>
    <row r="383" s="187" customFormat="1" x14ac:dyDescent="0.15"/>
    <row r="384" s="187" customFormat="1" x14ac:dyDescent="0.15"/>
    <row r="385" s="187" customFormat="1" x14ac:dyDescent="0.15"/>
    <row r="386" s="187" customFormat="1" x14ac:dyDescent="0.15"/>
    <row r="387" s="187" customFormat="1" x14ac:dyDescent="0.15"/>
    <row r="388" s="187" customFormat="1" x14ac:dyDescent="0.15"/>
    <row r="389" s="187" customFormat="1" x14ac:dyDescent="0.15"/>
    <row r="390" s="187" customFormat="1" x14ac:dyDescent="0.15"/>
    <row r="391" s="187" customFormat="1" x14ac:dyDescent="0.15"/>
    <row r="392" s="187" customFormat="1" x14ac:dyDescent="0.15"/>
    <row r="393" s="187" customFormat="1" x14ac:dyDescent="0.15"/>
    <row r="394" s="187" customFormat="1" x14ac:dyDescent="0.15"/>
    <row r="395" s="187" customFormat="1" x14ac:dyDescent="0.15"/>
    <row r="396" s="187" customFormat="1" x14ac:dyDescent="0.15"/>
    <row r="397" s="187" customFormat="1" x14ac:dyDescent="0.15"/>
    <row r="398" s="187" customFormat="1" x14ac:dyDescent="0.15"/>
    <row r="399" s="187" customFormat="1" x14ac:dyDescent="0.15"/>
    <row r="400" s="187" customFormat="1" x14ac:dyDescent="0.15"/>
    <row r="401" s="187" customFormat="1" x14ac:dyDescent="0.15"/>
    <row r="402" s="187" customFormat="1" x14ac:dyDescent="0.15"/>
    <row r="403" s="187" customFormat="1" x14ac:dyDescent="0.15"/>
    <row r="404" s="187" customFormat="1" x14ac:dyDescent="0.15"/>
    <row r="405" s="187" customFormat="1" x14ac:dyDescent="0.15"/>
    <row r="406" s="187" customFormat="1" x14ac:dyDescent="0.15"/>
    <row r="407" s="187" customFormat="1" x14ac:dyDescent="0.15"/>
    <row r="408" s="187" customFormat="1" x14ac:dyDescent="0.15"/>
    <row r="409" s="187" customFormat="1" x14ac:dyDescent="0.15"/>
    <row r="410" s="187" customFormat="1" x14ac:dyDescent="0.15"/>
    <row r="411" s="187" customFormat="1" x14ac:dyDescent="0.15"/>
    <row r="412" s="187" customFormat="1" x14ac:dyDescent="0.15"/>
    <row r="413" s="187" customFormat="1" x14ac:dyDescent="0.15"/>
    <row r="414" s="187" customFormat="1" x14ac:dyDescent="0.15"/>
    <row r="415" s="187" customFormat="1" x14ac:dyDescent="0.15"/>
    <row r="416" s="187" customFormat="1" x14ac:dyDescent="0.15"/>
    <row r="417" s="187" customFormat="1" x14ac:dyDescent="0.15"/>
    <row r="418" s="187" customFormat="1" x14ac:dyDescent="0.15"/>
    <row r="419" s="187" customFormat="1" x14ac:dyDescent="0.15"/>
    <row r="420" s="187" customFormat="1" x14ac:dyDescent="0.15"/>
    <row r="421" s="187" customFormat="1" x14ac:dyDescent="0.15"/>
    <row r="422" s="187" customFormat="1" x14ac:dyDescent="0.15"/>
    <row r="423" s="187" customFormat="1" x14ac:dyDescent="0.15"/>
    <row r="424" s="187" customFormat="1" x14ac:dyDescent="0.15"/>
    <row r="425" s="187" customFormat="1" x14ac:dyDescent="0.15"/>
    <row r="426" s="187" customFormat="1" x14ac:dyDescent="0.15"/>
    <row r="427" s="187" customFormat="1" x14ac:dyDescent="0.15"/>
    <row r="428" s="187" customFormat="1" x14ac:dyDescent="0.15"/>
    <row r="429" s="187" customFormat="1" x14ac:dyDescent="0.15"/>
    <row r="430" s="187" customFormat="1" x14ac:dyDescent="0.15"/>
    <row r="431" s="187" customFormat="1" x14ac:dyDescent="0.15"/>
    <row r="432" s="187" customFormat="1" x14ac:dyDescent="0.15"/>
    <row r="433" s="187" customFormat="1" x14ac:dyDescent="0.15"/>
    <row r="434" s="187" customFormat="1" x14ac:dyDescent="0.15"/>
    <row r="435" s="187" customFormat="1" x14ac:dyDescent="0.15"/>
    <row r="436" s="187" customFormat="1" x14ac:dyDescent="0.15"/>
    <row r="437" s="187" customFormat="1" x14ac:dyDescent="0.15"/>
    <row r="438" s="187" customFormat="1" x14ac:dyDescent="0.15"/>
    <row r="439" s="187" customFormat="1" x14ac:dyDescent="0.15"/>
    <row r="440" s="187" customFormat="1" x14ac:dyDescent="0.15"/>
    <row r="441" s="187" customFormat="1" x14ac:dyDescent="0.15"/>
    <row r="442" s="187" customFormat="1" x14ac:dyDescent="0.15"/>
    <row r="443" s="187" customFormat="1" x14ac:dyDescent="0.15"/>
    <row r="444" s="187" customFormat="1" x14ac:dyDescent="0.15"/>
    <row r="445" s="187" customFormat="1" x14ac:dyDescent="0.15"/>
    <row r="446" s="187" customFormat="1" x14ac:dyDescent="0.15"/>
    <row r="447" s="187" customFormat="1" x14ac:dyDescent="0.15"/>
    <row r="448" s="187" customFormat="1" x14ac:dyDescent="0.15"/>
    <row r="449" s="187" customFormat="1" x14ac:dyDescent="0.15"/>
    <row r="450" s="187" customFormat="1" x14ac:dyDescent="0.15"/>
    <row r="451" s="187" customFormat="1" x14ac:dyDescent="0.15"/>
    <row r="452" s="187" customFormat="1" x14ac:dyDescent="0.15"/>
    <row r="453" s="187" customFormat="1" x14ac:dyDescent="0.15"/>
    <row r="454" s="187" customFormat="1" x14ac:dyDescent="0.15"/>
    <row r="455" s="187" customFormat="1" x14ac:dyDescent="0.15"/>
    <row r="456" s="187" customFormat="1" x14ac:dyDescent="0.15"/>
    <row r="457" s="187" customFormat="1" x14ac:dyDescent="0.15"/>
    <row r="458" s="187" customFormat="1" x14ac:dyDescent="0.15"/>
    <row r="459" s="187" customFormat="1" x14ac:dyDescent="0.15"/>
    <row r="460" s="187" customFormat="1" x14ac:dyDescent="0.15"/>
    <row r="461" s="187" customFormat="1" x14ac:dyDescent="0.15"/>
    <row r="462" s="187" customFormat="1" x14ac:dyDescent="0.15"/>
    <row r="463" s="187" customFormat="1" x14ac:dyDescent="0.15"/>
    <row r="464" s="187" customFormat="1" x14ac:dyDescent="0.15"/>
    <row r="465" s="187" customFormat="1" x14ac:dyDescent="0.15"/>
    <row r="466" s="187" customFormat="1" x14ac:dyDescent="0.15"/>
    <row r="467" s="187" customFormat="1" x14ac:dyDescent="0.15"/>
    <row r="468" s="187" customFormat="1" x14ac:dyDescent="0.15"/>
    <row r="469" s="187" customFormat="1" x14ac:dyDescent="0.15"/>
    <row r="470" s="187" customFormat="1" x14ac:dyDescent="0.15"/>
    <row r="471" s="187" customFormat="1" x14ac:dyDescent="0.15"/>
    <row r="472" s="187" customFormat="1" x14ac:dyDescent="0.15"/>
    <row r="473" s="187" customFormat="1" x14ac:dyDescent="0.15"/>
    <row r="474" s="187" customFormat="1" x14ac:dyDescent="0.15"/>
    <row r="475" s="187" customFormat="1" x14ac:dyDescent="0.15"/>
    <row r="476" s="187" customFormat="1" x14ac:dyDescent="0.15"/>
    <row r="477" s="187" customFormat="1" x14ac:dyDescent="0.15"/>
    <row r="478" s="187" customFormat="1" x14ac:dyDescent="0.15"/>
    <row r="479" s="187" customFormat="1" x14ac:dyDescent="0.15"/>
    <row r="480" s="187" customFormat="1" x14ac:dyDescent="0.15"/>
    <row r="481" s="187" customFormat="1" x14ac:dyDescent="0.15"/>
    <row r="482" s="187" customFormat="1" x14ac:dyDescent="0.15"/>
    <row r="483" s="187" customFormat="1" x14ac:dyDescent="0.15"/>
    <row r="484" s="187" customFormat="1" x14ac:dyDescent="0.15"/>
    <row r="485" s="187" customFormat="1" x14ac:dyDescent="0.15"/>
    <row r="486" s="187" customFormat="1" x14ac:dyDescent="0.15"/>
    <row r="487" s="187" customFormat="1" x14ac:dyDescent="0.15"/>
    <row r="488" s="187" customFormat="1" x14ac:dyDescent="0.15"/>
    <row r="489" s="187" customFormat="1" x14ac:dyDescent="0.15"/>
    <row r="490" s="187" customFormat="1" x14ac:dyDescent="0.15"/>
    <row r="491" s="187" customFormat="1" x14ac:dyDescent="0.15"/>
    <row r="492" s="187" customFormat="1" x14ac:dyDescent="0.15"/>
    <row r="493" s="187" customFormat="1" x14ac:dyDescent="0.15"/>
    <row r="494" s="187" customFormat="1" x14ac:dyDescent="0.15"/>
    <row r="495" s="187" customFormat="1" x14ac:dyDescent="0.15"/>
    <row r="496" s="187" customFormat="1" x14ac:dyDescent="0.15"/>
    <row r="497" s="187" customFormat="1" x14ac:dyDescent="0.15"/>
    <row r="498" s="187" customFormat="1" x14ac:dyDescent="0.15"/>
    <row r="499" s="187" customFormat="1" x14ac:dyDescent="0.15"/>
    <row r="500" s="187" customFormat="1" x14ac:dyDescent="0.15"/>
    <row r="501" s="187" customFormat="1" x14ac:dyDescent="0.15"/>
    <row r="502" s="187" customFormat="1" x14ac:dyDescent="0.15"/>
    <row r="503" s="187" customFormat="1" x14ac:dyDescent="0.15"/>
    <row r="504" s="187" customFormat="1" x14ac:dyDescent="0.15"/>
    <row r="505" s="187" customFormat="1" x14ac:dyDescent="0.15"/>
    <row r="506" s="187" customFormat="1" x14ac:dyDescent="0.15"/>
    <row r="507" s="187" customFormat="1" x14ac:dyDescent="0.15"/>
    <row r="508" s="187" customFormat="1" x14ac:dyDescent="0.15"/>
    <row r="509" s="187" customFormat="1" x14ac:dyDescent="0.15"/>
    <row r="510" s="187" customFormat="1" x14ac:dyDescent="0.15"/>
    <row r="511" s="187" customFormat="1" x14ac:dyDescent="0.15"/>
    <row r="512" s="187" customFormat="1" x14ac:dyDescent="0.15"/>
    <row r="513" s="187" customFormat="1" x14ac:dyDescent="0.15"/>
    <row r="514" s="187" customFormat="1" x14ac:dyDescent="0.15"/>
    <row r="515" s="187" customFormat="1" x14ac:dyDescent="0.15"/>
    <row r="516" s="187" customFormat="1" x14ac:dyDescent="0.15"/>
    <row r="517" s="187" customFormat="1" x14ac:dyDescent="0.15"/>
    <row r="518" s="187" customFormat="1" x14ac:dyDescent="0.15"/>
    <row r="519" s="187" customFormat="1" x14ac:dyDescent="0.15"/>
    <row r="520" s="187" customFormat="1" x14ac:dyDescent="0.15"/>
    <row r="521" s="187" customFormat="1" x14ac:dyDescent="0.15"/>
    <row r="522" s="187" customFormat="1" x14ac:dyDescent="0.15"/>
    <row r="523" s="187" customFormat="1" x14ac:dyDescent="0.15"/>
    <row r="524" s="187" customFormat="1" x14ac:dyDescent="0.15"/>
    <row r="525" s="187" customFormat="1" x14ac:dyDescent="0.15"/>
    <row r="526" s="187" customFormat="1" x14ac:dyDescent="0.15"/>
    <row r="527" s="187" customFormat="1" x14ac:dyDescent="0.15"/>
    <row r="528" s="187" customFormat="1" x14ac:dyDescent="0.15"/>
    <row r="529" s="187" customFormat="1" x14ac:dyDescent="0.15"/>
    <row r="530" s="187" customFormat="1" x14ac:dyDescent="0.15"/>
    <row r="531" s="187" customFormat="1" x14ac:dyDescent="0.15"/>
    <row r="532" s="187" customFormat="1" x14ac:dyDescent="0.15"/>
    <row r="533" s="187" customFormat="1" x14ac:dyDescent="0.15"/>
    <row r="534" s="187" customFormat="1" x14ac:dyDescent="0.15"/>
    <row r="535" s="187" customFormat="1" x14ac:dyDescent="0.15"/>
    <row r="536" s="187" customFormat="1" x14ac:dyDescent="0.15"/>
    <row r="537" s="187" customFormat="1" x14ac:dyDescent="0.15"/>
    <row r="538" s="187" customFormat="1" x14ac:dyDescent="0.15"/>
    <row r="539" s="187" customFormat="1" x14ac:dyDescent="0.15"/>
    <row r="540" s="187" customFormat="1" x14ac:dyDescent="0.15"/>
    <row r="541" s="187" customFormat="1" x14ac:dyDescent="0.15"/>
    <row r="542" s="187" customFormat="1" x14ac:dyDescent="0.15"/>
    <row r="543" s="187" customFormat="1" x14ac:dyDescent="0.15"/>
    <row r="544" s="187" customFormat="1" x14ac:dyDescent="0.15"/>
    <row r="545" s="187" customFormat="1" x14ac:dyDescent="0.15"/>
    <row r="546" s="187" customFormat="1" x14ac:dyDescent="0.15"/>
    <row r="547" s="187" customFormat="1" x14ac:dyDescent="0.15"/>
    <row r="548" s="187" customFormat="1" x14ac:dyDescent="0.15"/>
    <row r="549" s="187" customFormat="1" x14ac:dyDescent="0.15"/>
    <row r="550" s="187" customFormat="1" x14ac:dyDescent="0.15"/>
    <row r="551" s="187" customFormat="1" x14ac:dyDescent="0.15"/>
    <row r="552" s="187" customFormat="1" x14ac:dyDescent="0.15"/>
    <row r="553" s="187" customFormat="1" x14ac:dyDescent="0.15"/>
    <row r="554" s="187" customFormat="1" x14ac:dyDescent="0.15"/>
    <row r="555" s="187" customFormat="1" x14ac:dyDescent="0.15"/>
    <row r="556" s="187" customFormat="1" x14ac:dyDescent="0.15"/>
    <row r="557" s="187" customFormat="1" x14ac:dyDescent="0.15"/>
    <row r="558" s="187" customFormat="1" x14ac:dyDescent="0.15"/>
    <row r="559" s="187" customFormat="1" x14ac:dyDescent="0.15"/>
    <row r="560" s="187" customFormat="1" x14ac:dyDescent="0.15"/>
    <row r="561" s="187" customFormat="1" x14ac:dyDescent="0.15"/>
    <row r="562" s="187" customFormat="1" x14ac:dyDescent="0.15"/>
    <row r="563" s="187" customFormat="1" x14ac:dyDescent="0.15"/>
    <row r="564" s="187" customFormat="1" x14ac:dyDescent="0.15"/>
    <row r="565" s="187" customFormat="1" x14ac:dyDescent="0.15"/>
    <row r="566" s="187" customFormat="1" x14ac:dyDescent="0.15"/>
    <row r="567" s="187" customFormat="1" x14ac:dyDescent="0.15"/>
    <row r="568" s="187" customFormat="1" x14ac:dyDescent="0.15"/>
    <row r="569" s="187" customFormat="1" x14ac:dyDescent="0.15"/>
    <row r="570" s="187" customFormat="1" x14ac:dyDescent="0.15"/>
    <row r="571" s="187" customFormat="1" x14ac:dyDescent="0.15"/>
    <row r="572" s="187" customFormat="1" x14ac:dyDescent="0.15"/>
    <row r="573" s="187" customFormat="1" x14ac:dyDescent="0.15"/>
    <row r="574" s="187" customFormat="1" x14ac:dyDescent="0.15"/>
    <row r="575" s="187" customFormat="1" x14ac:dyDescent="0.15"/>
    <row r="576" s="187" customFormat="1" x14ac:dyDescent="0.15"/>
    <row r="577" s="187" customFormat="1" x14ac:dyDescent="0.15"/>
    <row r="578" s="187" customFormat="1" x14ac:dyDescent="0.15"/>
    <row r="579" s="187" customFormat="1" x14ac:dyDescent="0.15"/>
    <row r="580" s="187" customFormat="1" x14ac:dyDescent="0.15"/>
    <row r="581" s="187" customFormat="1" x14ac:dyDescent="0.15"/>
    <row r="582" s="187" customFormat="1" x14ac:dyDescent="0.15"/>
    <row r="583" s="187" customFormat="1" x14ac:dyDescent="0.15"/>
    <row r="584" s="187" customFormat="1" x14ac:dyDescent="0.15"/>
    <row r="585" s="187" customFormat="1" x14ac:dyDescent="0.15"/>
    <row r="586" s="187" customFormat="1" x14ac:dyDescent="0.15"/>
    <row r="587" s="187" customFormat="1" x14ac:dyDescent="0.15"/>
    <row r="588" s="187" customFormat="1" x14ac:dyDescent="0.15"/>
    <row r="589" s="187" customFormat="1" x14ac:dyDescent="0.15"/>
    <row r="590" s="187" customFormat="1" x14ac:dyDescent="0.15"/>
    <row r="591" s="187" customFormat="1" x14ac:dyDescent="0.15"/>
    <row r="592" s="187" customFormat="1" x14ac:dyDescent="0.15"/>
    <row r="593" s="187" customFormat="1" x14ac:dyDescent="0.15"/>
    <row r="594" s="187" customFormat="1" x14ac:dyDescent="0.15"/>
    <row r="595" s="187" customFormat="1" x14ac:dyDescent="0.15"/>
    <row r="596" s="187" customFormat="1" x14ac:dyDescent="0.15"/>
    <row r="597" s="187" customFormat="1" x14ac:dyDescent="0.15"/>
    <row r="598" s="187" customFormat="1" x14ac:dyDescent="0.15"/>
    <row r="599" s="187" customFormat="1" x14ac:dyDescent="0.15"/>
    <row r="600" s="187" customFormat="1" x14ac:dyDescent="0.15"/>
    <row r="601" s="187" customFormat="1" x14ac:dyDescent="0.15"/>
    <row r="602" s="187" customFormat="1" x14ac:dyDescent="0.15"/>
    <row r="603" s="187" customFormat="1" x14ac:dyDescent="0.15"/>
    <row r="604" s="187" customFormat="1" x14ac:dyDescent="0.15"/>
    <row r="605" s="187" customFormat="1" x14ac:dyDescent="0.15"/>
    <row r="606" s="187" customFormat="1" x14ac:dyDescent="0.15"/>
    <row r="607" s="187" customFormat="1" x14ac:dyDescent="0.15"/>
    <row r="608" s="187" customFormat="1" x14ac:dyDescent="0.15"/>
    <row r="609" s="187" customFormat="1" x14ac:dyDescent="0.15"/>
    <row r="610" s="187" customFormat="1" x14ac:dyDescent="0.15"/>
    <row r="611" s="187" customFormat="1" x14ac:dyDescent="0.15"/>
    <row r="612" s="187" customFormat="1" x14ac:dyDescent="0.15"/>
    <row r="613" s="187" customFormat="1" x14ac:dyDescent="0.15"/>
    <row r="614" s="187" customFormat="1" x14ac:dyDescent="0.15"/>
    <row r="615" s="187" customFormat="1" x14ac:dyDescent="0.15"/>
    <row r="616" s="187" customFormat="1" x14ac:dyDescent="0.15"/>
    <row r="617" s="187" customFormat="1" x14ac:dyDescent="0.15"/>
    <row r="618" s="187" customFormat="1" x14ac:dyDescent="0.15"/>
    <row r="619" s="187" customFormat="1" x14ac:dyDescent="0.15"/>
    <row r="620" s="187" customFormat="1" x14ac:dyDescent="0.15"/>
    <row r="621" s="187" customFormat="1" x14ac:dyDescent="0.15"/>
    <row r="622" s="187" customFormat="1" x14ac:dyDescent="0.15"/>
    <row r="623" s="187" customFormat="1" x14ac:dyDescent="0.15"/>
    <row r="624" s="187" customFormat="1" x14ac:dyDescent="0.15"/>
    <row r="625" s="187" customFormat="1" x14ac:dyDescent="0.15"/>
    <row r="626" s="187" customFormat="1" x14ac:dyDescent="0.15"/>
    <row r="627" s="187" customFormat="1" x14ac:dyDescent="0.15"/>
    <row r="628" s="187" customFormat="1" x14ac:dyDescent="0.15"/>
    <row r="629" s="187" customFormat="1" x14ac:dyDescent="0.15"/>
    <row r="630" s="187" customFormat="1" x14ac:dyDescent="0.15"/>
    <row r="631" s="187" customFormat="1" x14ac:dyDescent="0.15"/>
    <row r="632" s="187" customFormat="1" x14ac:dyDescent="0.15"/>
    <row r="633" s="187" customFormat="1" x14ac:dyDescent="0.15"/>
    <row r="634" s="187" customFormat="1" x14ac:dyDescent="0.15"/>
    <row r="635" s="187" customFormat="1" x14ac:dyDescent="0.15"/>
    <row r="636" s="187" customFormat="1" x14ac:dyDescent="0.15"/>
    <row r="637" s="187" customFormat="1" x14ac:dyDescent="0.15"/>
    <row r="638" s="187" customFormat="1" x14ac:dyDescent="0.15"/>
    <row r="639" s="187" customFormat="1" x14ac:dyDescent="0.15"/>
    <row r="640" s="187" customFormat="1" x14ac:dyDescent="0.15"/>
    <row r="641" s="187" customFormat="1" x14ac:dyDescent="0.15"/>
    <row r="642" s="187" customFormat="1" x14ac:dyDescent="0.15"/>
    <row r="643" s="187" customFormat="1" x14ac:dyDescent="0.15"/>
    <row r="644" s="187" customFormat="1" x14ac:dyDescent="0.15"/>
    <row r="645" s="187" customFormat="1" x14ac:dyDescent="0.15"/>
    <row r="646" s="187" customFormat="1" x14ac:dyDescent="0.15"/>
    <row r="647" s="187" customFormat="1" x14ac:dyDescent="0.15"/>
    <row r="648" s="187" customFormat="1" x14ac:dyDescent="0.15"/>
    <row r="649" s="187" customFormat="1" x14ac:dyDescent="0.15"/>
    <row r="650" s="187" customFormat="1" x14ac:dyDescent="0.15"/>
    <row r="651" s="187" customFormat="1" x14ac:dyDescent="0.15"/>
    <row r="652" s="187" customFormat="1" x14ac:dyDescent="0.15"/>
    <row r="653" s="187" customFormat="1" x14ac:dyDescent="0.15"/>
    <row r="654" s="187" customFormat="1" x14ac:dyDescent="0.15"/>
    <row r="655" s="187" customFormat="1" x14ac:dyDescent="0.15"/>
    <row r="656" s="187" customFormat="1" x14ac:dyDescent="0.15"/>
    <row r="657" s="187" customFormat="1" x14ac:dyDescent="0.15"/>
    <row r="658" s="187" customFormat="1" x14ac:dyDescent="0.15"/>
    <row r="659" s="187" customFormat="1" x14ac:dyDescent="0.15"/>
    <row r="660" s="187" customFormat="1" x14ac:dyDescent="0.15"/>
    <row r="661" s="187" customFormat="1" x14ac:dyDescent="0.15"/>
    <row r="662" s="187" customFormat="1" x14ac:dyDescent="0.15"/>
    <row r="663" s="187" customFormat="1" x14ac:dyDescent="0.15"/>
    <row r="664" s="187" customFormat="1" x14ac:dyDescent="0.15"/>
    <row r="665" s="187" customFormat="1" x14ac:dyDescent="0.15"/>
    <row r="666" s="187" customFormat="1" x14ac:dyDescent="0.15"/>
    <row r="667" s="187" customFormat="1" x14ac:dyDescent="0.15"/>
    <row r="668" s="187" customFormat="1" x14ac:dyDescent="0.15"/>
    <row r="669" s="187" customFormat="1" x14ac:dyDescent="0.15"/>
    <row r="670" s="187" customFormat="1" x14ac:dyDescent="0.15"/>
    <row r="671" s="187" customFormat="1" x14ac:dyDescent="0.15"/>
    <row r="672" s="187" customFormat="1" x14ac:dyDescent="0.15"/>
    <row r="673" s="187" customFormat="1" x14ac:dyDescent="0.15"/>
    <row r="674" s="187" customFormat="1" x14ac:dyDescent="0.15"/>
    <row r="675" s="187" customFormat="1" x14ac:dyDescent="0.15"/>
    <row r="676" s="187" customFormat="1" x14ac:dyDescent="0.15"/>
    <row r="677" s="187" customFormat="1" x14ac:dyDescent="0.15"/>
    <row r="678" s="187" customFormat="1" x14ac:dyDescent="0.15"/>
    <row r="679" s="187" customFormat="1" x14ac:dyDescent="0.15"/>
    <row r="680" s="187" customFormat="1" x14ac:dyDescent="0.15"/>
    <row r="681" s="187" customFormat="1" x14ac:dyDescent="0.15"/>
    <row r="682" s="187" customFormat="1" x14ac:dyDescent="0.15"/>
    <row r="683" s="187" customFormat="1" x14ac:dyDescent="0.15"/>
    <row r="684" s="187" customFormat="1" x14ac:dyDescent="0.15"/>
    <row r="685" s="187" customFormat="1" x14ac:dyDescent="0.15"/>
    <row r="686" s="187" customFormat="1" x14ac:dyDescent="0.15"/>
    <row r="687" s="187" customFormat="1" x14ac:dyDescent="0.15"/>
    <row r="688" s="187" customFormat="1" x14ac:dyDescent="0.15"/>
    <row r="689" s="187" customFormat="1" x14ac:dyDescent="0.15"/>
    <row r="690" s="187" customFormat="1" x14ac:dyDescent="0.15"/>
    <row r="691" s="187" customFormat="1" x14ac:dyDescent="0.15"/>
    <row r="692" s="187" customFormat="1" x14ac:dyDescent="0.15"/>
    <row r="693" s="187" customFormat="1" x14ac:dyDescent="0.15"/>
    <row r="694" s="187" customFormat="1" x14ac:dyDescent="0.15"/>
    <row r="695" s="187" customFormat="1" x14ac:dyDescent="0.15"/>
    <row r="696" s="187" customFormat="1" x14ac:dyDescent="0.15"/>
    <row r="697" s="187" customFormat="1" x14ac:dyDescent="0.15"/>
    <row r="698" s="187" customFormat="1" x14ac:dyDescent="0.15"/>
    <row r="699" s="187" customFormat="1" x14ac:dyDescent="0.15"/>
    <row r="700" s="187" customFormat="1" x14ac:dyDescent="0.15"/>
    <row r="701" s="187" customFormat="1" x14ac:dyDescent="0.15"/>
    <row r="702" s="187" customFormat="1" x14ac:dyDescent="0.15"/>
    <row r="703" s="187" customFormat="1" x14ac:dyDescent="0.15"/>
    <row r="704" s="187" customFormat="1" x14ac:dyDescent="0.15"/>
    <row r="705" s="187" customFormat="1" x14ac:dyDescent="0.15"/>
    <row r="706" s="187" customFormat="1" x14ac:dyDescent="0.15"/>
    <row r="707" s="187" customFormat="1" x14ac:dyDescent="0.15"/>
    <row r="708" s="187" customFormat="1" x14ac:dyDescent="0.15"/>
    <row r="709" s="187" customFormat="1" x14ac:dyDescent="0.15"/>
    <row r="710" s="187" customFormat="1" x14ac:dyDescent="0.15"/>
    <row r="711" s="187" customFormat="1" x14ac:dyDescent="0.15"/>
    <row r="712" s="187" customFormat="1" x14ac:dyDescent="0.15"/>
    <row r="713" s="187" customFormat="1" x14ac:dyDescent="0.15"/>
    <row r="714" s="187" customFormat="1" x14ac:dyDescent="0.15"/>
    <row r="715" s="187" customFormat="1" x14ac:dyDescent="0.15"/>
    <row r="716" s="187" customFormat="1" x14ac:dyDescent="0.15"/>
    <row r="717" s="187" customFormat="1" x14ac:dyDescent="0.15"/>
    <row r="718" s="187" customFormat="1" x14ac:dyDescent="0.15"/>
    <row r="719" s="187" customFormat="1" x14ac:dyDescent="0.15"/>
    <row r="720" s="187" customFormat="1" x14ac:dyDescent="0.15"/>
    <row r="721" s="187" customFormat="1" x14ac:dyDescent="0.15"/>
    <row r="722" s="187" customFormat="1" x14ac:dyDescent="0.15"/>
    <row r="723" s="187" customFormat="1" x14ac:dyDescent="0.15"/>
    <row r="724" s="187" customFormat="1" x14ac:dyDescent="0.15"/>
    <row r="725" s="187" customFormat="1" x14ac:dyDescent="0.15"/>
    <row r="726" s="187" customFormat="1" x14ac:dyDescent="0.15"/>
    <row r="727" s="187" customFormat="1" x14ac:dyDescent="0.15"/>
    <row r="728" s="187" customFormat="1" x14ac:dyDescent="0.15"/>
    <row r="729" s="187" customFormat="1" x14ac:dyDescent="0.15"/>
    <row r="730" s="187" customFormat="1" x14ac:dyDescent="0.15"/>
    <row r="731" s="187" customFormat="1" x14ac:dyDescent="0.15"/>
    <row r="732" s="187" customFormat="1" x14ac:dyDescent="0.15"/>
    <row r="733" s="187" customFormat="1" x14ac:dyDescent="0.15"/>
    <row r="734" s="187" customFormat="1" x14ac:dyDescent="0.15"/>
    <row r="735" s="187" customFormat="1" x14ac:dyDescent="0.15"/>
    <row r="736" s="187" customFormat="1" x14ac:dyDescent="0.15"/>
    <row r="737" s="187" customFormat="1" x14ac:dyDescent="0.15"/>
    <row r="738" s="187" customFormat="1" x14ac:dyDescent="0.15"/>
    <row r="739" s="187" customFormat="1" x14ac:dyDescent="0.15"/>
    <row r="740" s="187" customFormat="1" x14ac:dyDescent="0.15"/>
    <row r="741" s="187" customFormat="1" x14ac:dyDescent="0.15"/>
    <row r="742" s="187" customFormat="1" x14ac:dyDescent="0.15"/>
    <row r="743" s="187" customFormat="1" x14ac:dyDescent="0.15"/>
    <row r="744" s="187" customFormat="1" x14ac:dyDescent="0.15"/>
    <row r="745" s="187" customFormat="1" x14ac:dyDescent="0.15"/>
    <row r="746" s="187" customFormat="1" x14ac:dyDescent="0.15"/>
    <row r="747" s="187" customFormat="1" x14ac:dyDescent="0.15"/>
    <row r="748" s="187" customFormat="1" x14ac:dyDescent="0.15"/>
    <row r="749" s="187" customFormat="1" x14ac:dyDescent="0.15"/>
    <row r="750" s="187" customFormat="1" x14ac:dyDescent="0.15"/>
    <row r="751" s="187" customFormat="1" x14ac:dyDescent="0.15"/>
    <row r="752" s="187" customFormat="1" x14ac:dyDescent="0.15"/>
    <row r="753" s="187" customFormat="1" x14ac:dyDescent="0.15"/>
    <row r="754" s="187" customFormat="1" x14ac:dyDescent="0.15"/>
    <row r="755" s="187" customFormat="1" x14ac:dyDescent="0.15"/>
    <row r="756" s="187" customFormat="1" x14ac:dyDescent="0.15"/>
    <row r="757" s="187" customFormat="1" x14ac:dyDescent="0.15"/>
    <row r="758" s="187" customFormat="1" x14ac:dyDescent="0.15"/>
    <row r="759" s="187" customFormat="1" x14ac:dyDescent="0.15"/>
    <row r="760" s="187" customFormat="1" x14ac:dyDescent="0.15"/>
    <row r="761" s="187" customFormat="1" x14ac:dyDescent="0.15"/>
    <row r="762" s="187" customFormat="1" x14ac:dyDescent="0.15"/>
    <row r="763" s="187" customFormat="1" x14ac:dyDescent="0.15"/>
    <row r="764" s="187" customFormat="1" x14ac:dyDescent="0.15"/>
    <row r="765" s="187" customFormat="1" x14ac:dyDescent="0.15"/>
    <row r="766" s="187" customFormat="1" x14ac:dyDescent="0.15"/>
    <row r="767" s="187" customFormat="1" x14ac:dyDescent="0.15"/>
    <row r="768" s="187" customFormat="1" x14ac:dyDescent="0.15"/>
    <row r="769" s="187" customFormat="1" x14ac:dyDescent="0.15"/>
    <row r="770" s="187" customFormat="1" x14ac:dyDescent="0.15"/>
    <row r="771" s="187" customFormat="1" x14ac:dyDescent="0.15"/>
    <row r="772" s="187" customFormat="1" x14ac:dyDescent="0.15"/>
    <row r="773" s="187" customFormat="1" x14ac:dyDescent="0.15"/>
    <row r="774" s="187" customFormat="1" x14ac:dyDescent="0.15"/>
    <row r="775" s="187" customFormat="1" x14ac:dyDescent="0.15"/>
    <row r="776" s="187" customFormat="1" x14ac:dyDescent="0.15"/>
    <row r="777" s="187" customFormat="1" x14ac:dyDescent="0.15"/>
    <row r="778" s="187" customFormat="1" x14ac:dyDescent="0.15"/>
    <row r="779" s="187" customFormat="1" x14ac:dyDescent="0.15"/>
    <row r="780" s="187" customFormat="1" x14ac:dyDescent="0.15"/>
    <row r="781" s="187" customFormat="1" x14ac:dyDescent="0.15"/>
    <row r="782" s="187" customFormat="1" x14ac:dyDescent="0.15"/>
    <row r="783" s="187" customFormat="1" x14ac:dyDescent="0.15"/>
    <row r="784" s="187" customFormat="1" x14ac:dyDescent="0.15"/>
    <row r="785" s="187" customFormat="1" x14ac:dyDescent="0.15"/>
    <row r="786" s="187" customFormat="1" x14ac:dyDescent="0.15"/>
    <row r="787" s="187" customFormat="1" x14ac:dyDescent="0.15"/>
    <row r="788" s="187" customFormat="1" x14ac:dyDescent="0.15"/>
    <row r="789" s="187" customFormat="1" x14ac:dyDescent="0.15"/>
    <row r="790" s="187" customFormat="1" x14ac:dyDescent="0.15"/>
    <row r="791" s="187" customFormat="1" x14ac:dyDescent="0.15"/>
    <row r="792" s="187" customFormat="1" x14ac:dyDescent="0.15"/>
    <row r="793" s="187" customFormat="1" x14ac:dyDescent="0.15"/>
    <row r="794" s="187" customFormat="1" x14ac:dyDescent="0.15"/>
    <row r="795" s="187" customFormat="1" x14ac:dyDescent="0.15"/>
    <row r="796" s="187" customFormat="1" x14ac:dyDescent="0.15"/>
    <row r="797" s="187" customFormat="1" x14ac:dyDescent="0.15"/>
    <row r="798" s="187" customFormat="1" x14ac:dyDescent="0.15"/>
    <row r="799" s="187" customFormat="1" x14ac:dyDescent="0.15"/>
    <row r="800" s="187" customFormat="1" x14ac:dyDescent="0.15"/>
    <row r="801" s="187" customFormat="1" x14ac:dyDescent="0.15"/>
    <row r="802" s="187" customFormat="1" x14ac:dyDescent="0.15"/>
    <row r="803" s="187" customFormat="1" x14ac:dyDescent="0.15"/>
    <row r="804" s="187" customFormat="1" x14ac:dyDescent="0.15"/>
    <row r="805" s="187" customFormat="1" x14ac:dyDescent="0.15"/>
    <row r="806" s="187" customFormat="1" x14ac:dyDescent="0.15"/>
    <row r="807" s="187" customFormat="1" x14ac:dyDescent="0.15"/>
    <row r="808" s="187" customFormat="1" x14ac:dyDescent="0.15"/>
    <row r="809" s="187" customFormat="1" x14ac:dyDescent="0.15"/>
    <row r="810" s="187" customFormat="1" x14ac:dyDescent="0.15"/>
    <row r="811" s="187" customFormat="1" x14ac:dyDescent="0.15"/>
    <row r="812" s="187" customFormat="1" x14ac:dyDescent="0.15"/>
    <row r="813" s="187" customFormat="1" x14ac:dyDescent="0.15"/>
    <row r="814" s="187" customFormat="1" x14ac:dyDescent="0.15"/>
    <row r="815" s="187" customFormat="1" x14ac:dyDescent="0.15"/>
    <row r="816" s="187" customFormat="1" x14ac:dyDescent="0.15"/>
    <row r="817" s="187" customFormat="1" x14ac:dyDescent="0.15"/>
    <row r="818" s="187" customFormat="1" x14ac:dyDescent="0.15"/>
    <row r="819" s="187" customFormat="1" x14ac:dyDescent="0.15"/>
    <row r="820" s="187" customFormat="1" x14ac:dyDescent="0.15"/>
    <row r="821" s="187" customFormat="1" x14ac:dyDescent="0.15"/>
    <row r="822" s="187" customFormat="1" x14ac:dyDescent="0.15"/>
    <row r="823" s="187" customFormat="1" x14ac:dyDescent="0.15"/>
    <row r="824" s="187" customFormat="1" x14ac:dyDescent="0.15"/>
    <row r="825" s="187" customFormat="1" x14ac:dyDescent="0.15"/>
    <row r="826" s="187" customFormat="1" x14ac:dyDescent="0.15"/>
    <row r="827" s="187" customFormat="1" x14ac:dyDescent="0.15"/>
    <row r="828" s="187" customFormat="1" x14ac:dyDescent="0.15"/>
    <row r="829" s="187" customFormat="1" x14ac:dyDescent="0.15"/>
    <row r="830" s="187" customFormat="1" x14ac:dyDescent="0.15"/>
    <row r="831" s="187" customFormat="1" x14ac:dyDescent="0.15"/>
    <row r="832" s="187" customFormat="1" x14ac:dyDescent="0.15"/>
    <row r="833" s="187" customFormat="1" x14ac:dyDescent="0.15"/>
    <row r="834" s="187" customFormat="1" x14ac:dyDescent="0.15"/>
    <row r="835" s="187" customFormat="1" x14ac:dyDescent="0.15"/>
    <row r="836" s="187" customFormat="1" x14ac:dyDescent="0.15"/>
    <row r="837" s="187" customFormat="1" x14ac:dyDescent="0.15"/>
    <row r="838" s="187" customFormat="1" x14ac:dyDescent="0.15"/>
    <row r="839" s="187" customFormat="1" x14ac:dyDescent="0.15"/>
    <row r="840" s="187" customFormat="1" x14ac:dyDescent="0.15"/>
    <row r="841" s="187" customFormat="1" x14ac:dyDescent="0.15"/>
    <row r="842" s="187" customFormat="1" x14ac:dyDescent="0.15"/>
    <row r="843" s="187" customFormat="1" x14ac:dyDescent="0.15"/>
    <row r="844" s="187" customFormat="1" x14ac:dyDescent="0.15"/>
    <row r="845" s="187" customFormat="1" x14ac:dyDescent="0.15"/>
    <row r="846" s="187" customFormat="1" x14ac:dyDescent="0.15"/>
    <row r="847" s="187" customFormat="1" x14ac:dyDescent="0.15"/>
    <row r="848" s="187" customFormat="1" x14ac:dyDescent="0.15"/>
    <row r="849" s="187" customFormat="1" x14ac:dyDescent="0.15"/>
    <row r="850" s="187" customFormat="1" x14ac:dyDescent="0.15"/>
    <row r="851" s="187" customFormat="1" x14ac:dyDescent="0.15"/>
    <row r="852" s="187" customFormat="1" x14ac:dyDescent="0.15"/>
    <row r="853" s="187" customFormat="1" x14ac:dyDescent="0.15"/>
    <row r="854" s="187" customFormat="1" x14ac:dyDescent="0.15"/>
    <row r="855" s="187" customFormat="1" x14ac:dyDescent="0.15"/>
    <row r="856" s="187" customFormat="1" x14ac:dyDescent="0.15"/>
    <row r="857" s="187" customFormat="1" x14ac:dyDescent="0.15"/>
    <row r="858" s="187" customFormat="1" x14ac:dyDescent="0.15"/>
    <row r="859" s="187" customFormat="1" x14ac:dyDescent="0.15"/>
    <row r="860" s="187" customFormat="1" x14ac:dyDescent="0.15"/>
    <row r="861" s="187" customFormat="1" x14ac:dyDescent="0.15"/>
    <row r="862" s="187" customFormat="1" x14ac:dyDescent="0.15"/>
    <row r="863" s="187" customFormat="1" x14ac:dyDescent="0.15"/>
    <row r="864" s="187" customFormat="1" x14ac:dyDescent="0.15"/>
    <row r="865" s="187" customFormat="1" x14ac:dyDescent="0.15"/>
    <row r="866" s="187" customFormat="1" x14ac:dyDescent="0.15"/>
    <row r="867" s="187" customFormat="1" x14ac:dyDescent="0.15"/>
    <row r="868" s="187" customFormat="1" x14ac:dyDescent="0.15"/>
    <row r="869" s="187" customFormat="1" x14ac:dyDescent="0.15"/>
    <row r="870" s="187" customFormat="1" x14ac:dyDescent="0.15"/>
    <row r="871" s="187" customFormat="1" x14ac:dyDescent="0.15"/>
    <row r="872" s="187" customFormat="1" x14ac:dyDescent="0.15"/>
    <row r="873" s="187" customFormat="1" x14ac:dyDescent="0.15"/>
    <row r="874" s="187" customFormat="1" x14ac:dyDescent="0.15"/>
    <row r="875" s="187" customFormat="1" x14ac:dyDescent="0.15"/>
    <row r="876" s="187" customFormat="1" x14ac:dyDescent="0.15"/>
    <row r="877" s="187" customFormat="1" x14ac:dyDescent="0.15"/>
    <row r="878" s="187" customFormat="1" x14ac:dyDescent="0.15"/>
    <row r="879" s="187" customFormat="1" x14ac:dyDescent="0.15"/>
    <row r="880" s="187" customFormat="1" x14ac:dyDescent="0.15"/>
    <row r="881" s="187" customFormat="1" x14ac:dyDescent="0.15"/>
    <row r="882" s="187" customFormat="1" x14ac:dyDescent="0.15"/>
    <row r="883" s="187" customFormat="1" x14ac:dyDescent="0.15"/>
    <row r="884" s="187" customFormat="1" x14ac:dyDescent="0.15"/>
    <row r="885" s="187" customFormat="1" x14ac:dyDescent="0.15"/>
    <row r="886" s="187" customFormat="1" x14ac:dyDescent="0.15"/>
    <row r="887" s="187" customFormat="1" x14ac:dyDescent="0.15"/>
    <row r="888" s="187" customFormat="1" x14ac:dyDescent="0.15"/>
    <row r="889" s="187" customFormat="1" x14ac:dyDescent="0.15"/>
    <row r="890" s="187" customFormat="1" x14ac:dyDescent="0.15"/>
    <row r="891" s="187" customFormat="1" x14ac:dyDescent="0.15"/>
    <row r="892" s="187" customFormat="1" x14ac:dyDescent="0.15"/>
    <row r="893" s="187" customFormat="1" x14ac:dyDescent="0.15"/>
    <row r="894" s="187" customFormat="1" x14ac:dyDescent="0.15"/>
    <row r="895" s="187" customFormat="1" x14ac:dyDescent="0.15"/>
    <row r="896" s="187" customFormat="1" x14ac:dyDescent="0.15"/>
    <row r="897" s="187" customFormat="1" x14ac:dyDescent="0.15"/>
    <row r="898" s="187" customFormat="1" x14ac:dyDescent="0.15"/>
    <row r="899" s="187" customFormat="1" x14ac:dyDescent="0.15"/>
    <row r="900" s="187" customFormat="1" x14ac:dyDescent="0.15"/>
    <row r="901" s="187" customFormat="1" x14ac:dyDescent="0.15"/>
    <row r="902" s="187" customFormat="1" x14ac:dyDescent="0.15"/>
    <row r="903" s="187" customFormat="1" x14ac:dyDescent="0.15"/>
    <row r="904" s="187" customFormat="1" x14ac:dyDescent="0.15"/>
    <row r="905" s="187" customFormat="1" x14ac:dyDescent="0.15"/>
    <row r="906" s="187" customFormat="1" x14ac:dyDescent="0.15"/>
    <row r="907" s="187" customFormat="1" x14ac:dyDescent="0.15"/>
    <row r="908" s="187" customFormat="1" x14ac:dyDescent="0.15"/>
    <row r="909" s="187" customFormat="1" x14ac:dyDescent="0.15"/>
    <row r="910" s="187" customFormat="1" x14ac:dyDescent="0.15"/>
    <row r="911" s="187" customFormat="1" x14ac:dyDescent="0.15"/>
    <row r="912" s="187" customFormat="1" x14ac:dyDescent="0.15"/>
    <row r="913" s="187" customFormat="1" x14ac:dyDescent="0.15"/>
    <row r="914" s="187" customFormat="1" x14ac:dyDescent="0.15"/>
    <row r="915" s="187" customFormat="1" x14ac:dyDescent="0.15"/>
    <row r="916" s="187" customFormat="1" x14ac:dyDescent="0.15"/>
    <row r="917" s="187" customFormat="1" x14ac:dyDescent="0.15"/>
    <row r="918" s="187" customFormat="1" x14ac:dyDescent="0.15"/>
    <row r="919" s="187" customFormat="1" x14ac:dyDescent="0.15"/>
    <row r="920" s="187" customFormat="1" x14ac:dyDescent="0.15"/>
    <row r="921" s="187" customFormat="1" x14ac:dyDescent="0.15"/>
    <row r="922" s="187" customFormat="1" x14ac:dyDescent="0.15"/>
    <row r="923" s="187" customFormat="1" x14ac:dyDescent="0.15"/>
    <row r="924" s="187" customFormat="1" x14ac:dyDescent="0.15"/>
    <row r="925" s="187" customFormat="1" x14ac:dyDescent="0.15"/>
    <row r="926" s="187" customFormat="1" x14ac:dyDescent="0.15"/>
    <row r="927" s="187" customFormat="1" x14ac:dyDescent="0.15"/>
    <row r="928" s="187" customFormat="1" x14ac:dyDescent="0.15"/>
    <row r="929" s="187" customFormat="1" x14ac:dyDescent="0.15"/>
    <row r="930" s="187" customFormat="1" x14ac:dyDescent="0.15"/>
    <row r="931" s="187" customFormat="1" x14ac:dyDescent="0.15"/>
    <row r="932" s="187" customFormat="1" x14ac:dyDescent="0.15"/>
    <row r="933" s="187" customFormat="1" x14ac:dyDescent="0.15"/>
    <row r="934" s="187" customFormat="1" x14ac:dyDescent="0.15"/>
    <row r="935" s="187" customFormat="1" x14ac:dyDescent="0.15"/>
    <row r="936" s="187" customFormat="1" x14ac:dyDescent="0.15"/>
    <row r="937" s="187" customFormat="1" x14ac:dyDescent="0.15"/>
    <row r="938" s="187" customFormat="1" x14ac:dyDescent="0.15"/>
    <row r="939" s="187" customFormat="1" x14ac:dyDescent="0.15"/>
    <row r="940" s="187" customFormat="1" x14ac:dyDescent="0.15"/>
    <row r="941" s="187" customFormat="1" x14ac:dyDescent="0.15"/>
    <row r="942" s="187" customFormat="1" x14ac:dyDescent="0.15"/>
    <row r="943" s="187" customFormat="1" x14ac:dyDescent="0.15"/>
    <row r="944" s="187" customFormat="1" x14ac:dyDescent="0.15"/>
    <row r="945" s="187" customFormat="1" x14ac:dyDescent="0.15"/>
    <row r="946" s="187" customFormat="1" x14ac:dyDescent="0.15"/>
    <row r="947" s="187" customFormat="1" x14ac:dyDescent="0.15"/>
    <row r="948" s="187" customFormat="1" x14ac:dyDescent="0.15"/>
    <row r="949" s="187" customFormat="1" x14ac:dyDescent="0.15"/>
    <row r="950" s="187" customFormat="1" x14ac:dyDescent="0.15"/>
    <row r="951" s="187" customFormat="1" x14ac:dyDescent="0.15"/>
    <row r="952" s="187" customFormat="1" x14ac:dyDescent="0.15"/>
    <row r="953" s="187" customFormat="1" x14ac:dyDescent="0.15"/>
    <row r="954" s="187" customFormat="1" x14ac:dyDescent="0.15"/>
    <row r="955" s="187" customFormat="1" x14ac:dyDescent="0.15"/>
    <row r="956" s="187" customFormat="1" x14ac:dyDescent="0.15"/>
    <row r="957" s="187" customFormat="1" x14ac:dyDescent="0.15"/>
    <row r="958" s="187" customFormat="1" x14ac:dyDescent="0.15"/>
    <row r="959" s="187" customFormat="1" x14ac:dyDescent="0.15"/>
    <row r="960" s="187" customFormat="1" x14ac:dyDescent="0.15"/>
    <row r="961" s="187" customFormat="1" x14ac:dyDescent="0.15"/>
    <row r="962" s="187" customFormat="1" x14ac:dyDescent="0.15"/>
    <row r="963" s="187" customFormat="1" x14ac:dyDescent="0.15"/>
    <row r="964" s="187" customFormat="1" x14ac:dyDescent="0.15"/>
    <row r="965" s="187" customFormat="1" x14ac:dyDescent="0.15"/>
    <row r="966" s="187" customFormat="1" x14ac:dyDescent="0.15"/>
    <row r="967" s="187" customFormat="1" x14ac:dyDescent="0.15"/>
    <row r="968" s="187" customFormat="1" x14ac:dyDescent="0.15"/>
    <row r="969" s="187" customFormat="1" x14ac:dyDescent="0.15"/>
    <row r="970" s="187" customFormat="1" x14ac:dyDescent="0.15"/>
    <row r="971" s="187" customFormat="1" x14ac:dyDescent="0.15"/>
    <row r="972" s="187" customFormat="1" x14ac:dyDescent="0.15"/>
    <row r="973" s="187" customFormat="1" x14ac:dyDescent="0.15"/>
    <row r="974" s="187" customFormat="1" x14ac:dyDescent="0.15"/>
    <row r="975" s="187" customFormat="1" x14ac:dyDescent="0.15"/>
    <row r="976" s="187" customFormat="1" x14ac:dyDescent="0.15"/>
    <row r="977" s="187" customFormat="1" x14ac:dyDescent="0.15"/>
    <row r="978" s="187" customFormat="1" x14ac:dyDescent="0.15"/>
    <row r="979" s="187" customFormat="1" x14ac:dyDescent="0.15"/>
    <row r="980" s="187" customFormat="1" x14ac:dyDescent="0.15"/>
    <row r="981" s="187" customFormat="1" x14ac:dyDescent="0.15"/>
    <row r="982" s="187" customFormat="1" x14ac:dyDescent="0.15"/>
    <row r="983" s="187" customFormat="1" x14ac:dyDescent="0.15"/>
    <row r="984" s="187" customFormat="1" x14ac:dyDescent="0.15"/>
    <row r="985" s="187" customFormat="1" x14ac:dyDescent="0.15"/>
    <row r="986" s="187" customFormat="1" x14ac:dyDescent="0.15"/>
    <row r="987" s="187" customFormat="1" x14ac:dyDescent="0.15"/>
    <row r="988" s="187" customFormat="1" x14ac:dyDescent="0.15"/>
    <row r="989" s="187" customFormat="1" x14ac:dyDescent="0.15"/>
    <row r="990" s="187" customFormat="1" x14ac:dyDescent="0.15"/>
    <row r="991" s="187" customFormat="1" x14ac:dyDescent="0.15"/>
    <row r="992" s="187" customFormat="1" x14ac:dyDescent="0.15"/>
    <row r="993" s="187" customFormat="1" x14ac:dyDescent="0.15"/>
    <row r="994" s="187" customFormat="1" x14ac:dyDescent="0.15"/>
    <row r="995" s="187" customFormat="1" x14ac:dyDescent="0.15"/>
    <row r="996" s="187" customFormat="1" x14ac:dyDescent="0.15"/>
    <row r="997" s="187" customFormat="1" x14ac:dyDescent="0.15"/>
    <row r="998" s="187" customFormat="1" x14ac:dyDescent="0.15"/>
    <row r="999" s="187" customFormat="1" x14ac:dyDescent="0.15"/>
    <row r="1000" s="187" customFormat="1" x14ac:dyDescent="0.15"/>
    <row r="1001" s="187" customFormat="1" x14ac:dyDescent="0.15"/>
    <row r="1002" s="187" customFormat="1" x14ac:dyDescent="0.15"/>
    <row r="1003" s="187" customFormat="1" x14ac:dyDescent="0.15"/>
    <row r="1004" s="187" customFormat="1" x14ac:dyDescent="0.15"/>
    <row r="1005" s="187" customFormat="1" x14ac:dyDescent="0.15"/>
    <row r="1006" s="187" customFormat="1" x14ac:dyDescent="0.15"/>
    <row r="1007" s="187" customFormat="1" x14ac:dyDescent="0.15"/>
    <row r="1008" s="187" customFormat="1" x14ac:dyDescent="0.15"/>
    <row r="1009" s="187" customFormat="1" x14ac:dyDescent="0.15"/>
    <row r="1010" s="187" customFormat="1" x14ac:dyDescent="0.15"/>
    <row r="1011" s="187" customFormat="1" x14ac:dyDescent="0.15"/>
    <row r="1012" s="187" customFormat="1" x14ac:dyDescent="0.15"/>
    <row r="1013" s="187" customFormat="1" x14ac:dyDescent="0.15"/>
    <row r="1014" s="187" customFormat="1" x14ac:dyDescent="0.15"/>
    <row r="1015" s="187" customFormat="1" x14ac:dyDescent="0.15"/>
    <row r="1016" s="187" customFormat="1" x14ac:dyDescent="0.15"/>
    <row r="1017" s="187" customFormat="1" x14ac:dyDescent="0.15"/>
    <row r="1018" s="187" customFormat="1" x14ac:dyDescent="0.15"/>
    <row r="1019" s="187" customFormat="1" x14ac:dyDescent="0.15"/>
    <row r="1020" s="187" customFormat="1" x14ac:dyDescent="0.15"/>
    <row r="1021" s="187" customFormat="1" x14ac:dyDescent="0.15"/>
    <row r="1022" s="187" customFormat="1" x14ac:dyDescent="0.15"/>
    <row r="1023" s="187" customFormat="1" x14ac:dyDescent="0.15"/>
    <row r="1024" s="187" customFormat="1" x14ac:dyDescent="0.15"/>
    <row r="1025" s="187" customFormat="1" x14ac:dyDescent="0.15"/>
    <row r="1026" s="187" customFormat="1" x14ac:dyDescent="0.15"/>
    <row r="1027" s="187" customFormat="1" x14ac:dyDescent="0.15"/>
    <row r="1028" s="187" customFormat="1" x14ac:dyDescent="0.15"/>
    <row r="1029" s="187" customFormat="1" x14ac:dyDescent="0.15"/>
    <row r="1030" s="187" customFormat="1" x14ac:dyDescent="0.15"/>
    <row r="1031" s="187" customFormat="1" x14ac:dyDescent="0.15"/>
    <row r="1032" s="187" customFormat="1" x14ac:dyDescent="0.15"/>
    <row r="1033" s="187" customFormat="1" x14ac:dyDescent="0.15"/>
    <row r="1034" s="187" customFormat="1" x14ac:dyDescent="0.15"/>
    <row r="1035" s="187" customFormat="1" x14ac:dyDescent="0.15"/>
    <row r="1036" s="187" customFormat="1" x14ac:dyDescent="0.15"/>
    <row r="1037" s="187" customFormat="1" x14ac:dyDescent="0.15"/>
    <row r="1038" s="187" customFormat="1" x14ac:dyDescent="0.15"/>
    <row r="1039" s="187" customFormat="1" x14ac:dyDescent="0.15"/>
    <row r="1040" s="187" customFormat="1" x14ac:dyDescent="0.15"/>
    <row r="1041" s="187" customFormat="1" x14ac:dyDescent="0.15"/>
    <row r="1042" s="187" customFormat="1" x14ac:dyDescent="0.15"/>
    <row r="1043" s="187" customFormat="1" x14ac:dyDescent="0.15"/>
    <row r="1044" s="187" customFormat="1" x14ac:dyDescent="0.15"/>
    <row r="1045" s="187" customFormat="1" x14ac:dyDescent="0.15"/>
    <row r="1046" s="187" customFormat="1" x14ac:dyDescent="0.15"/>
    <row r="1047" s="187" customFormat="1" x14ac:dyDescent="0.15"/>
    <row r="1048" s="187" customFormat="1" x14ac:dyDescent="0.15"/>
    <row r="1049" s="187" customFormat="1" x14ac:dyDescent="0.15"/>
    <row r="1050" s="187" customFormat="1" x14ac:dyDescent="0.15"/>
    <row r="1051" s="187" customFormat="1" x14ac:dyDescent="0.15"/>
    <row r="1052" s="187" customFormat="1" x14ac:dyDescent="0.15"/>
    <row r="1053" s="187" customFormat="1" x14ac:dyDescent="0.15"/>
    <row r="1054" s="187" customFormat="1" x14ac:dyDescent="0.15"/>
    <row r="1055" s="187" customFormat="1" x14ac:dyDescent="0.15"/>
    <row r="1056" s="187" customFormat="1" x14ac:dyDescent="0.15"/>
    <row r="1057" s="187" customFormat="1" x14ac:dyDescent="0.15"/>
    <row r="1058" s="187" customFormat="1" x14ac:dyDescent="0.15"/>
    <row r="1059" s="187" customFormat="1" x14ac:dyDescent="0.15"/>
    <row r="1060" s="187" customFormat="1" x14ac:dyDescent="0.15"/>
    <row r="1061" s="187" customFormat="1" x14ac:dyDescent="0.15"/>
    <row r="1062" s="187" customFormat="1" x14ac:dyDescent="0.15"/>
    <row r="1063" s="187" customFormat="1" x14ac:dyDescent="0.15"/>
    <row r="1064" s="187" customFormat="1" x14ac:dyDescent="0.15"/>
    <row r="1065" s="187" customFormat="1" x14ac:dyDescent="0.15"/>
    <row r="1066" s="187" customFormat="1" x14ac:dyDescent="0.15"/>
    <row r="1067" s="187" customFormat="1" x14ac:dyDescent="0.15"/>
    <row r="1068" s="187" customFormat="1" x14ac:dyDescent="0.15"/>
    <row r="1069" s="187" customFormat="1" x14ac:dyDescent="0.15"/>
    <row r="1070" s="187" customFormat="1" x14ac:dyDescent="0.15"/>
    <row r="1071" s="187" customFormat="1" x14ac:dyDescent="0.15"/>
    <row r="1072" s="187" customFormat="1" x14ac:dyDescent="0.15"/>
    <row r="1073" s="187" customFormat="1" x14ac:dyDescent="0.15"/>
    <row r="1074" s="187" customFormat="1" x14ac:dyDescent="0.15"/>
    <row r="1075" s="187" customFormat="1" x14ac:dyDescent="0.15"/>
    <row r="1076" s="187" customFormat="1" x14ac:dyDescent="0.15"/>
    <row r="1077" s="187" customFormat="1" x14ac:dyDescent="0.15"/>
    <row r="1078" s="187" customFormat="1" x14ac:dyDescent="0.15"/>
    <row r="1079" s="187" customFormat="1" x14ac:dyDescent="0.15"/>
    <row r="1080" s="187" customFormat="1" x14ac:dyDescent="0.15"/>
    <row r="1081" s="187" customFormat="1" x14ac:dyDescent="0.15"/>
    <row r="1082" s="187" customFormat="1" x14ac:dyDescent="0.15"/>
    <row r="1083" s="187" customFormat="1" x14ac:dyDescent="0.15"/>
    <row r="1084" s="187" customFormat="1" x14ac:dyDescent="0.15"/>
    <row r="1085" s="187" customFormat="1" x14ac:dyDescent="0.15"/>
    <row r="1086" s="187" customFormat="1" x14ac:dyDescent="0.15"/>
    <row r="1087" s="187" customFormat="1" x14ac:dyDescent="0.15"/>
    <row r="1088" s="187" customFormat="1" x14ac:dyDescent="0.15"/>
    <row r="1089" s="187" customFormat="1" x14ac:dyDescent="0.15"/>
    <row r="1090" s="187" customFormat="1" x14ac:dyDescent="0.15"/>
    <row r="1091" s="187" customFormat="1" x14ac:dyDescent="0.15"/>
    <row r="1092" s="187" customFormat="1" x14ac:dyDescent="0.15"/>
    <row r="1093" s="187" customFormat="1" x14ac:dyDescent="0.15"/>
    <row r="1094" s="187" customFormat="1" x14ac:dyDescent="0.15"/>
    <row r="1095" s="187" customFormat="1" x14ac:dyDescent="0.15"/>
    <row r="1096" s="187" customFormat="1" x14ac:dyDescent="0.15"/>
    <row r="1097" s="187" customFormat="1" x14ac:dyDescent="0.15"/>
    <row r="1098" s="187" customFormat="1" x14ac:dyDescent="0.15"/>
    <row r="1099" s="187" customFormat="1" x14ac:dyDescent="0.15"/>
    <row r="1100" s="187" customFormat="1" x14ac:dyDescent="0.15"/>
    <row r="1101" s="187" customFormat="1" x14ac:dyDescent="0.15"/>
    <row r="1102" s="187" customFormat="1" x14ac:dyDescent="0.15"/>
    <row r="1103" s="187" customFormat="1" x14ac:dyDescent="0.15"/>
    <row r="1104" s="187" customFormat="1" x14ac:dyDescent="0.15"/>
    <row r="1105" s="187" customFormat="1" x14ac:dyDescent="0.15"/>
    <row r="1106" s="187" customFormat="1" x14ac:dyDescent="0.15"/>
    <row r="1107" s="187" customFormat="1" x14ac:dyDescent="0.15"/>
    <row r="1108" s="187" customFormat="1" x14ac:dyDescent="0.15"/>
    <row r="1109" s="187" customFormat="1" x14ac:dyDescent="0.15"/>
    <row r="1110" s="187" customFormat="1" x14ac:dyDescent="0.15"/>
    <row r="1111" s="187" customFormat="1" x14ac:dyDescent="0.15"/>
    <row r="1112" s="187" customFormat="1" x14ac:dyDescent="0.15"/>
    <row r="1113" s="187" customFormat="1" x14ac:dyDescent="0.15"/>
    <row r="1114" s="187" customFormat="1" x14ac:dyDescent="0.15"/>
    <row r="1115" s="187" customFormat="1" x14ac:dyDescent="0.15"/>
    <row r="1116" s="187" customFormat="1" x14ac:dyDescent="0.15"/>
    <row r="1117" s="187" customFormat="1" x14ac:dyDescent="0.15"/>
    <row r="1118" s="187" customFormat="1" x14ac:dyDescent="0.15"/>
    <row r="1119" s="187" customFormat="1" x14ac:dyDescent="0.15"/>
    <row r="1120" s="187" customFormat="1" x14ac:dyDescent="0.15"/>
    <row r="1121" s="187" customFormat="1" x14ac:dyDescent="0.15"/>
    <row r="1122" s="187" customFormat="1" x14ac:dyDescent="0.15"/>
    <row r="1123" s="187" customFormat="1" x14ac:dyDescent="0.15"/>
    <row r="1124" s="187" customFormat="1" x14ac:dyDescent="0.15"/>
    <row r="1125" s="187" customFormat="1" x14ac:dyDescent="0.15"/>
    <row r="1126" s="187" customFormat="1" x14ac:dyDescent="0.15"/>
    <row r="1127" s="187" customFormat="1" x14ac:dyDescent="0.15"/>
    <row r="1128" s="187" customFormat="1" x14ac:dyDescent="0.15"/>
    <row r="1129" s="187" customFormat="1" x14ac:dyDescent="0.15"/>
    <row r="1130" s="187" customFormat="1" x14ac:dyDescent="0.15"/>
    <row r="1131" s="187" customFormat="1" x14ac:dyDescent="0.15"/>
    <row r="1132" s="187" customFormat="1" x14ac:dyDescent="0.15"/>
    <row r="1133" s="187" customFormat="1" x14ac:dyDescent="0.15"/>
    <row r="1134" s="187" customFormat="1" x14ac:dyDescent="0.15"/>
    <row r="1135" s="187" customFormat="1" x14ac:dyDescent="0.15"/>
    <row r="1136" s="187" customFormat="1" x14ac:dyDescent="0.15"/>
    <row r="1137" s="187" customFormat="1" x14ac:dyDescent="0.15"/>
    <row r="1138" s="187" customFormat="1" x14ac:dyDescent="0.15"/>
    <row r="1139" s="187" customFormat="1" x14ac:dyDescent="0.15"/>
    <row r="1140" s="187" customFormat="1" x14ac:dyDescent="0.15"/>
    <row r="1141" s="187" customFormat="1" x14ac:dyDescent="0.15"/>
    <row r="1142" s="187" customFormat="1" x14ac:dyDescent="0.15"/>
    <row r="1143" s="187" customFormat="1" x14ac:dyDescent="0.15"/>
    <row r="1144" s="187" customFormat="1" x14ac:dyDescent="0.15"/>
    <row r="1145" s="187" customFormat="1" x14ac:dyDescent="0.15"/>
    <row r="1146" s="187" customFormat="1" x14ac:dyDescent="0.15"/>
    <row r="1147" s="187" customFormat="1" x14ac:dyDescent="0.15"/>
    <row r="1148" s="187" customFormat="1" x14ac:dyDescent="0.15"/>
    <row r="1149" s="187" customFormat="1" x14ac:dyDescent="0.15"/>
    <row r="1150" s="187" customFormat="1" x14ac:dyDescent="0.15"/>
    <row r="1151" s="187" customFormat="1" x14ac:dyDescent="0.15"/>
    <row r="1152" s="187" customFormat="1" x14ac:dyDescent="0.15"/>
    <row r="1153" s="187" customFormat="1" x14ac:dyDescent="0.15"/>
    <row r="1154" s="187" customFormat="1" x14ac:dyDescent="0.15"/>
    <row r="1155" s="187" customFormat="1" x14ac:dyDescent="0.15"/>
    <row r="1156" s="187" customFormat="1" x14ac:dyDescent="0.15"/>
    <row r="1157" s="187" customFormat="1" x14ac:dyDescent="0.15"/>
    <row r="1158" s="187" customFormat="1" x14ac:dyDescent="0.15"/>
    <row r="1159" s="187" customFormat="1" x14ac:dyDescent="0.15"/>
    <row r="1160" s="187" customFormat="1" x14ac:dyDescent="0.15"/>
    <row r="1161" s="187" customFormat="1" x14ac:dyDescent="0.15"/>
    <row r="1162" s="187" customFormat="1" x14ac:dyDescent="0.15"/>
    <row r="1163" s="187" customFormat="1" x14ac:dyDescent="0.15"/>
    <row r="1164" s="187" customFormat="1" x14ac:dyDescent="0.15"/>
    <row r="1165" s="187" customFormat="1" x14ac:dyDescent="0.15"/>
    <row r="1166" s="187" customFormat="1" x14ac:dyDescent="0.15"/>
    <row r="1167" s="187" customFormat="1" x14ac:dyDescent="0.15"/>
    <row r="1168" s="187" customFormat="1" x14ac:dyDescent="0.15"/>
    <row r="1169" s="187" customFormat="1" x14ac:dyDescent="0.15"/>
    <row r="1170" s="187" customFormat="1" x14ac:dyDescent="0.15"/>
    <row r="1171" s="187" customFormat="1" x14ac:dyDescent="0.15"/>
    <row r="1172" s="187" customFormat="1" x14ac:dyDescent="0.15"/>
    <row r="1173" s="187" customFormat="1" x14ac:dyDescent="0.15"/>
    <row r="1174" s="187" customFormat="1" x14ac:dyDescent="0.15"/>
    <row r="1175" s="187" customFormat="1" x14ac:dyDescent="0.15"/>
    <row r="1176" s="187" customFormat="1" x14ac:dyDescent="0.15"/>
    <row r="1177" s="187" customFormat="1" x14ac:dyDescent="0.15"/>
    <row r="1178" s="187" customFormat="1" x14ac:dyDescent="0.15"/>
    <row r="1179" s="187" customFormat="1" x14ac:dyDescent="0.15"/>
    <row r="1180" s="187" customFormat="1" x14ac:dyDescent="0.15"/>
    <row r="1181" s="187" customFormat="1" x14ac:dyDescent="0.15"/>
    <row r="1182" s="187" customFormat="1" x14ac:dyDescent="0.15"/>
    <row r="1183" s="187" customFormat="1" x14ac:dyDescent="0.15"/>
    <row r="1184" s="187" customFormat="1" x14ac:dyDescent="0.15"/>
    <row r="1185" s="187" customFormat="1" x14ac:dyDescent="0.15"/>
    <row r="1186" s="187" customFormat="1" x14ac:dyDescent="0.15"/>
    <row r="1187" s="187" customFormat="1" x14ac:dyDescent="0.15"/>
    <row r="1188" s="187" customFormat="1" x14ac:dyDescent="0.15"/>
    <row r="1189" s="187" customFormat="1" x14ac:dyDescent="0.15"/>
    <row r="1190" s="187" customFormat="1" x14ac:dyDescent="0.15"/>
    <row r="1191" s="187" customFormat="1" x14ac:dyDescent="0.15"/>
    <row r="1192" s="187" customFormat="1" x14ac:dyDescent="0.15"/>
    <row r="1193" s="187" customFormat="1" x14ac:dyDescent="0.15"/>
    <row r="1194" s="187" customFormat="1" x14ac:dyDescent="0.15"/>
    <row r="1195" s="187" customFormat="1" x14ac:dyDescent="0.15"/>
    <row r="1196" s="187" customFormat="1" x14ac:dyDescent="0.15"/>
    <row r="1197" s="187" customFormat="1" x14ac:dyDescent="0.15"/>
    <row r="1198" s="187" customFormat="1" x14ac:dyDescent="0.15"/>
    <row r="1199" s="187" customFormat="1" x14ac:dyDescent="0.15"/>
    <row r="1200" s="187" customFormat="1" x14ac:dyDescent="0.15"/>
    <row r="1201" s="187" customFormat="1" x14ac:dyDescent="0.15"/>
    <row r="1202" s="187" customFormat="1" x14ac:dyDescent="0.15"/>
    <row r="1203" s="187" customFormat="1" x14ac:dyDescent="0.15"/>
    <row r="1204" s="187" customFormat="1" x14ac:dyDescent="0.15"/>
    <row r="1205" s="187" customFormat="1" x14ac:dyDescent="0.15"/>
    <row r="1206" s="187" customFormat="1" x14ac:dyDescent="0.15"/>
    <row r="1207" s="187" customFormat="1" x14ac:dyDescent="0.15"/>
    <row r="1208" s="187" customFormat="1" x14ac:dyDescent="0.15"/>
    <row r="1209" s="187" customFormat="1" x14ac:dyDescent="0.15"/>
    <row r="1210" s="187" customFormat="1" x14ac:dyDescent="0.15"/>
    <row r="1211" s="187" customFormat="1" x14ac:dyDescent="0.15"/>
    <row r="1212" s="187" customFormat="1" x14ac:dyDescent="0.15"/>
    <row r="1213" s="187" customFormat="1" x14ac:dyDescent="0.15"/>
    <row r="1214" s="187" customFormat="1" x14ac:dyDescent="0.15"/>
    <row r="1215" s="187" customFormat="1" x14ac:dyDescent="0.15"/>
    <row r="1216" s="187" customFormat="1" x14ac:dyDescent="0.15"/>
    <row r="1217" s="187" customFormat="1" x14ac:dyDescent="0.15"/>
    <row r="1218" s="187" customFormat="1" x14ac:dyDescent="0.15"/>
    <row r="1219" s="187" customFormat="1" x14ac:dyDescent="0.15"/>
    <row r="1220" s="187" customFormat="1" x14ac:dyDescent="0.15"/>
    <row r="1221" s="187" customFormat="1" x14ac:dyDescent="0.15"/>
    <row r="1222" s="187" customFormat="1" x14ac:dyDescent="0.15"/>
    <row r="1223" s="187" customFormat="1" x14ac:dyDescent="0.15"/>
    <row r="1224" s="187" customFormat="1" x14ac:dyDescent="0.15"/>
    <row r="1225" s="187" customFormat="1" x14ac:dyDescent="0.15"/>
    <row r="1226" s="187" customFormat="1" x14ac:dyDescent="0.15"/>
    <row r="1227" s="187" customFormat="1" x14ac:dyDescent="0.15"/>
    <row r="1228" s="187" customFormat="1" x14ac:dyDescent="0.15"/>
    <row r="1229" s="187" customFormat="1" x14ac:dyDescent="0.15"/>
    <row r="1230" s="187" customFormat="1" x14ac:dyDescent="0.15"/>
    <row r="1231" s="187" customFormat="1" x14ac:dyDescent="0.15"/>
    <row r="1232" s="187" customFormat="1" x14ac:dyDescent="0.15"/>
    <row r="1233" s="187" customFormat="1" x14ac:dyDescent="0.15"/>
    <row r="1234" s="187" customFormat="1" x14ac:dyDescent="0.15"/>
    <row r="1235" s="187" customFormat="1" x14ac:dyDescent="0.15"/>
    <row r="1236" s="187" customFormat="1" x14ac:dyDescent="0.15"/>
    <row r="1237" s="187" customFormat="1" x14ac:dyDescent="0.15"/>
    <row r="1238" s="187" customFormat="1" x14ac:dyDescent="0.15"/>
    <row r="1239" s="187" customFormat="1" x14ac:dyDescent="0.15"/>
    <row r="1240" s="187" customFormat="1" x14ac:dyDescent="0.15"/>
    <row r="1241" s="187" customFormat="1" x14ac:dyDescent="0.15"/>
    <row r="1242" s="187" customFormat="1" x14ac:dyDescent="0.15"/>
    <row r="1243" s="187" customFormat="1" x14ac:dyDescent="0.15"/>
    <row r="1244" s="187" customFormat="1" x14ac:dyDescent="0.15"/>
    <row r="1245" s="187" customFormat="1" x14ac:dyDescent="0.15"/>
    <row r="1246" s="187" customFormat="1" x14ac:dyDescent="0.15"/>
    <row r="1247" s="187" customFormat="1" x14ac:dyDescent="0.15"/>
    <row r="1248" s="187" customFormat="1" x14ac:dyDescent="0.15"/>
    <row r="1249" s="187" customFormat="1" x14ac:dyDescent="0.15"/>
    <row r="1250" s="187" customFormat="1" x14ac:dyDescent="0.15"/>
    <row r="1251" s="187" customFormat="1" x14ac:dyDescent="0.15"/>
    <row r="1252" s="187" customFormat="1" x14ac:dyDescent="0.15"/>
    <row r="1253" s="187" customFormat="1" x14ac:dyDescent="0.15"/>
    <row r="1254" s="187" customFormat="1" x14ac:dyDescent="0.15"/>
    <row r="1255" s="187" customFormat="1" x14ac:dyDescent="0.15"/>
    <row r="1256" s="187" customFormat="1" x14ac:dyDescent="0.15"/>
    <row r="1257" s="187" customFormat="1" x14ac:dyDescent="0.15"/>
    <row r="1258" s="187" customFormat="1" x14ac:dyDescent="0.15"/>
    <row r="1259" s="187" customFormat="1" x14ac:dyDescent="0.15"/>
    <row r="1260" s="187" customFormat="1" x14ac:dyDescent="0.15"/>
    <row r="1261" s="187" customFormat="1" x14ac:dyDescent="0.15"/>
    <row r="1262" s="187" customFormat="1" x14ac:dyDescent="0.15"/>
    <row r="1263" s="187" customFormat="1" x14ac:dyDescent="0.15"/>
    <row r="1264" s="187" customFormat="1" x14ac:dyDescent="0.15"/>
    <row r="1265" s="187" customFormat="1" x14ac:dyDescent="0.15"/>
    <row r="1266" s="187" customFormat="1" x14ac:dyDescent="0.15"/>
    <row r="1267" s="187" customFormat="1" x14ac:dyDescent="0.15"/>
    <row r="1268" s="187" customFormat="1" x14ac:dyDescent="0.15"/>
    <row r="1269" s="187" customFormat="1" x14ac:dyDescent="0.15"/>
    <row r="1270" s="187" customFormat="1" x14ac:dyDescent="0.15"/>
    <row r="1271" s="187" customFormat="1" x14ac:dyDescent="0.15"/>
    <row r="1272" s="187" customFormat="1" x14ac:dyDescent="0.15"/>
    <row r="1273" s="187" customFormat="1" x14ac:dyDescent="0.15"/>
    <row r="1274" s="187" customFormat="1" x14ac:dyDescent="0.15"/>
    <row r="1275" s="187" customFormat="1" x14ac:dyDescent="0.15"/>
    <row r="1276" s="187" customFormat="1" x14ac:dyDescent="0.15"/>
    <row r="1277" s="187" customFormat="1" x14ac:dyDescent="0.15"/>
    <row r="1278" s="187" customFormat="1" x14ac:dyDescent="0.15"/>
    <row r="1279" s="187" customFormat="1" x14ac:dyDescent="0.15"/>
    <row r="1280" s="187" customFormat="1" x14ac:dyDescent="0.15"/>
    <row r="1281" s="187" customFormat="1" x14ac:dyDescent="0.15"/>
    <row r="1282" s="187" customFormat="1" x14ac:dyDescent="0.15"/>
    <row r="1283" s="187" customFormat="1" x14ac:dyDescent="0.15"/>
    <row r="1284" s="187" customFormat="1" x14ac:dyDescent="0.15"/>
    <row r="1285" s="187" customFormat="1" x14ac:dyDescent="0.15"/>
    <row r="1286" s="187" customFormat="1" x14ac:dyDescent="0.15"/>
    <row r="1287" s="187" customFormat="1" x14ac:dyDescent="0.15"/>
    <row r="1288" s="187" customFormat="1" x14ac:dyDescent="0.15"/>
    <row r="1289" s="187" customFormat="1" x14ac:dyDescent="0.15"/>
    <row r="1290" s="187" customFormat="1" x14ac:dyDescent="0.15"/>
    <row r="1291" s="187" customFormat="1" x14ac:dyDescent="0.15"/>
    <row r="1292" s="187" customFormat="1" x14ac:dyDescent="0.15"/>
    <row r="1293" s="187" customFormat="1" x14ac:dyDescent="0.15"/>
    <row r="1294" s="187" customFormat="1" x14ac:dyDescent="0.15"/>
    <row r="1295" s="187" customFormat="1" x14ac:dyDescent="0.15"/>
    <row r="1296" s="187" customFormat="1" x14ac:dyDescent="0.15"/>
    <row r="1297" s="187" customFormat="1" x14ac:dyDescent="0.15"/>
    <row r="1298" s="187" customFormat="1" x14ac:dyDescent="0.15"/>
    <row r="1299" s="187" customFormat="1" x14ac:dyDescent="0.15"/>
    <row r="1300" s="187" customFormat="1" x14ac:dyDescent="0.15"/>
    <row r="1301" s="187" customFormat="1" x14ac:dyDescent="0.15"/>
    <row r="1302" s="187" customFormat="1" x14ac:dyDescent="0.15"/>
    <row r="1303" s="187" customFormat="1" x14ac:dyDescent="0.15"/>
    <row r="1304" s="187" customFormat="1" x14ac:dyDescent="0.15"/>
    <row r="1305" s="187" customFormat="1" x14ac:dyDescent="0.15"/>
    <row r="1306" s="187" customFormat="1" x14ac:dyDescent="0.15"/>
    <row r="1307" s="187" customFormat="1" x14ac:dyDescent="0.15"/>
    <row r="1308" s="187" customFormat="1" x14ac:dyDescent="0.15"/>
    <row r="1309" s="187" customFormat="1" x14ac:dyDescent="0.15"/>
    <row r="1310" s="187" customFormat="1" x14ac:dyDescent="0.15"/>
    <row r="1311" s="187" customFormat="1" x14ac:dyDescent="0.15"/>
    <row r="1312" s="187" customFormat="1" x14ac:dyDescent="0.15"/>
    <row r="1313" s="187" customFormat="1" x14ac:dyDescent="0.15"/>
    <row r="1314" s="187" customFormat="1" x14ac:dyDescent="0.15"/>
    <row r="1315" s="187" customFormat="1" x14ac:dyDescent="0.15"/>
    <row r="1316" s="187" customFormat="1" x14ac:dyDescent="0.15"/>
    <row r="1317" s="187" customFormat="1" x14ac:dyDescent="0.15"/>
    <row r="1318" s="187" customFormat="1" x14ac:dyDescent="0.15"/>
    <row r="1319" s="187" customFormat="1" x14ac:dyDescent="0.15"/>
    <row r="1320" s="187" customFormat="1" x14ac:dyDescent="0.15"/>
    <row r="1321" s="187" customFormat="1" x14ac:dyDescent="0.15"/>
    <row r="1322" s="187" customFormat="1" x14ac:dyDescent="0.15"/>
    <row r="1323" s="187" customFormat="1" x14ac:dyDescent="0.15"/>
    <row r="1324" s="187" customFormat="1" x14ac:dyDescent="0.15"/>
    <row r="1325" s="187" customFormat="1" x14ac:dyDescent="0.15"/>
    <row r="1326" s="187" customFormat="1" x14ac:dyDescent="0.15"/>
    <row r="1327" s="187" customFormat="1" x14ac:dyDescent="0.15"/>
    <row r="1328" s="187" customFormat="1" x14ac:dyDescent="0.15"/>
    <row r="1329" s="187" customFormat="1" x14ac:dyDescent="0.15"/>
    <row r="1330" s="187" customFormat="1" x14ac:dyDescent="0.15"/>
    <row r="1331" s="187" customFormat="1" x14ac:dyDescent="0.15"/>
    <row r="1332" s="187" customFormat="1" x14ac:dyDescent="0.15"/>
    <row r="1333" s="187" customFormat="1" x14ac:dyDescent="0.15"/>
    <row r="1334" s="187" customFormat="1" x14ac:dyDescent="0.15"/>
    <row r="1335" s="187" customFormat="1" x14ac:dyDescent="0.15"/>
    <row r="1336" s="187" customFormat="1" x14ac:dyDescent="0.15"/>
    <row r="1337" s="187" customFormat="1" x14ac:dyDescent="0.15"/>
    <row r="1338" s="187" customFormat="1" x14ac:dyDescent="0.15"/>
  </sheetData>
  <sheetProtection algorithmName="SHA-512" hashValue="nu0Doe/YJyknimOi7spgYPzCZUt44VzqKSKhQ0vpTScO60GTjzNz4Ur7/MR1GvgMLJu7Ce8v3oOG2zXioeS5Ig==" saltValue="MpVDxVbb9DZGWG+IIDOGcA==" spinCount="100000" sheet="1" objects="1" scenarios="1"/>
  <dataValidations count="2">
    <dataValidation type="decimal" showInputMessage="1" showErrorMessage="1" errorTitle="Incorrect entry" error="Enter 1.5 or 3.0 only" sqref="C4" xr:uid="{06011F1B-D2DF-464F-BB01-EFAB622B5943}">
      <formula1>1.5</formula1>
      <formula2>3</formula2>
    </dataValidation>
    <dataValidation type="whole" showInputMessage="1" showErrorMessage="1" errorTitle="Incorrect number" error="Please enter quarterly consumption between 700-4000kWh" sqref="C5" xr:uid="{F41FA565-DAFD-B749-A11A-E1163CFCD136}">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4AB1D-1BD3-8D4A-890F-CAEF735B0B8B}">
  <sheetPr codeName="Sheet22"/>
  <dimension ref="A1:BMO621"/>
  <sheetViews>
    <sheetView zoomScale="90" zoomScaleNormal="90" workbookViewId="0">
      <selection activeCell="S1" sqref="S1:X1048576"/>
    </sheetView>
  </sheetViews>
  <sheetFormatPr baseColWidth="10" defaultRowHeight="14" x14ac:dyDescent="0.15"/>
  <cols>
    <col min="1" max="1" width="22" style="187" customWidth="1"/>
    <col min="2" max="2" width="26.33203125" style="187" customWidth="1"/>
    <col min="3" max="10" width="13.83203125" style="187" customWidth="1"/>
    <col min="11" max="12" width="13.83203125" style="187" hidden="1" customWidth="1"/>
    <col min="13" max="18" width="13.83203125" style="187" customWidth="1"/>
    <col min="19" max="24" width="13.83203125" style="187" hidden="1" customWidth="1"/>
    <col min="25" max="30" width="13.83203125" style="187" customWidth="1"/>
    <col min="31" max="1705" width="10.83203125" style="187"/>
    <col min="1706" max="16384" width="10.83203125" style="213"/>
  </cols>
  <sheetData>
    <row r="1" spans="1:48" s="187" customFormat="1" x14ac:dyDescent="0.15">
      <c r="A1" s="345" t="s">
        <v>340</v>
      </c>
      <c r="B1" s="345"/>
      <c r="C1" s="345"/>
      <c r="D1" s="345"/>
      <c r="E1" s="344"/>
      <c r="F1" s="344"/>
      <c r="G1" s="344"/>
      <c r="H1" s="344"/>
      <c r="I1" s="344"/>
      <c r="J1" s="344"/>
      <c r="K1" s="344">
        <v>3</v>
      </c>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row>
    <row r="2" spans="1:48" s="187" customFormat="1" x14ac:dyDescent="0.15">
      <c r="A2" s="346" t="s">
        <v>153</v>
      </c>
      <c r="B2" s="345"/>
      <c r="C2" s="345"/>
      <c r="D2" s="345"/>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row>
    <row r="3" spans="1:48" s="187" customFormat="1" x14ac:dyDescent="0.15">
      <c r="A3" s="346"/>
      <c r="B3" s="345"/>
      <c r="C3" s="345"/>
      <c r="D3" s="345"/>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row>
    <row r="4" spans="1:48" s="187" customFormat="1" x14ac:dyDescent="0.15">
      <c r="A4" s="331" t="s">
        <v>341</v>
      </c>
      <c r="B4" s="332"/>
      <c r="C4" s="175">
        <v>3</v>
      </c>
      <c r="D4" s="344"/>
      <c r="E4" s="329" t="s">
        <v>366</v>
      </c>
      <c r="F4" s="333">
        <f>IF(C4&lt;K1,(703),(1406))</f>
        <v>1406</v>
      </c>
      <c r="G4" s="331"/>
      <c r="H4" s="178" t="s">
        <v>367</v>
      </c>
      <c r="I4" s="179" t="s">
        <v>368</v>
      </c>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row>
    <row r="5" spans="1:48" s="187" customFormat="1" x14ac:dyDescent="0.15">
      <c r="A5" s="334" t="s">
        <v>369</v>
      </c>
      <c r="B5" s="335"/>
      <c r="C5" s="182">
        <v>1500</v>
      </c>
      <c r="D5" s="344"/>
      <c r="E5" s="329" t="s">
        <v>370</v>
      </c>
      <c r="F5" s="330">
        <f>C5-(F4-F6)</f>
        <v>892.60800000000006</v>
      </c>
      <c r="G5" s="334" t="s">
        <v>371</v>
      </c>
      <c r="H5" s="184">
        <f>F5*80/100</f>
        <v>714.08640000000003</v>
      </c>
      <c r="I5" s="185">
        <f>F5*20/100</f>
        <v>178.52160000000001</v>
      </c>
      <c r="J5" s="344"/>
      <c r="K5" s="344"/>
      <c r="L5" s="344"/>
      <c r="M5" s="344"/>
      <c r="N5" s="344"/>
      <c r="O5" s="344"/>
      <c r="P5" s="344"/>
      <c r="Q5" s="344"/>
      <c r="R5" s="344"/>
      <c r="S5" s="344"/>
      <c r="T5" s="344"/>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c r="AT5" s="344"/>
      <c r="AU5" s="344"/>
      <c r="AV5" s="344"/>
    </row>
    <row r="6" spans="1:48" s="187" customFormat="1" x14ac:dyDescent="0.15">
      <c r="A6" s="344"/>
      <c r="B6" s="344"/>
      <c r="C6" s="344"/>
      <c r="D6" s="344"/>
      <c r="E6" s="329" t="s">
        <v>372</v>
      </c>
      <c r="F6" s="330">
        <f>IF(C4&lt;K1,(F4*30.2/100),(F4*56.8/100))</f>
        <v>798.60800000000006</v>
      </c>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row>
    <row r="7" spans="1:48" s="187" customFormat="1" ht="15" thickBot="1" x14ac:dyDescent="0.2">
      <c r="A7" s="344"/>
      <c r="B7" s="344"/>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4"/>
      <c r="AV7" s="344"/>
    </row>
    <row r="8" spans="1:48" s="187" customFormat="1" x14ac:dyDescent="0.15">
      <c r="A8" s="336" t="s">
        <v>356</v>
      </c>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268"/>
      <c r="AE8" s="344"/>
      <c r="AF8" s="344"/>
      <c r="AG8" s="344"/>
      <c r="AH8" s="344"/>
      <c r="AI8" s="344"/>
      <c r="AJ8" s="344"/>
      <c r="AK8" s="344"/>
      <c r="AL8" s="344"/>
      <c r="AM8" s="344"/>
      <c r="AN8" s="344"/>
      <c r="AO8" s="344"/>
      <c r="AP8" s="344"/>
      <c r="AQ8" s="344"/>
      <c r="AR8" s="344"/>
      <c r="AS8" s="344"/>
      <c r="AT8" s="344"/>
      <c r="AU8" s="344"/>
      <c r="AV8" s="344"/>
    </row>
    <row r="9" spans="1:48" s="187" customFormat="1" ht="90" x14ac:dyDescent="0.15">
      <c r="A9" s="271" t="s">
        <v>231</v>
      </c>
      <c r="B9" s="272" t="s">
        <v>243</v>
      </c>
      <c r="C9" s="279" t="s">
        <v>244</v>
      </c>
      <c r="D9" s="279" t="s">
        <v>227</v>
      </c>
      <c r="E9" s="279" t="s">
        <v>357</v>
      </c>
      <c r="F9" s="279" t="s">
        <v>358</v>
      </c>
      <c r="G9" s="279" t="s">
        <v>321</v>
      </c>
      <c r="H9" s="279" t="s">
        <v>328</v>
      </c>
      <c r="I9" s="279" t="s">
        <v>329</v>
      </c>
      <c r="J9" s="273" t="s">
        <v>799</v>
      </c>
      <c r="K9" s="280" t="s">
        <v>246</v>
      </c>
      <c r="L9" s="280" t="s">
        <v>247</v>
      </c>
      <c r="M9" s="274" t="s">
        <v>636</v>
      </c>
      <c r="N9" s="275" t="s">
        <v>249</v>
      </c>
      <c r="O9" s="275" t="s">
        <v>250</v>
      </c>
      <c r="P9" s="275" t="s">
        <v>251</v>
      </c>
      <c r="Q9" s="275" t="s">
        <v>365</v>
      </c>
      <c r="R9" s="276" t="s">
        <v>373</v>
      </c>
      <c r="S9" s="281" t="s">
        <v>637</v>
      </c>
      <c r="T9" s="281" t="s">
        <v>638</v>
      </c>
      <c r="U9" s="282" t="s">
        <v>255</v>
      </c>
      <c r="V9" s="282" t="s">
        <v>224</v>
      </c>
      <c r="W9" s="282" t="s">
        <v>374</v>
      </c>
      <c r="X9" s="282" t="s">
        <v>375</v>
      </c>
      <c r="Y9" s="276" t="s">
        <v>376</v>
      </c>
      <c r="Z9" s="276" t="s">
        <v>436</v>
      </c>
      <c r="AA9" s="275" t="s">
        <v>155</v>
      </c>
      <c r="AB9" s="275" t="s">
        <v>225</v>
      </c>
      <c r="AC9" s="275" t="s">
        <v>226</v>
      </c>
      <c r="AD9" s="277" t="s">
        <v>221</v>
      </c>
      <c r="AE9" s="344"/>
      <c r="AF9" s="344"/>
      <c r="AG9" s="344"/>
      <c r="AH9" s="344"/>
      <c r="AI9" s="344"/>
      <c r="AJ9" s="344"/>
      <c r="AK9" s="344"/>
      <c r="AL9" s="344"/>
      <c r="AM9" s="344"/>
      <c r="AN9" s="344"/>
      <c r="AO9" s="344"/>
      <c r="AP9" s="344"/>
      <c r="AQ9" s="344"/>
      <c r="AR9" s="344"/>
      <c r="AS9" s="344"/>
      <c r="AT9" s="344"/>
      <c r="AU9" s="344"/>
      <c r="AV9" s="344"/>
    </row>
    <row r="10" spans="1:48" s="187" customFormat="1" x14ac:dyDescent="0.15">
      <c r="A10" s="186" t="str">
        <f>'Tariff Jul 2022'!K2</f>
        <v>AGL</v>
      </c>
      <c r="B10" s="187" t="str">
        <f>'Tariff Jul 2022'!L2</f>
        <v>Solar Savers</v>
      </c>
      <c r="C10" s="188">
        <f>IF('Tariff Jul 2022'!BP2=0,91*'Tariff Jul 2022'!M2/100,(91*'Tariff Jul 2022'!M2/100)+'Tariff Jul 2022'!BP2/4)</f>
        <v>85.705454545454543</v>
      </c>
      <c r="D10" s="188">
        <f>IF('Tariff Jul 2022'!O2="",$F$5*'Tariff Jul 2022'!N2/100,IF($F$5&gt;='Tariff Jul 2022'!P2,('Tariff Jul 2022'!P2*'Tariff Jul 2022'!N2/100),($F$5*'Tariff Jul 2022'!N2/100)))</f>
        <v>296.50814836363634</v>
      </c>
      <c r="E10" s="188">
        <f>IF(AND('Tariff Jul 2022'!P2&gt;0,'Tariff Jul 2022'!R2&gt;0),IF($F$5&lt;'Tariff Jul 2022'!P2,0,IF($F$5&lt;=('Tariff Jul 2022'!R2+'Tariff Jul 2022'!P2),(($F$5-'Tariff Jul 2022'!P2)*'Tariff Jul 2022'!Q2/100),(('Tariff Jul 2022'!R2)*'Tariff Jul 2022'!Q2/100))),0)</f>
        <v>0</v>
      </c>
      <c r="F10" s="189">
        <f>IF(AND('Tariff Jul 2022'!Q2&gt;0,'Tariff Jul 2022'!S2&gt;0),IF($F$5&lt;('Tariff Jul 2022'!R2+'Tariff Jul 2022'!P2),0,IF($F$5&lt;=('Tariff Jul 2022'!T2+'Tariff Jul 2022'!R2+'Tariff Jul 2022'!P2),(($F$5-('Tariff Jul 2022'!R2+'Tariff Jul 2022'!P2))*'Tariff Jul 2022'!S2/100),('Tariff Jul 2022'!T2*'Tariff Jul 2022'!S2/100))),0)</f>
        <v>0</v>
      </c>
      <c r="G10" s="188">
        <v>0</v>
      </c>
      <c r="H10" s="188">
        <v>0</v>
      </c>
      <c r="I10" s="189">
        <f>IF('Tariff Jul 2022'!T2&gt;0,IF(($F$5&lt;'Tariff Jul 2022'!T2),(0),($F$5-'Tariff Jul 2022'!T2)*'Tariff Jul 2022'!U2/100),IF(AND('Tariff Jul 2022'!R2&gt;0,'Tariff Jul 2022'!T2=""),IF(($F$5&lt;'Tariff Jul 2022'!R2),(0),($F$5-'Tariff Jul 2022'!R2)*'Tariff Jul 2022'!S2/100),IF(AND('Tariff Jul 2022'!P2&gt;0,'Tariff Jul 2022'!R2=""),IF(($F$5&lt;'Tariff Jul 2022'!P2),(0),($F$5-'Tariff Jul 2022'!P2)*'Tariff Jul 2022'!Q2/100),0)))</f>
        <v>0</v>
      </c>
      <c r="J10" s="188">
        <f>SUM(C10:I10)</f>
        <v>382.21360290909087</v>
      </c>
      <c r="K10" s="283">
        <f>(J10-C10)*4</f>
        <v>1186.0325934545453</v>
      </c>
      <c r="L10" s="283">
        <f>J10*4</f>
        <v>1528.8544116363635</v>
      </c>
      <c r="M10" s="191">
        <f>L10*1.1</f>
        <v>1681.7398527999999</v>
      </c>
      <c r="N10" s="187">
        <f>'Tariff Jul 2022'!AZ2</f>
        <v>0</v>
      </c>
      <c r="O10" s="187">
        <f>'Tariff Jul 2022'!BA2</f>
        <v>0</v>
      </c>
      <c r="P10" s="187">
        <f>'Tariff Jul 2022'!BB2</f>
        <v>0</v>
      </c>
      <c r="Q10" s="187">
        <f>'Tariff Jul 2022'!BC2</f>
        <v>0</v>
      </c>
      <c r="R10" s="192">
        <f>($F$6*'Tariff Jul 2022'!AT2/100)*4</f>
        <v>319.44320000000005</v>
      </c>
      <c r="S10" s="193" t="str">
        <f t="shared" ref="S10:S24" si="0">IF(SUM(N10:Q10)=0,"No discount",IF(N10&gt;0,"Guaranteed off bill",IF(O10&gt;0,"Guaranteed off usage",IF(P10&gt;0,"Pay-on-time off bill","Pay-on-time off usage"))))</f>
        <v>No discount</v>
      </c>
      <c r="T10" s="193" t="str">
        <f t="shared" ref="T10:T24" si="1">IF(OR(A10="Origin Energy",A10="Red Energy",A10="Powershop"),"Inclusive","Exclusive")</f>
        <v>Exclusive</v>
      </c>
      <c r="U10" s="304">
        <f t="shared" ref="U10:U24" si="2">IF(AND(S10="Guaranteed off bill",T10="Inclusive"),((L10*1.1)-((L10*1.1)*N10/100))/1.1,IF(AND(S10="Guaranteed off usage",T10="Inclusive"),((L10*1.1)-((K10*1.1)*O10/100))/1.1,IF(AND(S10="Guaranteed off bill",T10="Exclusive"),L10-(L10*N10/100),IF(AND(S10="Guaranteed off usage",T10="Exclusive"),L10-(K10*O10/100),IF(T10="Inclusive",((L10*1.1))/1.1,L10)))))</f>
        <v>1528.8544116363635</v>
      </c>
      <c r="V10" s="283">
        <f t="shared" ref="V10:V24" si="3">IF(AND(S10="Pay-on-time off bill",T10="Inclusive"),((U10*1.1)-((U10*1.1)*P10/100))/1.1,IF(AND(S10="Pay-on-time off usage",T10="Inclusive"),((U10*1.1)-((K10*1.1)*Q10/100))/1.1,IF(AND(S10="Pay-on-time off bill",T10="Exclusive"),U10-(U10*P10/100),IF(AND(S10="Pay-on-time off usage",T10="Exclusive"),U10-(K10*Q10/100),IF(T10="Inclusive",((U10*1.1))/1.1,U10)))))</f>
        <v>1528.8544116363635</v>
      </c>
      <c r="W10" s="283">
        <f t="shared" ref="W10:W24" si="4">U10-R10</f>
        <v>1209.4112116363635</v>
      </c>
      <c r="X10" s="283">
        <f t="shared" ref="X10:X24" si="5">V10-R10</f>
        <v>1209.4112116363635</v>
      </c>
      <c r="Y10" s="285">
        <f t="shared" ref="Y10:Z24" si="6">W10*1.1</f>
        <v>1330.3523327999999</v>
      </c>
      <c r="Z10" s="285">
        <f t="shared" si="6"/>
        <v>1330.3523327999999</v>
      </c>
      <c r="AA10" s="194">
        <f>'Tariff Jul 2022'!AT2</f>
        <v>10</v>
      </c>
      <c r="AB10" s="195">
        <f>'Tariff Jul 2022'!BL2</f>
        <v>0</v>
      </c>
      <c r="AC10" s="195" t="str">
        <f>'Tariff Jul 2022'!BM2</f>
        <v>n</v>
      </c>
      <c r="AD10" s="196">
        <f>'Tariff Jul 2022'!G2</f>
        <v>43284</v>
      </c>
      <c r="AE10" s="344"/>
      <c r="AF10" s="344"/>
      <c r="AG10" s="344"/>
      <c r="AH10" s="344"/>
      <c r="AI10" s="344"/>
      <c r="AJ10" s="344"/>
      <c r="AK10" s="344"/>
      <c r="AL10" s="344"/>
      <c r="AM10" s="344"/>
      <c r="AN10" s="344"/>
      <c r="AO10" s="344"/>
      <c r="AP10" s="344"/>
      <c r="AQ10" s="344"/>
      <c r="AR10" s="344"/>
      <c r="AS10" s="344"/>
      <c r="AT10" s="344"/>
      <c r="AU10" s="344"/>
      <c r="AV10" s="344"/>
    </row>
    <row r="11" spans="1:48" s="187" customFormat="1" x14ac:dyDescent="0.15">
      <c r="A11" s="186" t="str">
        <f>'Tariff Jul 2022'!K3</f>
        <v>Alinta Energy</v>
      </c>
      <c r="B11" s="187" t="str">
        <f>'Tariff Jul 2022'!L3</f>
        <v>Home Deal</v>
      </c>
      <c r="C11" s="188">
        <f>IF('Tariff Jul 2022'!BP3=0,91*'Tariff Jul 2022'!M3/100,(91*'Tariff Jul 2022'!M3/100)+'Tariff Jul 2022'!BP3/4)</f>
        <v>82.528727272727266</v>
      </c>
      <c r="D11" s="188">
        <f>IF('Tariff Jul 2022'!O3="",$F$5*'Tariff Jul 2022'!N3/100,IF($F$5&gt;='Tariff Jul 2022'!P3,('Tariff Jul 2022'!P3*'Tariff Jul 2022'!N3/100),($F$5*'Tariff Jul 2022'!N3/100)))</f>
        <v>291.63937745454541</v>
      </c>
      <c r="E11" s="188">
        <f>IF(AND('Tariff Jul 2022'!P3&gt;0,'Tariff Jul 2022'!R3&gt;0),IF($F$5&lt;'Tariff Jul 2022'!P3,0,IF($F$5&lt;=('Tariff Jul 2022'!R3+'Tariff Jul 2022'!P3),(($F$5-'Tariff Jul 2022'!P3)*'Tariff Jul 2022'!Q3/100),(('Tariff Jul 2022'!R3)*'Tariff Jul 2022'!Q3/100))),0)</f>
        <v>0</v>
      </c>
      <c r="F11" s="189">
        <f>IF(AND('Tariff Jul 2022'!Q3&gt;0,'Tariff Jul 2022'!S3&gt;0),IF($F$5&lt;('Tariff Jul 2022'!R3+'Tariff Jul 2022'!P3),0,IF($F$5&lt;=('Tariff Jul 2022'!T3+'Tariff Jul 2022'!R3+'Tariff Jul 2022'!P3),(($F$5-('Tariff Jul 2022'!R3+'Tariff Jul 2022'!P3))*'Tariff Jul 2022'!S3/100),('Tariff Jul 2022'!T3*'Tariff Jul 2022'!S3/100))),0)</f>
        <v>0</v>
      </c>
      <c r="G11" s="188">
        <v>0</v>
      </c>
      <c r="H11" s="188">
        <v>0</v>
      </c>
      <c r="I11" s="189">
        <f>IF('Tariff Jul 2022'!T3&gt;0,IF(($F$5&lt;'Tariff Jul 2022'!T3),(0),($F$5-'Tariff Jul 2022'!T3)*'Tariff Jul 2022'!U3/100),IF(AND('Tariff Jul 2022'!R3&gt;0,'Tariff Jul 2022'!T3=""),IF(($F$5&lt;'Tariff Jul 2022'!R3),(0),($F$5-'Tariff Jul 2022'!R3)*'Tariff Jul 2022'!S3/100),IF(AND('Tariff Jul 2022'!P3&gt;0,'Tariff Jul 2022'!R3=""),IF(($F$5&lt;'Tariff Jul 2022'!P3),(0),($F$5-'Tariff Jul 2022'!P3)*'Tariff Jul 2022'!Q3/100),0)))</f>
        <v>0</v>
      </c>
      <c r="J11" s="188">
        <f t="shared" ref="J11:J24" si="7">SUM(C11:I11)</f>
        <v>374.16810472727269</v>
      </c>
      <c r="K11" s="283">
        <f>(J11-C11)*4</f>
        <v>1166.5575098181816</v>
      </c>
      <c r="L11" s="283">
        <f t="shared" ref="L11:L24" si="8">J11*4</f>
        <v>1496.6724189090908</v>
      </c>
      <c r="M11" s="191">
        <f t="shared" ref="M11:M24" si="9">L11*1.1</f>
        <v>1646.3396608</v>
      </c>
      <c r="N11" s="187">
        <f>'Tariff Jul 2022'!AZ3</f>
        <v>0</v>
      </c>
      <c r="O11" s="187">
        <f>'Tariff Jul 2022'!BA3</f>
        <v>0</v>
      </c>
      <c r="P11" s="187">
        <f>'Tariff Jul 2022'!BB3</f>
        <v>0</v>
      </c>
      <c r="Q11" s="187">
        <f>'Tariff Jul 2022'!BC3</f>
        <v>0</v>
      </c>
      <c r="R11" s="192">
        <f>($F$6*'Tariff Jul 2022'!AT3/100)*4</f>
        <v>255.55456000000001</v>
      </c>
      <c r="S11" s="193" t="str">
        <f t="shared" si="0"/>
        <v>No discount</v>
      </c>
      <c r="T11" s="193" t="str">
        <f t="shared" si="1"/>
        <v>Exclusive</v>
      </c>
      <c r="U11" s="304">
        <f t="shared" si="2"/>
        <v>1496.6724189090908</v>
      </c>
      <c r="V11" s="283">
        <f t="shared" si="3"/>
        <v>1496.6724189090908</v>
      </c>
      <c r="W11" s="283">
        <f t="shared" si="4"/>
        <v>1241.1178589090907</v>
      </c>
      <c r="X11" s="283">
        <f t="shared" si="5"/>
        <v>1241.1178589090907</v>
      </c>
      <c r="Y11" s="285">
        <f t="shared" si="6"/>
        <v>1365.2296448</v>
      </c>
      <c r="Z11" s="285">
        <f t="shared" si="6"/>
        <v>1365.2296448</v>
      </c>
      <c r="AA11" s="194">
        <f>'Tariff Jul 2022'!AT3</f>
        <v>8</v>
      </c>
      <c r="AB11" s="195">
        <f>'Tariff Jul 2022'!BL3</f>
        <v>0</v>
      </c>
      <c r="AC11" s="195" t="str">
        <f>'Tariff Jul 2022'!BM3</f>
        <v>n</v>
      </c>
      <c r="AD11" s="196">
        <f>'Tariff Jul 2022'!G3</f>
        <v>43299</v>
      </c>
      <c r="AE11" s="344"/>
      <c r="AF11" s="344"/>
      <c r="AG11" s="344"/>
      <c r="AH11" s="344"/>
      <c r="AI11" s="344"/>
      <c r="AJ11" s="344"/>
      <c r="AK11" s="344"/>
      <c r="AL11" s="344"/>
      <c r="AM11" s="344"/>
      <c r="AN11" s="344"/>
      <c r="AO11" s="344"/>
      <c r="AP11" s="344"/>
      <c r="AQ11" s="344"/>
      <c r="AR11" s="344"/>
      <c r="AS11" s="344"/>
      <c r="AT11" s="344"/>
      <c r="AU11" s="344"/>
      <c r="AV11" s="344"/>
    </row>
    <row r="12" spans="1:48" s="187" customFormat="1" x14ac:dyDescent="0.15">
      <c r="A12" s="186" t="str">
        <f>'Tariff Jul 2022'!K4</f>
        <v>Diamond Energy</v>
      </c>
      <c r="B12" s="187" t="str">
        <f>'Tariff Jul 2022'!L4</f>
        <v>Renewable Saver</v>
      </c>
      <c r="C12" s="188">
        <f>IF('Tariff Jul 2022'!BP4=0,91*'Tariff Jul 2022'!M4/100,(91*'Tariff Jul 2022'!M4/100)+'Tariff Jul 2022'!BP4/4)</f>
        <v>72.8</v>
      </c>
      <c r="D12" s="188">
        <f>IF('Tariff Jul 2022'!O4="",$F$5*'Tariff Jul 2022'!N4/100,IF($F$5&gt;='Tariff Jul 2022'!P4,('Tariff Jul 2022'!P4*'Tariff Jul 2022'!N4/100),($F$5*'Tariff Jul 2022'!N4/100)))</f>
        <v>98.999999999999986</v>
      </c>
      <c r="E12" s="188">
        <f>IF(AND('Tariff Jul 2022'!P4&gt;0,'Tariff Jul 2022'!R4&gt;0),IF($F$5&lt;'Tariff Jul 2022'!P4,0,IF($F$5&lt;=('Tariff Jul 2022'!R4+'Tariff Jul 2022'!P4),(($F$5-'Tariff Jul 2022'!P4)*'Tariff Jul 2022'!Q4/100),(('Tariff Jul 2022'!R4)*'Tariff Jul 2022'!Q4/100))),0)</f>
        <v>208.32864872727276</v>
      </c>
      <c r="F12" s="189">
        <f>IF(AND('Tariff Jul 2022'!Q4&gt;0,'Tariff Jul 2022'!S4&gt;0),IF($F$5&lt;('Tariff Jul 2022'!R4+'Tariff Jul 2022'!P4),0,IF($F$5&lt;=('Tariff Jul 2022'!T4+'Tariff Jul 2022'!R4+'Tariff Jul 2022'!P4),(($F$5-('Tariff Jul 2022'!R4+'Tariff Jul 2022'!P4))*'Tariff Jul 2022'!S4/100),('Tariff Jul 2022'!T4*'Tariff Jul 2022'!S4/100))),0)</f>
        <v>0</v>
      </c>
      <c r="G12" s="188">
        <v>0</v>
      </c>
      <c r="H12" s="188">
        <v>0</v>
      </c>
      <c r="I12" s="189">
        <f>IF('Tariff Jul 2022'!T4&gt;0,IF(($F$5&lt;'Tariff Jul 2022'!T4),(0),($F$5-'Tariff Jul 2022'!T4)*'Tariff Jul 2022'!U4/100),IF(AND('Tariff Jul 2022'!R4&gt;0,'Tariff Jul 2022'!T4=""),IF(($F$5&lt;'Tariff Jul 2022'!R4),(0),($F$5-'Tariff Jul 2022'!R4)*'Tariff Jul 2022'!S4/100),IF(AND('Tariff Jul 2022'!P4&gt;0,'Tariff Jul 2022'!R4=""),IF(($F$5&lt;'Tariff Jul 2022'!P4),(0),($F$5-'Tariff Jul 2022'!P4)*'Tariff Jul 2022'!Q4/100),0)))</f>
        <v>0</v>
      </c>
      <c r="J12" s="188">
        <f t="shared" si="7"/>
        <v>380.12864872727278</v>
      </c>
      <c r="K12" s="283">
        <f t="shared" ref="K12:K24" si="10">(J12-C12)*4</f>
        <v>1229.3145949090911</v>
      </c>
      <c r="L12" s="283">
        <f t="shared" si="8"/>
        <v>1520.5145949090911</v>
      </c>
      <c r="M12" s="191">
        <f t="shared" si="9"/>
        <v>1672.5660544000004</v>
      </c>
      <c r="N12" s="187">
        <f>'Tariff Jul 2022'!AZ4</f>
        <v>0</v>
      </c>
      <c r="O12" s="187">
        <f>'Tariff Jul 2022'!BA4</f>
        <v>0</v>
      </c>
      <c r="P12" s="187">
        <f>'Tariff Jul 2022'!BB4</f>
        <v>2</v>
      </c>
      <c r="Q12" s="187">
        <f>'Tariff Jul 2022'!BC4</f>
        <v>0</v>
      </c>
      <c r="R12" s="192">
        <f>($F$6*'Tariff Jul 2022'!AT4/100)*4</f>
        <v>166.11046400000004</v>
      </c>
      <c r="S12" s="193" t="str">
        <f t="shared" si="0"/>
        <v>Pay-on-time off bill</v>
      </c>
      <c r="T12" s="193" t="str">
        <f t="shared" si="1"/>
        <v>Exclusive</v>
      </c>
      <c r="U12" s="304">
        <f t="shared" si="2"/>
        <v>1520.5145949090911</v>
      </c>
      <c r="V12" s="283">
        <f t="shared" si="3"/>
        <v>1490.1043030109092</v>
      </c>
      <c r="W12" s="283">
        <f t="shared" si="4"/>
        <v>1354.404130909091</v>
      </c>
      <c r="X12" s="283">
        <f t="shared" si="5"/>
        <v>1323.9938390109091</v>
      </c>
      <c r="Y12" s="285">
        <f t="shared" si="6"/>
        <v>1489.8445440000003</v>
      </c>
      <c r="Z12" s="285">
        <f t="shared" si="6"/>
        <v>1456.3932229120003</v>
      </c>
      <c r="AA12" s="194">
        <f>'Tariff Jul 2022'!AT4</f>
        <v>5.2</v>
      </c>
      <c r="AB12" s="195">
        <f>'Tariff Jul 2022'!BL4</f>
        <v>0</v>
      </c>
      <c r="AC12" s="195" t="str">
        <f>'Tariff Jul 2022'!BM4</f>
        <v>n</v>
      </c>
      <c r="AD12" s="196">
        <f>'Tariff Jul 2022'!G4</f>
        <v>43281</v>
      </c>
      <c r="AE12" s="344"/>
      <c r="AF12" s="344"/>
      <c r="AG12" s="344"/>
      <c r="AH12" s="344"/>
      <c r="AI12" s="344"/>
      <c r="AJ12" s="344"/>
      <c r="AK12" s="344"/>
      <c r="AL12" s="344"/>
      <c r="AM12" s="344"/>
      <c r="AN12" s="344"/>
      <c r="AO12" s="344"/>
      <c r="AP12" s="344"/>
      <c r="AQ12" s="344"/>
      <c r="AR12" s="344"/>
      <c r="AS12" s="344"/>
      <c r="AT12" s="344"/>
      <c r="AU12" s="344"/>
      <c r="AV12" s="344"/>
    </row>
    <row r="13" spans="1:48" s="187" customFormat="1" x14ac:dyDescent="0.15">
      <c r="A13" s="186" t="str">
        <f>'Tariff Jul 2022'!K5</f>
        <v>EnergyAustralia</v>
      </c>
      <c r="B13" s="187" t="str">
        <f>'Tariff Jul 2022'!L5</f>
        <v>Solar Max</v>
      </c>
      <c r="C13" s="188">
        <f>IF('Tariff Jul 2022'!BP5=0,91*'Tariff Jul 2022'!M5/100,(91*'Tariff Jul 2022'!M5/100)+'Tariff Jul 2022'!BP5/4)</f>
        <v>76.894999999999996</v>
      </c>
      <c r="D13" s="188">
        <f>IF('Tariff Jul 2022'!O5="",$F$5*'Tariff Jul 2022'!N5/100,IF($F$5&gt;='Tariff Jul 2022'!P5,('Tariff Jul 2022'!P5*'Tariff Jul 2022'!N5/100),($F$5*'Tariff Jul 2022'!N5/100)))</f>
        <v>304.4604741818182</v>
      </c>
      <c r="E13" s="188">
        <f>IF(AND('Tariff Jul 2022'!P5&gt;0,'Tariff Jul 2022'!R5&gt;0),IF($F$5&lt;'Tariff Jul 2022'!P5,0,IF($F$5&lt;=('Tariff Jul 2022'!R5+'Tariff Jul 2022'!P5),(($F$5-'Tariff Jul 2022'!P5)*'Tariff Jul 2022'!Q5/100),(('Tariff Jul 2022'!R5)*'Tariff Jul 2022'!Q5/100))),0)</f>
        <v>0</v>
      </c>
      <c r="F13" s="189">
        <f>IF(AND('Tariff Jul 2022'!Q5&gt;0,'Tariff Jul 2022'!S5&gt;0),IF($F$5&lt;('Tariff Jul 2022'!R5+'Tariff Jul 2022'!P5),0,IF($F$5&lt;=('Tariff Jul 2022'!T5+'Tariff Jul 2022'!R5+'Tariff Jul 2022'!P5),(($F$5-('Tariff Jul 2022'!R5+'Tariff Jul 2022'!P5))*'Tariff Jul 2022'!S5/100),('Tariff Jul 2022'!T5*'Tariff Jul 2022'!S5/100))),0)</f>
        <v>0</v>
      </c>
      <c r="G13" s="188">
        <v>0</v>
      </c>
      <c r="H13" s="188">
        <v>0</v>
      </c>
      <c r="I13" s="189">
        <f>IF('Tariff Jul 2022'!T5&gt;0,IF(($F$5&lt;'Tariff Jul 2022'!T5),(0),($F$5-'Tariff Jul 2022'!T5)*'Tariff Jul 2022'!U5/100),IF(AND('Tariff Jul 2022'!R5&gt;0,'Tariff Jul 2022'!T5=""),IF(($F$5&lt;'Tariff Jul 2022'!R5),(0),($F$5-'Tariff Jul 2022'!R5)*'Tariff Jul 2022'!S5/100),IF(AND('Tariff Jul 2022'!P5&gt;0,'Tariff Jul 2022'!R5=""),IF(($F$5&lt;'Tariff Jul 2022'!P5),(0),($F$5-'Tariff Jul 2022'!P5)*'Tariff Jul 2022'!Q5/100),0)))</f>
        <v>0</v>
      </c>
      <c r="J13" s="188">
        <f t="shared" si="7"/>
        <v>381.35547418181818</v>
      </c>
      <c r="K13" s="283">
        <f t="shared" si="10"/>
        <v>1217.8418967272728</v>
      </c>
      <c r="L13" s="283">
        <f t="shared" si="8"/>
        <v>1525.4218967272727</v>
      </c>
      <c r="M13" s="191">
        <f t="shared" si="9"/>
        <v>1677.9640864</v>
      </c>
      <c r="N13" s="187">
        <f>'Tariff Jul 2022'!AZ5</f>
        <v>0</v>
      </c>
      <c r="O13" s="187">
        <f>'Tariff Jul 2022'!BA5</f>
        <v>0</v>
      </c>
      <c r="P13" s="187">
        <f>'Tariff Jul 2022'!BB5</f>
        <v>0</v>
      </c>
      <c r="Q13" s="187">
        <f>'Tariff Jul 2022'!BC5</f>
        <v>0</v>
      </c>
      <c r="R13" s="192">
        <f>($F$6*'Tariff Jul 2022'!AT5/100)*4</f>
        <v>319.44320000000005</v>
      </c>
      <c r="S13" s="193" t="str">
        <f t="shared" si="0"/>
        <v>No discount</v>
      </c>
      <c r="T13" s="193" t="str">
        <f t="shared" si="1"/>
        <v>Exclusive</v>
      </c>
      <c r="U13" s="304">
        <f t="shared" si="2"/>
        <v>1525.4218967272727</v>
      </c>
      <c r="V13" s="283">
        <f t="shared" si="3"/>
        <v>1525.4218967272727</v>
      </c>
      <c r="W13" s="283">
        <f t="shared" si="4"/>
        <v>1205.9786967272726</v>
      </c>
      <c r="X13" s="283">
        <f t="shared" si="5"/>
        <v>1205.9786967272726</v>
      </c>
      <c r="Y13" s="285">
        <f t="shared" si="6"/>
        <v>1326.5765663999998</v>
      </c>
      <c r="Z13" s="285">
        <f t="shared" si="6"/>
        <v>1326.5765663999998</v>
      </c>
      <c r="AA13" s="194">
        <f>'Tariff Jul 2022'!AT5</f>
        <v>10</v>
      </c>
      <c r="AB13" s="195">
        <f>'Tariff Jul 2022'!BL5</f>
        <v>0</v>
      </c>
      <c r="AC13" s="195" t="str">
        <f>'Tariff Jul 2022'!BM5</f>
        <v>n</v>
      </c>
      <c r="AD13" s="196">
        <f>'Tariff Jul 2022'!G5</f>
        <v>43251</v>
      </c>
      <c r="AE13" s="344"/>
      <c r="AF13" s="344"/>
      <c r="AG13" s="344"/>
      <c r="AH13" s="344"/>
      <c r="AI13" s="344"/>
      <c r="AJ13" s="344"/>
      <c r="AK13" s="344"/>
      <c r="AL13" s="344"/>
      <c r="AM13" s="344"/>
      <c r="AN13" s="344"/>
      <c r="AO13" s="344"/>
      <c r="AP13" s="344"/>
      <c r="AQ13" s="344"/>
      <c r="AR13" s="344"/>
      <c r="AS13" s="344"/>
      <c r="AT13" s="344"/>
      <c r="AU13" s="344"/>
      <c r="AV13" s="344"/>
    </row>
    <row r="14" spans="1:48" s="187" customFormat="1" x14ac:dyDescent="0.15">
      <c r="A14" s="186" t="str">
        <f>'Tariff Jul 2022'!K6</f>
        <v>Lumo Energy</v>
      </c>
      <c r="B14" s="187" t="str">
        <f>'Tariff Jul 2022'!L6</f>
        <v>Plus</v>
      </c>
      <c r="C14" s="188">
        <f>IF('Tariff Jul 2022'!BP6=0,91*'Tariff Jul 2022'!M6/100,(91*'Tariff Jul 2022'!M6/100)+'Tariff Jul 2022'!BP6/4)</f>
        <v>76.580636363636344</v>
      </c>
      <c r="D14" s="188">
        <f>IF('Tariff Jul 2022'!O6="",$F$5*'Tariff Jul 2022'!N6/100,IF($F$5&gt;='Tariff Jul 2022'!P6,('Tariff Jul 2022'!P6*'Tariff Jul 2022'!N6/100),($F$5*'Tariff Jul 2022'!N6/100)))</f>
        <v>294.39834763636361</v>
      </c>
      <c r="E14" s="188">
        <f>IF(AND('Tariff Jul 2022'!P6&gt;0,'Tariff Jul 2022'!R6&gt;0),IF($F$5&lt;'Tariff Jul 2022'!P6,0,IF($F$5&lt;=('Tariff Jul 2022'!R6+'Tariff Jul 2022'!P6),(($F$5-'Tariff Jul 2022'!P6)*'Tariff Jul 2022'!Q6/100),(('Tariff Jul 2022'!R6)*'Tariff Jul 2022'!Q6/100))),0)</f>
        <v>0</v>
      </c>
      <c r="F14" s="189">
        <f>IF(AND('Tariff Jul 2022'!Q6&gt;0,'Tariff Jul 2022'!S6&gt;0),IF($F$5&lt;('Tariff Jul 2022'!R6+'Tariff Jul 2022'!P6),0,IF($F$5&lt;=('Tariff Jul 2022'!T6+'Tariff Jul 2022'!R6+'Tariff Jul 2022'!P6),(($F$5-('Tariff Jul 2022'!R6+'Tariff Jul 2022'!P6))*'Tariff Jul 2022'!S6/100),('Tariff Jul 2022'!T6*'Tariff Jul 2022'!S6/100))),0)</f>
        <v>0</v>
      </c>
      <c r="G14" s="188">
        <v>0</v>
      </c>
      <c r="H14" s="188">
        <v>0</v>
      </c>
      <c r="I14" s="189">
        <f>IF('Tariff Jul 2022'!T6&gt;0,IF(($F$5&lt;'Tariff Jul 2022'!T6),(0),($F$5-'Tariff Jul 2022'!T6)*'Tariff Jul 2022'!U6/100),IF(AND('Tariff Jul 2022'!R6&gt;0,'Tariff Jul 2022'!T6=""),IF(($F$5&lt;'Tariff Jul 2022'!R6),(0),($F$5-'Tariff Jul 2022'!R6)*'Tariff Jul 2022'!S6/100),IF(AND('Tariff Jul 2022'!P6&gt;0,'Tariff Jul 2022'!R6=""),IF(($F$5&lt;'Tariff Jul 2022'!P6),(0),($F$5-'Tariff Jul 2022'!P6)*'Tariff Jul 2022'!Q6/100),0)))</f>
        <v>0</v>
      </c>
      <c r="J14" s="188">
        <f t="shared" si="7"/>
        <v>370.97898399999997</v>
      </c>
      <c r="K14" s="283">
        <f t="shared" si="10"/>
        <v>1177.5933905454544</v>
      </c>
      <c r="L14" s="283">
        <f t="shared" si="8"/>
        <v>1483.9159359999999</v>
      </c>
      <c r="M14" s="191">
        <f t="shared" si="9"/>
        <v>1632.3075296</v>
      </c>
      <c r="N14" s="187">
        <f>'Tariff Jul 2022'!AZ6</f>
        <v>0</v>
      </c>
      <c r="O14" s="187">
        <f>'Tariff Jul 2022'!BA6</f>
        <v>0</v>
      </c>
      <c r="P14" s="187">
        <f>'Tariff Jul 2022'!BB6</f>
        <v>0</v>
      </c>
      <c r="Q14" s="187">
        <f>'Tariff Jul 2022'!BC6</f>
        <v>0</v>
      </c>
      <c r="R14" s="192">
        <f>($F$6*'Tariff Jul 2022'!AT6/100)*4</f>
        <v>95.83296</v>
      </c>
      <c r="S14" s="193" t="str">
        <f t="shared" si="0"/>
        <v>No discount</v>
      </c>
      <c r="T14" s="193" t="str">
        <f t="shared" si="1"/>
        <v>Exclusive</v>
      </c>
      <c r="U14" s="304">
        <f t="shared" si="2"/>
        <v>1483.9159359999999</v>
      </c>
      <c r="V14" s="283">
        <f t="shared" si="3"/>
        <v>1483.9159359999999</v>
      </c>
      <c r="W14" s="283">
        <f t="shared" si="4"/>
        <v>1388.0829759999999</v>
      </c>
      <c r="X14" s="283">
        <f t="shared" si="5"/>
        <v>1388.0829759999999</v>
      </c>
      <c r="Y14" s="285">
        <f t="shared" si="6"/>
        <v>1526.8912736</v>
      </c>
      <c r="Z14" s="285">
        <f t="shared" si="6"/>
        <v>1526.8912736</v>
      </c>
      <c r="AA14" s="194">
        <f>'Tariff Jul 2022'!AT6</f>
        <v>3</v>
      </c>
      <c r="AB14" s="195">
        <f>'Tariff Jul 2022'!BL6</f>
        <v>0</v>
      </c>
      <c r="AC14" s="195" t="str">
        <f>'Tariff Jul 2022'!BM6</f>
        <v>n</v>
      </c>
      <c r="AD14" s="196">
        <f>'Tariff Jul 2022'!G6</f>
        <v>43302</v>
      </c>
      <c r="AE14" s="344"/>
      <c r="AF14" s="344"/>
      <c r="AG14" s="344"/>
      <c r="AH14" s="344"/>
      <c r="AI14" s="344"/>
      <c r="AJ14" s="344"/>
      <c r="AK14" s="344"/>
      <c r="AL14" s="344"/>
      <c r="AM14" s="344"/>
      <c r="AN14" s="344"/>
      <c r="AO14" s="344"/>
      <c r="AP14" s="344"/>
      <c r="AQ14" s="344"/>
      <c r="AR14" s="344"/>
      <c r="AS14" s="344"/>
      <c r="AT14" s="344"/>
      <c r="AU14" s="344"/>
      <c r="AV14" s="344"/>
    </row>
    <row r="15" spans="1:48" s="187" customFormat="1" x14ac:dyDescent="0.15">
      <c r="A15" s="186" t="str">
        <f>'Tariff Jul 2022'!K7</f>
        <v>Origin Energy</v>
      </c>
      <c r="B15" s="187" t="str">
        <f>'Tariff Jul 2022'!L7</f>
        <v>Solar Boost</v>
      </c>
      <c r="C15" s="188">
        <f>IF('Tariff Jul 2022'!BP7=0,91*'Tariff Jul 2022'!M7/100,(91*'Tariff Jul 2022'!M7/100)+'Tariff Jul 2022'!BP7/4)</f>
        <v>79.889727272727271</v>
      </c>
      <c r="D15" s="188">
        <f>IF('Tariff Jul 2022'!O7="",$F$5*'Tariff Jul 2022'!N7/100,IF($F$5&gt;='Tariff Jul 2022'!P7,('Tariff Jul 2022'!P7*'Tariff Jul 2022'!N7/100),($F$5*'Tariff Jul 2022'!N7/100)))</f>
        <v>301.62035781818184</v>
      </c>
      <c r="E15" s="188">
        <f>IF(AND('Tariff Jul 2022'!P7&gt;0,'Tariff Jul 2022'!R7&gt;0),IF($F$5&lt;'Tariff Jul 2022'!P7,0,IF($F$5&lt;=('Tariff Jul 2022'!R7+'Tariff Jul 2022'!P7),(($F$5-'Tariff Jul 2022'!P7)*'Tariff Jul 2022'!Q7/100),(('Tariff Jul 2022'!R7)*'Tariff Jul 2022'!Q7/100))),0)</f>
        <v>0</v>
      </c>
      <c r="F15" s="189">
        <f>IF(AND('Tariff Jul 2022'!Q7&gt;0,'Tariff Jul 2022'!S7&gt;0),IF($F$5&lt;('Tariff Jul 2022'!R7+'Tariff Jul 2022'!P7),0,IF($F$5&lt;=('Tariff Jul 2022'!T7+'Tariff Jul 2022'!R7+'Tariff Jul 2022'!P7),(($F$5-('Tariff Jul 2022'!R7+'Tariff Jul 2022'!P7))*'Tariff Jul 2022'!S7/100),('Tariff Jul 2022'!T7*'Tariff Jul 2022'!S7/100))),0)</f>
        <v>0</v>
      </c>
      <c r="G15" s="188">
        <v>0</v>
      </c>
      <c r="H15" s="188">
        <v>0</v>
      </c>
      <c r="I15" s="189">
        <f>IF('Tariff Jul 2022'!T7&gt;0,IF(($F$5&lt;'Tariff Jul 2022'!T7),(0),($F$5-'Tariff Jul 2022'!T7)*'Tariff Jul 2022'!U7/100),IF(AND('Tariff Jul 2022'!R7&gt;0,'Tariff Jul 2022'!T7=""),IF(($F$5&lt;'Tariff Jul 2022'!R7),(0),($F$5-'Tariff Jul 2022'!R7)*'Tariff Jul 2022'!S7/100),IF(AND('Tariff Jul 2022'!P7&gt;0,'Tariff Jul 2022'!R7=""),IF(($F$5&lt;'Tariff Jul 2022'!P7),(0),($F$5-'Tariff Jul 2022'!P7)*'Tariff Jul 2022'!Q7/100),0)))</f>
        <v>0</v>
      </c>
      <c r="J15" s="188">
        <f t="shared" si="7"/>
        <v>381.51008509090912</v>
      </c>
      <c r="K15" s="283">
        <f t="shared" si="10"/>
        <v>1206.4814312727274</v>
      </c>
      <c r="L15" s="283">
        <f t="shared" si="8"/>
        <v>1526.0403403636365</v>
      </c>
      <c r="M15" s="191">
        <f t="shared" si="9"/>
        <v>1678.6443744000003</v>
      </c>
      <c r="N15" s="187">
        <f>'Tariff Jul 2022'!AZ7</f>
        <v>0</v>
      </c>
      <c r="O15" s="187">
        <f>'Tariff Jul 2022'!BA7</f>
        <v>0</v>
      </c>
      <c r="P15" s="187">
        <f>'Tariff Jul 2022'!BB7</f>
        <v>0</v>
      </c>
      <c r="Q15" s="187">
        <f>'Tariff Jul 2022'!BC7</f>
        <v>0</v>
      </c>
      <c r="R15" s="192">
        <f>($F$6*'Tariff Jul 2022'!AT7/100)*4</f>
        <v>319.44320000000005</v>
      </c>
      <c r="S15" s="193" t="str">
        <f t="shared" si="0"/>
        <v>No discount</v>
      </c>
      <c r="T15" s="193" t="str">
        <f t="shared" si="1"/>
        <v>Inclusive</v>
      </c>
      <c r="U15" s="304">
        <f t="shared" si="2"/>
        <v>1526.0403403636365</v>
      </c>
      <c r="V15" s="283">
        <f t="shared" si="3"/>
        <v>1526.0403403636365</v>
      </c>
      <c r="W15" s="283">
        <f t="shared" si="4"/>
        <v>1206.5971403636363</v>
      </c>
      <c r="X15" s="283">
        <f t="shared" si="5"/>
        <v>1206.5971403636363</v>
      </c>
      <c r="Y15" s="285">
        <f t="shared" si="6"/>
        <v>1327.2568544000001</v>
      </c>
      <c r="Z15" s="285">
        <f t="shared" si="6"/>
        <v>1327.2568544000001</v>
      </c>
      <c r="AA15" s="194">
        <f>'Tariff Jul 2022'!AT7</f>
        <v>10</v>
      </c>
      <c r="AB15" s="195">
        <f>'Tariff Jul 2022'!BL7</f>
        <v>0</v>
      </c>
      <c r="AC15" s="195" t="str">
        <f>'Tariff Jul 2022'!BM7</f>
        <v>n</v>
      </c>
      <c r="AD15" s="196">
        <f>'Tariff Jul 2022'!G7</f>
        <v>43287</v>
      </c>
      <c r="AE15" s="344"/>
      <c r="AF15" s="344"/>
      <c r="AG15" s="344"/>
      <c r="AH15" s="344"/>
      <c r="AI15" s="344"/>
      <c r="AJ15" s="344"/>
      <c r="AK15" s="344"/>
      <c r="AL15" s="344"/>
      <c r="AM15" s="344"/>
      <c r="AN15" s="344"/>
      <c r="AO15" s="344"/>
      <c r="AP15" s="344"/>
      <c r="AQ15" s="344"/>
      <c r="AR15" s="344"/>
      <c r="AS15" s="344"/>
      <c r="AT15" s="344"/>
      <c r="AU15" s="344"/>
      <c r="AV15" s="344"/>
    </row>
    <row r="16" spans="1:48" s="187" customFormat="1" x14ac:dyDescent="0.15">
      <c r="A16" s="186" t="str">
        <f>'Tariff Jul 2022'!K8</f>
        <v>Red Energy</v>
      </c>
      <c r="B16" s="187" t="str">
        <f>'Tariff Jul 2022'!L8</f>
        <v>Living Energy Saver</v>
      </c>
      <c r="C16" s="188">
        <f>IF('Tariff Jul 2022'!BP8=0,91*'Tariff Jul 2022'!M8/100,(91*'Tariff Jul 2022'!M8/100)+'Tariff Jul 2022'!BP8/4)</f>
        <v>74.62</v>
      </c>
      <c r="D16" s="188">
        <f>IF('Tariff Jul 2022'!O8="",$F$5*'Tariff Jul 2022'!N8/100,IF($F$5&gt;='Tariff Jul 2022'!P8,('Tariff Jul 2022'!P8*'Tariff Jul 2022'!N8/100),($F$5*'Tariff Jul 2022'!N8/100)))</f>
        <v>277.601088</v>
      </c>
      <c r="E16" s="188">
        <f>IF(AND('Tariff Jul 2022'!P8&gt;0,'Tariff Jul 2022'!R8&gt;0),IF($F$5&lt;'Tariff Jul 2022'!P8,0,IF($F$5&lt;=('Tariff Jul 2022'!R8+'Tariff Jul 2022'!P8),(($F$5-'Tariff Jul 2022'!P8)*'Tariff Jul 2022'!Q8/100),(('Tariff Jul 2022'!R8)*'Tariff Jul 2022'!Q8/100))),0)</f>
        <v>0</v>
      </c>
      <c r="F16" s="189">
        <f>IF(AND('Tariff Jul 2022'!Q8&gt;0,'Tariff Jul 2022'!S8&gt;0),IF($F$5&lt;('Tariff Jul 2022'!R8+'Tariff Jul 2022'!P8),0,IF($F$5&lt;=('Tariff Jul 2022'!T8+'Tariff Jul 2022'!R8+'Tariff Jul 2022'!P8),(($F$5-('Tariff Jul 2022'!R8+'Tariff Jul 2022'!P8))*'Tariff Jul 2022'!S8/100),('Tariff Jul 2022'!T8*'Tariff Jul 2022'!S8/100))),0)</f>
        <v>0</v>
      </c>
      <c r="G16" s="188">
        <v>0</v>
      </c>
      <c r="H16" s="188">
        <v>0</v>
      </c>
      <c r="I16" s="189">
        <f>IF('Tariff Jul 2022'!T8&gt;0,IF(($F$5&lt;'Tariff Jul 2022'!T8),(0),($F$5-'Tariff Jul 2022'!T8)*'Tariff Jul 2022'!U8/100),IF(AND('Tariff Jul 2022'!R8&gt;0,'Tariff Jul 2022'!T8=""),IF(($F$5&lt;'Tariff Jul 2022'!R8),(0),($F$5-'Tariff Jul 2022'!R8)*'Tariff Jul 2022'!S8/100),IF(AND('Tariff Jul 2022'!P8&gt;0,'Tariff Jul 2022'!R8=""),IF(($F$5&lt;'Tariff Jul 2022'!P8),(0),($F$5-'Tariff Jul 2022'!P8)*'Tariff Jul 2022'!Q8/100),0)))</f>
        <v>0</v>
      </c>
      <c r="J16" s="188">
        <f t="shared" si="7"/>
        <v>352.22108800000001</v>
      </c>
      <c r="K16" s="283">
        <f t="shared" si="10"/>
        <v>1110.404352</v>
      </c>
      <c r="L16" s="283">
        <f t="shared" si="8"/>
        <v>1408.884352</v>
      </c>
      <c r="M16" s="191">
        <f t="shared" si="9"/>
        <v>1549.7727872000003</v>
      </c>
      <c r="N16" s="187">
        <f>'Tariff Jul 2022'!AZ8</f>
        <v>0</v>
      </c>
      <c r="O16" s="187">
        <f>'Tariff Jul 2022'!BA8</f>
        <v>0</v>
      </c>
      <c r="P16" s="187">
        <f>'Tariff Jul 2022'!BB8</f>
        <v>0</v>
      </c>
      <c r="Q16" s="187">
        <f>'Tariff Jul 2022'!BC8</f>
        <v>0</v>
      </c>
      <c r="R16" s="192">
        <f>($F$6*'Tariff Jul 2022'!AT8/100)*4</f>
        <v>95.83296</v>
      </c>
      <c r="S16" s="193" t="str">
        <f t="shared" si="0"/>
        <v>No discount</v>
      </c>
      <c r="T16" s="193" t="str">
        <f t="shared" si="1"/>
        <v>Inclusive</v>
      </c>
      <c r="U16" s="304">
        <f t="shared" si="2"/>
        <v>1408.884352</v>
      </c>
      <c r="V16" s="283">
        <f t="shared" si="3"/>
        <v>1408.884352</v>
      </c>
      <c r="W16" s="283">
        <f t="shared" si="4"/>
        <v>1313.0513920000001</v>
      </c>
      <c r="X16" s="283">
        <f t="shared" si="5"/>
        <v>1313.0513920000001</v>
      </c>
      <c r="Y16" s="285">
        <f t="shared" si="6"/>
        <v>1444.3565312000003</v>
      </c>
      <c r="Z16" s="285">
        <f t="shared" si="6"/>
        <v>1444.3565312000003</v>
      </c>
      <c r="AA16" s="194">
        <f>'Tariff Jul 2022'!AT8</f>
        <v>3</v>
      </c>
      <c r="AB16" s="195">
        <f>'Tariff Jul 2022'!BL8</f>
        <v>0</v>
      </c>
      <c r="AC16" s="195" t="str">
        <f>'Tariff Jul 2022'!BM8</f>
        <v>n</v>
      </c>
      <c r="AD16" s="196">
        <f>'Tariff Jul 2022'!G8</f>
        <v>43281</v>
      </c>
      <c r="AE16" s="344"/>
      <c r="AF16" s="344"/>
      <c r="AG16" s="344"/>
      <c r="AH16" s="344"/>
      <c r="AI16" s="344"/>
      <c r="AJ16" s="344"/>
      <c r="AK16" s="344"/>
      <c r="AL16" s="344"/>
      <c r="AM16" s="344"/>
      <c r="AN16" s="344"/>
      <c r="AO16" s="344"/>
      <c r="AP16" s="344"/>
      <c r="AQ16" s="344"/>
      <c r="AR16" s="344"/>
      <c r="AS16" s="344"/>
      <c r="AT16" s="344"/>
      <c r="AU16" s="344"/>
      <c r="AV16" s="344"/>
    </row>
    <row r="17" spans="1:48" s="187" customFormat="1" x14ac:dyDescent="0.15">
      <c r="A17" s="186" t="str">
        <f>'Tariff Jul 2022'!K9</f>
        <v>Energy Locals</v>
      </c>
      <c r="B17" s="187" t="str">
        <f>'Tariff Jul 2022'!L9</f>
        <v>Online Member</v>
      </c>
      <c r="C17" s="188">
        <f>IF('Tariff Jul 2022'!BP9=0,91*'Tariff Jul 2022'!M9/100,(91*'Tariff Jul 2022'!M9/100)+'Tariff Jul 2022'!BP9/4)</f>
        <v>101.85727272727271</v>
      </c>
      <c r="D17" s="188">
        <f>IF('Tariff Jul 2022'!O9="",$F$5*'Tariff Jul 2022'!N9/100,IF($F$5&gt;='Tariff Jul 2022'!P9,('Tariff Jul 2022'!P9*'Tariff Jul 2022'!N9/100),($F$5*'Tariff Jul 2022'!N9/100)))</f>
        <v>258.85631999999998</v>
      </c>
      <c r="E17" s="188">
        <f>IF(AND('Tariff Jul 2022'!P9&gt;0,'Tariff Jul 2022'!R9&gt;0),IF($F$5&lt;'Tariff Jul 2022'!P9,0,IF($F$5&lt;=('Tariff Jul 2022'!R9+'Tariff Jul 2022'!P9),(($F$5-'Tariff Jul 2022'!P9)*'Tariff Jul 2022'!Q9/100),(('Tariff Jul 2022'!R9)*'Tariff Jul 2022'!Q9/100))),0)</f>
        <v>0</v>
      </c>
      <c r="F17" s="189">
        <f>IF(AND('Tariff Jul 2022'!Q9&gt;0,'Tariff Jul 2022'!S9&gt;0),IF($F$5&lt;('Tariff Jul 2022'!R9+'Tariff Jul 2022'!P9),0,IF($F$5&lt;=('Tariff Jul 2022'!T9+'Tariff Jul 2022'!R9+'Tariff Jul 2022'!P9),(($F$5-('Tariff Jul 2022'!R9+'Tariff Jul 2022'!P9))*'Tariff Jul 2022'!S9/100),('Tariff Jul 2022'!T9*'Tariff Jul 2022'!S9/100))),0)</f>
        <v>0</v>
      </c>
      <c r="G17" s="188">
        <v>0</v>
      </c>
      <c r="H17" s="188">
        <v>0</v>
      </c>
      <c r="I17" s="189">
        <f>IF('Tariff Jul 2022'!T9&gt;0,IF(($F$5&lt;'Tariff Jul 2022'!T9),(0),($F$5-'Tariff Jul 2022'!T9)*'Tariff Jul 2022'!U9/100),IF(AND('Tariff Jul 2022'!R9&gt;0,'Tariff Jul 2022'!T9=""),IF(($F$5&lt;'Tariff Jul 2022'!R9),(0),($F$5-'Tariff Jul 2022'!R9)*'Tariff Jul 2022'!S9/100),IF(AND('Tariff Jul 2022'!P9&gt;0,'Tariff Jul 2022'!R9=""),IF(($F$5&lt;'Tariff Jul 2022'!P9),(0),($F$5-'Tariff Jul 2022'!P9)*'Tariff Jul 2022'!Q9/100),0)))</f>
        <v>0</v>
      </c>
      <c r="J17" s="188">
        <f t="shared" si="7"/>
        <v>360.71359272727273</v>
      </c>
      <c r="K17" s="283">
        <f t="shared" si="10"/>
        <v>1035.4252799999999</v>
      </c>
      <c r="L17" s="283">
        <f t="shared" si="8"/>
        <v>1442.8543709090909</v>
      </c>
      <c r="M17" s="191">
        <f t="shared" si="9"/>
        <v>1587.1398080000001</v>
      </c>
      <c r="N17" s="187">
        <f>'Tariff Jul 2022'!AZ9</f>
        <v>0</v>
      </c>
      <c r="O17" s="187">
        <f>'Tariff Jul 2022'!BA9</f>
        <v>0</v>
      </c>
      <c r="P17" s="187">
        <f>'Tariff Jul 2022'!BB9</f>
        <v>0</v>
      </c>
      <c r="Q17" s="187">
        <f>'Tariff Jul 2022'!BC9</f>
        <v>0</v>
      </c>
      <c r="R17" s="192">
        <f>($F$6*'Tariff Jul 2022'!AT9/100)*4</f>
        <v>287.49888000000004</v>
      </c>
      <c r="S17" s="193" t="str">
        <f t="shared" si="0"/>
        <v>No discount</v>
      </c>
      <c r="T17" s="193" t="str">
        <f t="shared" si="1"/>
        <v>Exclusive</v>
      </c>
      <c r="U17" s="304">
        <f t="shared" si="2"/>
        <v>1442.8543709090909</v>
      </c>
      <c r="V17" s="283">
        <f t="shared" si="3"/>
        <v>1442.8543709090909</v>
      </c>
      <c r="W17" s="283">
        <f t="shared" si="4"/>
        <v>1155.3554909090908</v>
      </c>
      <c r="X17" s="283">
        <f t="shared" si="5"/>
        <v>1155.3554909090908</v>
      </c>
      <c r="Y17" s="285">
        <f t="shared" si="6"/>
        <v>1270.89104</v>
      </c>
      <c r="Z17" s="285">
        <f t="shared" si="6"/>
        <v>1270.89104</v>
      </c>
      <c r="AA17" s="194">
        <f>'Tariff Jul 2022'!AT9</f>
        <v>9</v>
      </c>
      <c r="AB17" s="195">
        <f>'Tariff Jul 2022'!BL9</f>
        <v>0</v>
      </c>
      <c r="AC17" s="195" t="str">
        <f>'Tariff Jul 2022'!BM9</f>
        <v>n</v>
      </c>
      <c r="AD17" s="196">
        <f>'Tariff Jul 2022'!G9</f>
        <v>43299</v>
      </c>
      <c r="AE17" s="344"/>
      <c r="AF17" s="344"/>
      <c r="AG17" s="344"/>
      <c r="AH17" s="344"/>
      <c r="AI17" s="344"/>
      <c r="AJ17" s="344"/>
      <c r="AK17" s="344"/>
      <c r="AL17" s="344"/>
      <c r="AM17" s="344"/>
      <c r="AN17" s="344"/>
      <c r="AO17" s="344"/>
      <c r="AP17" s="344"/>
      <c r="AQ17" s="344"/>
      <c r="AR17" s="344"/>
      <c r="AS17" s="344"/>
      <c r="AT17" s="344"/>
      <c r="AU17" s="344"/>
      <c r="AV17" s="344"/>
    </row>
    <row r="18" spans="1:48" s="187" customFormat="1" x14ac:dyDescent="0.15">
      <c r="A18" s="186" t="str">
        <f>'Tariff Jul 2022'!K10</f>
        <v>Simply Energy</v>
      </c>
      <c r="B18" s="187" t="str">
        <f>'Tariff Jul 2022'!L10</f>
        <v>RAA</v>
      </c>
      <c r="C18" s="188">
        <f>IF('Tariff Jul 2022'!BP10=0,91*'Tariff Jul 2022'!M10/100,(91*'Tariff Jul 2022'!M10/100)+'Tariff Jul 2022'!BP10/4)</f>
        <v>90.826272727272737</v>
      </c>
      <c r="D18" s="188">
        <f>IF('Tariff Jul 2022'!O10="",$F$5*'Tariff Jul 2022'!N10/100,IF($F$5&gt;='Tariff Jul 2022'!P10,('Tariff Jul 2022'!P10*'Tariff Jul 2022'!N10/100),($F$5*'Tariff Jul 2022'!N10/100)))</f>
        <v>291.96396218181815</v>
      </c>
      <c r="E18" s="188">
        <f>IF(AND('Tariff Jul 2022'!P10&gt;0,'Tariff Jul 2022'!R10&gt;0),IF($F$5&lt;'Tariff Jul 2022'!P10,0,IF($F$5&lt;=('Tariff Jul 2022'!R10+'Tariff Jul 2022'!P10),(($F$5-'Tariff Jul 2022'!P10)*'Tariff Jul 2022'!Q10/100),(('Tariff Jul 2022'!R10)*'Tariff Jul 2022'!Q10/100))),0)</f>
        <v>0</v>
      </c>
      <c r="F18" s="189">
        <f>IF(AND('Tariff Jul 2022'!Q10&gt;0,'Tariff Jul 2022'!S10&gt;0),IF($F$5&lt;('Tariff Jul 2022'!R10+'Tariff Jul 2022'!P10),0,IF($F$5&lt;=('Tariff Jul 2022'!T10+'Tariff Jul 2022'!R10+'Tariff Jul 2022'!P10),(($F$5-('Tariff Jul 2022'!R10+'Tariff Jul 2022'!P10))*'Tariff Jul 2022'!S10/100),('Tariff Jul 2022'!T10*'Tariff Jul 2022'!S10/100))),0)</f>
        <v>0</v>
      </c>
      <c r="G18" s="188">
        <v>0</v>
      </c>
      <c r="H18" s="188">
        <v>0</v>
      </c>
      <c r="I18" s="189">
        <f>IF('Tariff Jul 2022'!T10&gt;0,IF(($F$5&lt;'Tariff Jul 2022'!T10),(0),($F$5-'Tariff Jul 2022'!T10)*'Tariff Jul 2022'!U10/100),IF(AND('Tariff Jul 2022'!R10&gt;0,'Tariff Jul 2022'!T10=""),IF(($F$5&lt;'Tariff Jul 2022'!R10),(0),($F$5-'Tariff Jul 2022'!R10)*'Tariff Jul 2022'!S10/100),IF(AND('Tariff Jul 2022'!P10&gt;0,'Tariff Jul 2022'!R10=""),IF(($F$5&lt;'Tariff Jul 2022'!P10),(0),($F$5-'Tariff Jul 2022'!P10)*'Tariff Jul 2022'!Q10/100),0)))</f>
        <v>0</v>
      </c>
      <c r="J18" s="188">
        <f t="shared" si="7"/>
        <v>382.79023490909088</v>
      </c>
      <c r="K18" s="283">
        <f t="shared" si="10"/>
        <v>1167.8558487272726</v>
      </c>
      <c r="L18" s="283">
        <f t="shared" si="8"/>
        <v>1531.1609396363635</v>
      </c>
      <c r="M18" s="191">
        <f t="shared" si="9"/>
        <v>1684.2770336000001</v>
      </c>
      <c r="N18" s="187">
        <f>'Tariff Jul 2022'!AZ10</f>
        <v>1</v>
      </c>
      <c r="O18" s="187">
        <f>'Tariff Jul 2022'!BA10</f>
        <v>0</v>
      </c>
      <c r="P18" s="187">
        <f>'Tariff Jul 2022'!BB10</f>
        <v>0</v>
      </c>
      <c r="Q18" s="187">
        <f>'Tariff Jul 2022'!BC10</f>
        <v>0</v>
      </c>
      <c r="R18" s="192">
        <f>($F$6*'Tariff Jul 2022'!AT10/100)*4</f>
        <v>191.66592</v>
      </c>
      <c r="S18" s="193" t="str">
        <f t="shared" si="0"/>
        <v>Guaranteed off bill</v>
      </c>
      <c r="T18" s="193" t="str">
        <f t="shared" si="1"/>
        <v>Exclusive</v>
      </c>
      <c r="U18" s="304">
        <f t="shared" si="2"/>
        <v>1515.84933024</v>
      </c>
      <c r="V18" s="283">
        <f t="shared" si="3"/>
        <v>1515.84933024</v>
      </c>
      <c r="W18" s="283">
        <f t="shared" si="4"/>
        <v>1324.1834102400001</v>
      </c>
      <c r="X18" s="283">
        <f t="shared" si="5"/>
        <v>1324.1834102400001</v>
      </c>
      <c r="Y18" s="285">
        <f t="shared" si="6"/>
        <v>1456.6017512640001</v>
      </c>
      <c r="Z18" s="285">
        <f t="shared" si="6"/>
        <v>1456.6017512640001</v>
      </c>
      <c r="AA18" s="194">
        <f>'Tariff Jul 2022'!AT10</f>
        <v>6</v>
      </c>
      <c r="AB18" s="195">
        <f>'Tariff Jul 2022'!BL10</f>
        <v>0</v>
      </c>
      <c r="AC18" s="195" t="str">
        <f>'Tariff Jul 2022'!BM10</f>
        <v>n</v>
      </c>
      <c r="AD18" s="196">
        <f>'Tariff Jul 2022'!G10</f>
        <v>43281</v>
      </c>
      <c r="AE18" s="344"/>
      <c r="AF18" s="344"/>
      <c r="AG18" s="344"/>
      <c r="AH18" s="344"/>
      <c r="AI18" s="344"/>
      <c r="AJ18" s="344"/>
      <c r="AK18" s="344"/>
      <c r="AL18" s="344"/>
      <c r="AM18" s="344"/>
      <c r="AN18" s="344"/>
      <c r="AO18" s="344"/>
      <c r="AP18" s="344"/>
      <c r="AQ18" s="344"/>
      <c r="AR18" s="344"/>
      <c r="AS18" s="344"/>
      <c r="AT18" s="344"/>
      <c r="AU18" s="344"/>
      <c r="AV18" s="344"/>
    </row>
    <row r="19" spans="1:48" s="187" customFormat="1" x14ac:dyDescent="0.15">
      <c r="A19" s="186" t="str">
        <f>'Tariff Jul 2022'!K11</f>
        <v>Powershop</v>
      </c>
      <c r="B19" s="187" t="str">
        <f>'Tariff Jul 2022'!L11</f>
        <v>Carbon neutral</v>
      </c>
      <c r="C19" s="188">
        <f>IF('Tariff Jul 2022'!BP11=0,91*'Tariff Jul 2022'!M11/100,(91*'Tariff Jul 2022'!M11/100)+'Tariff Jul 2022'!BP11/4)</f>
        <v>105.34490909090908</v>
      </c>
      <c r="D19" s="188">
        <f>IF('Tariff Jul 2022'!O11="",$F$5*'Tariff Jul 2022'!N11/100,IF($F$5&gt;='Tariff Jul 2022'!P11,('Tariff Jul 2022'!P11*'Tariff Jul 2022'!N11/100),($F$5*'Tariff Jul 2022'!N11/100)))</f>
        <v>270.70366254545456</v>
      </c>
      <c r="E19" s="188">
        <f>IF(AND('Tariff Jul 2022'!P11&gt;0,'Tariff Jul 2022'!R11&gt;0),IF($F$5&lt;'Tariff Jul 2022'!P11,0,IF($F$5&lt;=('Tariff Jul 2022'!R11+'Tariff Jul 2022'!P11),(($F$5-'Tariff Jul 2022'!P11)*'Tariff Jul 2022'!Q11/100),(('Tariff Jul 2022'!R11)*'Tariff Jul 2022'!Q11/100))),0)</f>
        <v>0</v>
      </c>
      <c r="F19" s="189">
        <f>IF(AND('Tariff Jul 2022'!Q11&gt;0,'Tariff Jul 2022'!S11&gt;0),IF($F$5&lt;('Tariff Jul 2022'!R11+'Tariff Jul 2022'!P11),0,IF($F$5&lt;=('Tariff Jul 2022'!T11+'Tariff Jul 2022'!R11+'Tariff Jul 2022'!P11),(($F$5-('Tariff Jul 2022'!R11+'Tariff Jul 2022'!P11))*'Tariff Jul 2022'!S11/100),('Tariff Jul 2022'!T11*'Tariff Jul 2022'!S11/100))),0)</f>
        <v>0</v>
      </c>
      <c r="G19" s="188">
        <v>0</v>
      </c>
      <c r="H19" s="188">
        <v>0</v>
      </c>
      <c r="I19" s="189">
        <f>IF('Tariff Jul 2022'!T11&gt;0,IF(($F$5&lt;'Tariff Jul 2022'!T11),(0),($F$5-'Tariff Jul 2022'!T11)*'Tariff Jul 2022'!U11/100),IF(AND('Tariff Jul 2022'!R11&gt;0,'Tariff Jul 2022'!T11=""),IF(($F$5&lt;'Tariff Jul 2022'!R11),(0),($F$5-'Tariff Jul 2022'!R11)*'Tariff Jul 2022'!S11/100),IF(AND('Tariff Jul 2022'!P11&gt;0,'Tariff Jul 2022'!R11=""),IF(($F$5&lt;'Tariff Jul 2022'!P11),(0),($F$5-'Tariff Jul 2022'!P11)*'Tariff Jul 2022'!Q11/100),0)))</f>
        <v>0</v>
      </c>
      <c r="J19" s="188">
        <f t="shared" si="7"/>
        <v>376.04857163636365</v>
      </c>
      <c r="K19" s="283">
        <f t="shared" si="10"/>
        <v>1082.8146501818183</v>
      </c>
      <c r="L19" s="283">
        <f t="shared" si="8"/>
        <v>1504.1942865454546</v>
      </c>
      <c r="M19" s="191">
        <f t="shared" si="9"/>
        <v>1654.6137152000001</v>
      </c>
      <c r="N19" s="187">
        <f>'Tariff Jul 2022'!AZ11</f>
        <v>0</v>
      </c>
      <c r="O19" s="187">
        <f>'Tariff Jul 2022'!BA11</f>
        <v>0</v>
      </c>
      <c r="P19" s="187">
        <f>'Tariff Jul 2022'!BB11</f>
        <v>0</v>
      </c>
      <c r="Q19" s="187">
        <f>'Tariff Jul 2022'!BC11</f>
        <v>0</v>
      </c>
      <c r="R19" s="192">
        <f>($F$6*'Tariff Jul 2022'!AT11/100)*4</f>
        <v>95.83296</v>
      </c>
      <c r="S19" s="193" t="str">
        <f t="shared" si="0"/>
        <v>No discount</v>
      </c>
      <c r="T19" s="193" t="str">
        <f t="shared" si="1"/>
        <v>Inclusive</v>
      </c>
      <c r="U19" s="304">
        <f t="shared" si="2"/>
        <v>1504.1942865454546</v>
      </c>
      <c r="V19" s="283">
        <f t="shared" si="3"/>
        <v>1504.1942865454546</v>
      </c>
      <c r="W19" s="283">
        <f t="shared" si="4"/>
        <v>1408.3613265454546</v>
      </c>
      <c r="X19" s="283">
        <f t="shared" si="5"/>
        <v>1408.3613265454546</v>
      </c>
      <c r="Y19" s="285">
        <f t="shared" si="6"/>
        <v>1549.1974592000001</v>
      </c>
      <c r="Z19" s="285">
        <f t="shared" si="6"/>
        <v>1549.1974592000001</v>
      </c>
      <c r="AA19" s="194">
        <f>'Tariff Jul 2022'!AT11</f>
        <v>3</v>
      </c>
      <c r="AB19" s="195">
        <f>'Tariff Jul 2022'!BL11</f>
        <v>0</v>
      </c>
      <c r="AC19" s="195" t="str">
        <f>'Tariff Jul 2022'!BM11</f>
        <v>n</v>
      </c>
      <c r="AD19" s="196">
        <f>'Tariff Jul 2022'!G11</f>
        <v>43266</v>
      </c>
      <c r="AE19" s="344"/>
      <c r="AF19" s="344"/>
      <c r="AG19" s="344"/>
      <c r="AH19" s="344"/>
      <c r="AI19" s="344"/>
      <c r="AJ19" s="344"/>
      <c r="AK19" s="344"/>
      <c r="AL19" s="344"/>
      <c r="AM19" s="344"/>
      <c r="AN19" s="344"/>
      <c r="AO19" s="344"/>
      <c r="AP19" s="344"/>
      <c r="AQ19" s="344"/>
      <c r="AR19" s="344"/>
      <c r="AS19" s="344"/>
      <c r="AT19" s="344"/>
      <c r="AU19" s="344"/>
      <c r="AV19" s="344"/>
    </row>
    <row r="20" spans="1:48" s="187" customFormat="1" x14ac:dyDescent="0.15">
      <c r="A20" s="186" t="str">
        <f>'Tariff Jul 2022'!K12</f>
        <v>Amber Electric</v>
      </c>
      <c r="B20" s="187" t="str">
        <f>'Tariff Jul 2022'!L12</f>
        <v>Amber Plan</v>
      </c>
      <c r="C20" s="188">
        <f>IF('Tariff Jul 2022'!BP12=0,91*'Tariff Jul 2022'!M12/100,(91*'Tariff Jul 2022'!M12/100)+'Tariff Jul 2022'!BP12/4)</f>
        <v>135.55736363636362</v>
      </c>
      <c r="D20" s="188">
        <f>IF('Tariff Jul 2022'!O12="",$F$5*'Tariff Jul 2022'!N12/100,IF($F$5&gt;='Tariff Jul 2022'!P12,('Tariff Jul 2022'!P12*'Tariff Jul 2022'!N12/100),($F$5*'Tariff Jul 2022'!N12/100)))</f>
        <v>332.37476072727276</v>
      </c>
      <c r="E20" s="188">
        <f>IF(AND('Tariff Jul 2022'!P12&gt;0,'Tariff Jul 2022'!R12&gt;0),IF($F$5&lt;'Tariff Jul 2022'!P12,0,IF($F$5&lt;=('Tariff Jul 2022'!R12+'Tariff Jul 2022'!P12),(($F$5-'Tariff Jul 2022'!P12)*'Tariff Jul 2022'!Q12/100),(('Tariff Jul 2022'!R12)*'Tariff Jul 2022'!Q12/100))),0)</f>
        <v>0</v>
      </c>
      <c r="F20" s="189">
        <f>IF(AND('Tariff Jul 2022'!Q12&gt;0,'Tariff Jul 2022'!S12&gt;0),IF($F$5&lt;('Tariff Jul 2022'!R12+'Tariff Jul 2022'!P12),0,IF($F$5&lt;=('Tariff Jul 2022'!T12+'Tariff Jul 2022'!R12+'Tariff Jul 2022'!P12),(($F$5-('Tariff Jul 2022'!R12+'Tariff Jul 2022'!P12))*'Tariff Jul 2022'!S12/100),('Tariff Jul 2022'!T12*'Tariff Jul 2022'!S12/100))),0)</f>
        <v>0</v>
      </c>
      <c r="G20" s="188">
        <v>0</v>
      </c>
      <c r="H20" s="188">
        <v>0</v>
      </c>
      <c r="I20" s="189">
        <f>IF('Tariff Jul 2022'!T12&gt;0,IF(($F$5&lt;'Tariff Jul 2022'!T12),(0),($F$5-'Tariff Jul 2022'!T12)*'Tariff Jul 2022'!U12/100),IF(AND('Tariff Jul 2022'!R12&gt;0,'Tariff Jul 2022'!T12=""),IF(($F$5&lt;'Tariff Jul 2022'!R12),(0),($F$5-'Tariff Jul 2022'!R12)*'Tariff Jul 2022'!S12/100),IF(AND('Tariff Jul 2022'!P12&gt;0,'Tariff Jul 2022'!R12=""),IF(($F$5&lt;'Tariff Jul 2022'!P12),(0),($F$5-'Tariff Jul 2022'!P12)*'Tariff Jul 2022'!Q12/100),0)))</f>
        <v>0</v>
      </c>
      <c r="J20" s="188">
        <f t="shared" si="7"/>
        <v>467.93212436363638</v>
      </c>
      <c r="K20" s="283">
        <f t="shared" si="10"/>
        <v>1329.499042909091</v>
      </c>
      <c r="L20" s="283">
        <f t="shared" si="8"/>
        <v>1871.7284974545455</v>
      </c>
      <c r="M20" s="191">
        <f t="shared" si="9"/>
        <v>2058.9013472000001</v>
      </c>
      <c r="N20" s="187">
        <f>'Tariff Jul 2022'!AZ12</f>
        <v>0</v>
      </c>
      <c r="O20" s="187">
        <f>'Tariff Jul 2022'!BA12</f>
        <v>0</v>
      </c>
      <c r="P20" s="187">
        <f>'Tariff Jul 2022'!BB12</f>
        <v>0</v>
      </c>
      <c r="Q20" s="187">
        <f>'Tariff Jul 2022'!BC12</f>
        <v>0</v>
      </c>
      <c r="R20" s="192">
        <f>($F$6*'Tariff Jul 2022'!AT12/100)*4</f>
        <v>0</v>
      </c>
      <c r="S20" s="193" t="str">
        <f t="shared" si="0"/>
        <v>No discount</v>
      </c>
      <c r="T20" s="193" t="str">
        <f t="shared" si="1"/>
        <v>Exclusive</v>
      </c>
      <c r="U20" s="304">
        <f t="shared" si="2"/>
        <v>1871.7284974545455</v>
      </c>
      <c r="V20" s="283">
        <f t="shared" si="3"/>
        <v>1871.7284974545455</v>
      </c>
      <c r="W20" s="283">
        <f t="shared" si="4"/>
        <v>1871.7284974545455</v>
      </c>
      <c r="X20" s="283">
        <f t="shared" si="5"/>
        <v>1871.7284974545455</v>
      </c>
      <c r="Y20" s="285">
        <f t="shared" si="6"/>
        <v>2058.9013472000001</v>
      </c>
      <c r="Z20" s="285">
        <f t="shared" si="6"/>
        <v>2058.9013472000001</v>
      </c>
      <c r="AA20" s="194">
        <f>'Tariff Jul 2022'!AT12</f>
        <v>0</v>
      </c>
      <c r="AB20" s="195">
        <f>'Tariff Jul 2022'!BL12</f>
        <v>0</v>
      </c>
      <c r="AC20" s="195" t="str">
        <f>'Tariff Jul 2022'!BM12</f>
        <v>n</v>
      </c>
      <c r="AD20" s="196">
        <f>'Tariff Jul 2022'!G12</f>
        <v>43281</v>
      </c>
      <c r="AE20" s="344"/>
      <c r="AF20" s="344"/>
      <c r="AG20" s="344"/>
      <c r="AH20" s="344"/>
      <c r="AI20" s="344"/>
      <c r="AJ20" s="344"/>
      <c r="AK20" s="344"/>
      <c r="AL20" s="344"/>
      <c r="AM20" s="344"/>
      <c r="AN20" s="344"/>
      <c r="AO20" s="344"/>
      <c r="AP20" s="344"/>
      <c r="AQ20" s="344"/>
      <c r="AR20" s="344"/>
      <c r="AS20" s="344"/>
      <c r="AT20" s="344"/>
      <c r="AU20" s="344"/>
      <c r="AV20" s="344"/>
    </row>
    <row r="21" spans="1:48" s="187" customFormat="1" x14ac:dyDescent="0.15">
      <c r="A21" s="186" t="str">
        <f>'Tariff Jul 2022'!K13</f>
        <v>GloBird Energy</v>
      </c>
      <c r="B21" s="187" t="str">
        <f>'Tariff Jul 2022'!L13</f>
        <v>GloSave</v>
      </c>
      <c r="C21" s="188">
        <f>IF('Tariff Jul 2022'!BP13=0,91*'Tariff Jul 2022'!M13/100,(91*'Tariff Jul 2022'!M13/100)+'Tariff Jul 2022'!BP13/4)</f>
        <v>81.899999999999991</v>
      </c>
      <c r="D21" s="188">
        <f>IF('Tariff Jul 2022'!O13="",$F$5*'Tariff Jul 2022'!N13/100,IF($F$5&gt;='Tariff Jul 2022'!P13,('Tariff Jul 2022'!P13*'Tariff Jul 2022'!N13/100),($F$5*'Tariff Jul 2022'!N13/100)))</f>
        <v>437.37791999999996</v>
      </c>
      <c r="E21" s="188">
        <f>IF(AND('Tariff Jul 2022'!P13&gt;0,'Tariff Jul 2022'!R13&gt;0),IF($F$5&lt;'Tariff Jul 2022'!P13,0,IF($F$5&lt;=('Tariff Jul 2022'!R13+'Tariff Jul 2022'!P13),(($F$5-'Tariff Jul 2022'!P13)*'Tariff Jul 2022'!Q13/100),(('Tariff Jul 2022'!R13)*'Tariff Jul 2022'!Q13/100))),0)</f>
        <v>0</v>
      </c>
      <c r="F21" s="189">
        <f>IF(AND('Tariff Jul 2022'!Q13&gt;0,'Tariff Jul 2022'!S13&gt;0),IF($F$5&lt;('Tariff Jul 2022'!R13+'Tariff Jul 2022'!P13),0,IF($F$5&lt;=('Tariff Jul 2022'!T13+'Tariff Jul 2022'!R13+'Tariff Jul 2022'!P13),(($F$5-('Tariff Jul 2022'!R13+'Tariff Jul 2022'!P13))*'Tariff Jul 2022'!S13/100),('Tariff Jul 2022'!T13*'Tariff Jul 2022'!S13/100))),0)</f>
        <v>0</v>
      </c>
      <c r="G21" s="188">
        <v>0</v>
      </c>
      <c r="H21" s="188">
        <v>0</v>
      </c>
      <c r="I21" s="189">
        <f>IF('Tariff Jul 2022'!T13&gt;0,IF(($F$5&lt;'Tariff Jul 2022'!T13),(0),($F$5-'Tariff Jul 2022'!T13)*'Tariff Jul 2022'!U13/100),IF(AND('Tariff Jul 2022'!R13&gt;0,'Tariff Jul 2022'!T13=""),IF(($F$5&lt;'Tariff Jul 2022'!R13),(0),($F$5-'Tariff Jul 2022'!R13)*'Tariff Jul 2022'!S13/100),IF(AND('Tariff Jul 2022'!P13&gt;0,'Tariff Jul 2022'!R13=""),IF(($F$5&lt;'Tariff Jul 2022'!P13),(0),($F$5-'Tariff Jul 2022'!P13)*'Tariff Jul 2022'!Q13/100),0)))</f>
        <v>0</v>
      </c>
      <c r="J21" s="188">
        <f t="shared" si="7"/>
        <v>519.27791999999999</v>
      </c>
      <c r="K21" s="283">
        <f>(J21-C21)*4</f>
        <v>1749.5116800000001</v>
      </c>
      <c r="L21" s="283">
        <f t="shared" si="8"/>
        <v>2077.11168</v>
      </c>
      <c r="M21" s="191">
        <f t="shared" si="9"/>
        <v>2284.8228480000002</v>
      </c>
      <c r="N21" s="187">
        <f>'Tariff Jul 2022'!AZ13</f>
        <v>0</v>
      </c>
      <c r="O21" s="187">
        <f>'Tariff Jul 2022'!BA13</f>
        <v>0</v>
      </c>
      <c r="P21" s="187">
        <f>'Tariff Jul 2022'!BB13</f>
        <v>0</v>
      </c>
      <c r="Q21" s="187">
        <f>'Tariff Jul 2022'!BC13</f>
        <v>0</v>
      </c>
      <c r="R21" s="192">
        <f>($F$6*'Tariff Jul 2022'!AT13/100)*4</f>
        <v>31.944320000000001</v>
      </c>
      <c r="S21" s="193" t="str">
        <f t="shared" si="0"/>
        <v>No discount</v>
      </c>
      <c r="T21" s="193" t="str">
        <f t="shared" si="1"/>
        <v>Exclusive</v>
      </c>
      <c r="U21" s="304">
        <f t="shared" si="2"/>
        <v>2077.11168</v>
      </c>
      <c r="V21" s="283">
        <f t="shared" si="3"/>
        <v>2077.11168</v>
      </c>
      <c r="W21" s="283">
        <f t="shared" si="4"/>
        <v>2045.1673599999999</v>
      </c>
      <c r="X21" s="283">
        <f t="shared" si="5"/>
        <v>2045.1673599999999</v>
      </c>
      <c r="Y21" s="285">
        <f t="shared" si="6"/>
        <v>2249.684096</v>
      </c>
      <c r="Z21" s="285">
        <f t="shared" si="6"/>
        <v>2249.684096</v>
      </c>
      <c r="AA21" s="194">
        <f>'Tariff Jul 2022'!AT13</f>
        <v>1</v>
      </c>
      <c r="AB21" s="195">
        <f>'Tariff Jul 2022'!BL13</f>
        <v>0</v>
      </c>
      <c r="AC21" s="195" t="str">
        <f>'Tariff Jul 2022'!BM13</f>
        <v>n</v>
      </c>
      <c r="AD21" s="196">
        <f>'Tariff Jul 2022'!G13</f>
        <v>43252</v>
      </c>
      <c r="AE21" s="344"/>
      <c r="AF21" s="344"/>
      <c r="AG21" s="344"/>
      <c r="AH21" s="344"/>
      <c r="AI21" s="344"/>
      <c r="AJ21" s="344"/>
      <c r="AK21" s="344"/>
      <c r="AL21" s="344"/>
      <c r="AM21" s="344"/>
      <c r="AN21" s="344"/>
      <c r="AO21" s="344"/>
      <c r="AP21" s="344"/>
      <c r="AQ21" s="344"/>
      <c r="AR21" s="344"/>
      <c r="AS21" s="344"/>
      <c r="AT21" s="344"/>
      <c r="AU21" s="344"/>
      <c r="AV21" s="344"/>
    </row>
    <row r="22" spans="1:48" s="187" customFormat="1" x14ac:dyDescent="0.15">
      <c r="A22" s="186" t="str">
        <f>'Tariff Jul 2022'!K14</f>
        <v>Kogan Energy</v>
      </c>
      <c r="B22" s="187" t="str">
        <f>'Tariff Jul 2022'!L14</f>
        <v>Free Kogan First Membership</v>
      </c>
      <c r="C22" s="188">
        <f>IF('Tariff Jul 2022'!BP14=0,91*'Tariff Jul 2022'!M14/100,(91*'Tariff Jul 2022'!M14/100)+'Tariff Jul 2022'!BP14/4)</f>
        <v>100.646</v>
      </c>
      <c r="D22" s="188">
        <f>IF('Tariff Jul 2022'!O14="",$F$5*'Tariff Jul 2022'!N14/100,IF($F$5&gt;='Tariff Jul 2022'!P14,('Tariff Jul 2022'!P14*'Tariff Jul 2022'!N14/100),($F$5*'Tariff Jul 2022'!N14/100)))</f>
        <v>277.84452654545453</v>
      </c>
      <c r="E22" s="188">
        <f>IF(AND('Tariff Jul 2022'!P14&gt;0,'Tariff Jul 2022'!R14&gt;0),IF($F$5&lt;'Tariff Jul 2022'!P14,0,IF($F$5&lt;=('Tariff Jul 2022'!R14+'Tariff Jul 2022'!P14),(($F$5-'Tariff Jul 2022'!P14)*'Tariff Jul 2022'!Q14/100),(('Tariff Jul 2022'!R14)*'Tariff Jul 2022'!Q14/100))),0)</f>
        <v>0</v>
      </c>
      <c r="F22" s="189">
        <f>IF(AND('Tariff Jul 2022'!Q14&gt;0,'Tariff Jul 2022'!S14&gt;0),IF($F$5&lt;('Tariff Jul 2022'!R14+'Tariff Jul 2022'!P14),0,IF($F$5&lt;=('Tariff Jul 2022'!T14+'Tariff Jul 2022'!R14+'Tariff Jul 2022'!P14),(($F$5-('Tariff Jul 2022'!R14+'Tariff Jul 2022'!P14))*'Tariff Jul 2022'!S14/100),('Tariff Jul 2022'!T14*'Tariff Jul 2022'!S14/100))),0)</f>
        <v>0</v>
      </c>
      <c r="G22" s="188">
        <v>0</v>
      </c>
      <c r="H22" s="188">
        <v>0</v>
      </c>
      <c r="I22" s="189">
        <f>IF('Tariff Jul 2022'!T14&gt;0,IF(($F$5&lt;'Tariff Jul 2022'!T14),(0),($F$5-'Tariff Jul 2022'!T14)*'Tariff Jul 2022'!U14/100),IF(AND('Tariff Jul 2022'!R14&gt;0,'Tariff Jul 2022'!T14=""),IF(($F$5&lt;'Tariff Jul 2022'!R14),(0),($F$5-'Tariff Jul 2022'!R14)*'Tariff Jul 2022'!S14/100),IF(AND('Tariff Jul 2022'!P14&gt;0,'Tariff Jul 2022'!R14=""),IF(($F$5&lt;'Tariff Jul 2022'!P14),(0),($F$5-'Tariff Jul 2022'!P14)*'Tariff Jul 2022'!Q14/100),0)))</f>
        <v>0</v>
      </c>
      <c r="J22" s="188">
        <f t="shared" si="7"/>
        <v>378.49052654545454</v>
      </c>
      <c r="K22" s="283">
        <f t="shared" si="10"/>
        <v>1111.3781061818181</v>
      </c>
      <c r="L22" s="283">
        <f t="shared" si="8"/>
        <v>1513.9621061818182</v>
      </c>
      <c r="M22" s="191">
        <f t="shared" si="9"/>
        <v>1665.3583168</v>
      </c>
      <c r="N22" s="187">
        <f>'Tariff Jul 2022'!AZ14</f>
        <v>0</v>
      </c>
      <c r="O22" s="187">
        <f>'Tariff Jul 2022'!BA14</f>
        <v>0</v>
      </c>
      <c r="P22" s="187">
        <f>'Tariff Jul 2022'!BB14</f>
        <v>0</v>
      </c>
      <c r="Q22" s="187">
        <f>'Tariff Jul 2022'!BC14</f>
        <v>0</v>
      </c>
      <c r="R22" s="192">
        <f>($F$6*'Tariff Jul 2022'!AT14/100)*4</f>
        <v>65.805299200000007</v>
      </c>
      <c r="S22" s="193" t="str">
        <f t="shared" si="0"/>
        <v>No discount</v>
      </c>
      <c r="T22" s="193" t="str">
        <f t="shared" si="1"/>
        <v>Exclusive</v>
      </c>
      <c r="U22" s="304">
        <f t="shared" si="2"/>
        <v>1513.9621061818182</v>
      </c>
      <c r="V22" s="283">
        <f t="shared" si="3"/>
        <v>1513.9621061818182</v>
      </c>
      <c r="W22" s="283">
        <f t="shared" si="4"/>
        <v>1448.1568069818181</v>
      </c>
      <c r="X22" s="283">
        <f t="shared" si="5"/>
        <v>1448.1568069818181</v>
      </c>
      <c r="Y22" s="285">
        <f t="shared" si="6"/>
        <v>1592.9724876800001</v>
      </c>
      <c r="Z22" s="285">
        <f t="shared" si="6"/>
        <v>1592.9724876800001</v>
      </c>
      <c r="AA22" s="194">
        <f>'Tariff Jul 2022'!AT14</f>
        <v>2.06</v>
      </c>
      <c r="AB22" s="195">
        <f>'Tariff Jul 2022'!BL14</f>
        <v>0</v>
      </c>
      <c r="AC22" s="195" t="str">
        <f>'Tariff Jul 2022'!BM14</f>
        <v>n</v>
      </c>
      <c r="AD22" s="196">
        <f>'Tariff Jul 2022'!G14</f>
        <v>43266</v>
      </c>
      <c r="AE22" s="344"/>
      <c r="AF22" s="344"/>
      <c r="AG22" s="344"/>
      <c r="AH22" s="344"/>
      <c r="AI22" s="344"/>
      <c r="AJ22" s="344"/>
      <c r="AK22" s="344"/>
      <c r="AL22" s="344"/>
      <c r="AM22" s="344"/>
      <c r="AN22" s="344"/>
      <c r="AO22" s="344"/>
      <c r="AP22" s="344"/>
      <c r="AQ22" s="344"/>
      <c r="AR22" s="344"/>
      <c r="AS22" s="344"/>
      <c r="AT22" s="344"/>
      <c r="AU22" s="344"/>
      <c r="AV22" s="344"/>
    </row>
    <row r="23" spans="1:48" s="187" customFormat="1" x14ac:dyDescent="0.15">
      <c r="A23" s="186" t="str">
        <f>'Tariff Jul 2022'!K15</f>
        <v>ReAmped Energy</v>
      </c>
      <c r="B23" s="187" t="str">
        <f>'Tariff Jul 2022'!L15</f>
        <v>Solar</v>
      </c>
      <c r="C23" s="188">
        <f>IF('Tariff Jul 2022'!BP15=0,91*'Tariff Jul 2022'!M15/100,(91*'Tariff Jul 2022'!M15/100)+'Tariff Jul 2022'!BP15/4)</f>
        <v>94.085727272727269</v>
      </c>
      <c r="D23" s="188">
        <f>IF('Tariff Jul 2022'!O15="",$F$5*'Tariff Jul 2022'!N15/100,IF($F$5&gt;='Tariff Jul 2022'!P15,('Tariff Jul 2022'!P15*'Tariff Jul 2022'!N15/100),($F$5*'Tariff Jul 2022'!N15/100)))</f>
        <v>355.01454545454544</v>
      </c>
      <c r="E23" s="188">
        <f>IF(AND('Tariff Jul 2022'!P15&gt;0,'Tariff Jul 2022'!R15&gt;0),IF($F$5&lt;'Tariff Jul 2022'!P15,0,IF($F$5&lt;=('Tariff Jul 2022'!R15+'Tariff Jul 2022'!P15),(($F$5-'Tariff Jul 2022'!P15)*'Tariff Jul 2022'!Q15/100),(('Tariff Jul 2022'!R15)*'Tariff Jul 2022'!Q15/100))),0)</f>
        <v>0</v>
      </c>
      <c r="F23" s="189">
        <f>IF(AND('Tariff Jul 2022'!Q15&gt;0,'Tariff Jul 2022'!S15&gt;0),IF($F$5&lt;('Tariff Jul 2022'!R15+'Tariff Jul 2022'!P15),0,IF($F$5&lt;=('Tariff Jul 2022'!T15+'Tariff Jul 2022'!R15+'Tariff Jul 2022'!P15),(($F$5-('Tariff Jul 2022'!R15+'Tariff Jul 2022'!P15))*'Tariff Jul 2022'!S15/100),('Tariff Jul 2022'!T15*'Tariff Jul 2022'!S15/100))),0)</f>
        <v>0</v>
      </c>
      <c r="G23" s="188">
        <v>0</v>
      </c>
      <c r="H23" s="188">
        <v>0</v>
      </c>
      <c r="I23" s="189">
        <f>IF('Tariff Jul 2022'!T15&gt;0,IF(($F$5&lt;'Tariff Jul 2022'!T15),(0),($F$5-'Tariff Jul 2022'!T15)*'Tariff Jul 2022'!U15/100),IF(AND('Tariff Jul 2022'!R15&gt;0,'Tariff Jul 2022'!T15=""),IF(($F$5&lt;'Tariff Jul 2022'!R15),(0),($F$5-'Tariff Jul 2022'!R15)*'Tariff Jul 2022'!S15/100),IF(AND('Tariff Jul 2022'!P15&gt;0,'Tariff Jul 2022'!R15=""),IF(($F$5&lt;'Tariff Jul 2022'!P15),(0),($F$5-'Tariff Jul 2022'!P15)*'Tariff Jul 2022'!Q15/100),0)))</f>
        <v>0</v>
      </c>
      <c r="J23" s="188">
        <f t="shared" si="7"/>
        <v>449.10027272727268</v>
      </c>
      <c r="K23" s="283">
        <f t="shared" si="10"/>
        <v>1420.0581818181818</v>
      </c>
      <c r="L23" s="283">
        <f t="shared" si="8"/>
        <v>1796.4010909090907</v>
      </c>
      <c r="M23" s="191">
        <f t="shared" si="9"/>
        <v>1976.0411999999999</v>
      </c>
      <c r="N23" s="187">
        <f>'Tariff Jul 2022'!AZ15</f>
        <v>0</v>
      </c>
      <c r="O23" s="187">
        <f>'Tariff Jul 2022'!BA15</f>
        <v>0</v>
      </c>
      <c r="P23" s="187">
        <f>'Tariff Jul 2022'!BB15</f>
        <v>0</v>
      </c>
      <c r="Q23" s="187">
        <f>'Tariff Jul 2022'!BC15</f>
        <v>0</v>
      </c>
      <c r="R23" s="192">
        <f>($F$6*'Tariff Jul 2022'!AT15/100)*4</f>
        <v>0</v>
      </c>
      <c r="S23" s="193" t="str">
        <f t="shared" si="0"/>
        <v>No discount</v>
      </c>
      <c r="T23" s="193" t="str">
        <f t="shared" si="1"/>
        <v>Exclusive</v>
      </c>
      <c r="U23" s="304">
        <f t="shared" si="2"/>
        <v>1796.4010909090907</v>
      </c>
      <c r="V23" s="283">
        <f t="shared" si="3"/>
        <v>1796.4010909090907</v>
      </c>
      <c r="W23" s="283">
        <f t="shared" si="4"/>
        <v>1796.4010909090907</v>
      </c>
      <c r="X23" s="283">
        <f t="shared" si="5"/>
        <v>1796.4010909090907</v>
      </c>
      <c r="Y23" s="285">
        <f t="shared" si="6"/>
        <v>1976.0411999999999</v>
      </c>
      <c r="Z23" s="285">
        <f t="shared" si="6"/>
        <v>1976.0411999999999</v>
      </c>
      <c r="AA23" s="194">
        <f>'Tariff Jul 2022'!AT15</f>
        <v>0</v>
      </c>
      <c r="AB23" s="195">
        <f>'Tariff Jul 2022'!BL15</f>
        <v>0</v>
      </c>
      <c r="AC23" s="195" t="str">
        <f>'Tariff Jul 2022'!BM15</f>
        <v>n</v>
      </c>
      <c r="AD23" s="196">
        <f>'Tariff Jul 2022'!G15</f>
        <v>43273</v>
      </c>
      <c r="AE23" s="344"/>
      <c r="AF23" s="344"/>
      <c r="AG23" s="344"/>
      <c r="AH23" s="344"/>
      <c r="AI23" s="344"/>
      <c r="AJ23" s="344"/>
      <c r="AK23" s="344"/>
      <c r="AL23" s="344"/>
      <c r="AM23" s="344"/>
      <c r="AN23" s="344"/>
      <c r="AO23" s="344"/>
      <c r="AP23" s="344"/>
      <c r="AQ23" s="344"/>
      <c r="AR23" s="344"/>
      <c r="AS23" s="344"/>
      <c r="AT23" s="344"/>
      <c r="AU23" s="344"/>
      <c r="AV23" s="344"/>
    </row>
    <row r="24" spans="1:48" s="187" customFormat="1" x14ac:dyDescent="0.15">
      <c r="A24" s="186" t="str">
        <f>'Tariff Jul 2022'!K16</f>
        <v>Circular Energy</v>
      </c>
      <c r="B24" s="187" t="str">
        <f>'Tariff Jul 2022'!L16</f>
        <v>Community Energy</v>
      </c>
      <c r="C24" s="188">
        <f>IF('Tariff Jul 2022'!BP16=0,91*'Tariff Jul 2022'!M16/100,(91*'Tariff Jul 2022'!M16/100)+'Tariff Jul 2022'!BP16/4)</f>
        <v>102.8090909090909</v>
      </c>
      <c r="D24" s="188">
        <f>IF('Tariff Jul 2022'!O16="",$F$5*'Tariff Jul 2022'!N16/100,IF($F$5&gt;='Tariff Jul 2022'!P16,('Tariff Jul 2022'!P16*'Tariff Jul 2022'!N16/100),($F$5*'Tariff Jul 2022'!N16/100)))</f>
        <v>291.80166981818178</v>
      </c>
      <c r="E24" s="188">
        <f>IF(AND('Tariff Jul 2022'!P16&gt;0,'Tariff Jul 2022'!R16&gt;0),IF($F$5&lt;'Tariff Jul 2022'!P16,0,IF($F$5&lt;=('Tariff Jul 2022'!R16+'Tariff Jul 2022'!P16),(($F$5-'Tariff Jul 2022'!P16)*'Tariff Jul 2022'!Q16/100),(('Tariff Jul 2022'!R16)*'Tariff Jul 2022'!Q16/100))),0)</f>
        <v>0</v>
      </c>
      <c r="F24" s="189">
        <f>IF(AND('Tariff Jul 2022'!Q16&gt;0,'Tariff Jul 2022'!S16&gt;0),IF($F$5&lt;('Tariff Jul 2022'!R16+'Tariff Jul 2022'!P16),0,IF($F$5&lt;=('Tariff Jul 2022'!T16+'Tariff Jul 2022'!R16+'Tariff Jul 2022'!P16),(($F$5-('Tariff Jul 2022'!R16+'Tariff Jul 2022'!P16))*'Tariff Jul 2022'!S16/100),('Tariff Jul 2022'!T16*'Tariff Jul 2022'!S16/100))),0)</f>
        <v>0</v>
      </c>
      <c r="G24" s="188">
        <v>0</v>
      </c>
      <c r="H24" s="188">
        <v>0</v>
      </c>
      <c r="I24" s="189">
        <f>IF('Tariff Jul 2022'!T16&gt;0,IF(($F$5&lt;'Tariff Jul 2022'!T16),(0),($F$5-'Tariff Jul 2022'!T16)*'Tariff Jul 2022'!U16/100),IF(AND('Tariff Jul 2022'!R16&gt;0,'Tariff Jul 2022'!T16=""),IF(($F$5&lt;'Tariff Jul 2022'!R16),(0),($F$5-'Tariff Jul 2022'!R16)*'Tariff Jul 2022'!S16/100),IF(AND('Tariff Jul 2022'!P16&gt;0,'Tariff Jul 2022'!R16=""),IF(($F$5&lt;'Tariff Jul 2022'!P16),(0),($F$5-'Tariff Jul 2022'!P16)*'Tariff Jul 2022'!Q16/100),0)))</f>
        <v>0</v>
      </c>
      <c r="J24" s="188">
        <f t="shared" si="7"/>
        <v>394.61076072727269</v>
      </c>
      <c r="K24" s="283">
        <f t="shared" si="10"/>
        <v>1167.2066792727271</v>
      </c>
      <c r="L24" s="283">
        <f t="shared" si="8"/>
        <v>1578.4430429090908</v>
      </c>
      <c r="M24" s="191">
        <f t="shared" si="9"/>
        <v>1736.2873471999999</v>
      </c>
      <c r="N24" s="187">
        <f>'Tariff Jul 2022'!AZ16</f>
        <v>0</v>
      </c>
      <c r="O24" s="187">
        <f>'Tariff Jul 2022'!BA16</f>
        <v>0</v>
      </c>
      <c r="P24" s="187">
        <f>'Tariff Jul 2022'!BB16</f>
        <v>0</v>
      </c>
      <c r="Q24" s="187">
        <f>'Tariff Jul 2022'!BC16</f>
        <v>0</v>
      </c>
      <c r="R24" s="192">
        <f>($F$6*'Tariff Jul 2022'!AT16/100)*4</f>
        <v>223.61024</v>
      </c>
      <c r="S24" s="193" t="str">
        <f t="shared" si="0"/>
        <v>No discount</v>
      </c>
      <c r="T24" s="193" t="str">
        <f t="shared" si="1"/>
        <v>Exclusive</v>
      </c>
      <c r="U24" s="304">
        <f t="shared" si="2"/>
        <v>1578.4430429090908</v>
      </c>
      <c r="V24" s="283">
        <f t="shared" si="3"/>
        <v>1578.4430429090908</v>
      </c>
      <c r="W24" s="283">
        <f t="shared" si="4"/>
        <v>1354.8328029090908</v>
      </c>
      <c r="X24" s="283">
        <f t="shared" si="5"/>
        <v>1354.8328029090908</v>
      </c>
      <c r="Y24" s="285">
        <f t="shared" si="6"/>
        <v>1490.3160832000001</v>
      </c>
      <c r="Z24" s="285">
        <f t="shared" si="6"/>
        <v>1490.3160832000001</v>
      </c>
      <c r="AA24" s="194">
        <f>'Tariff Jul 2022'!AT16</f>
        <v>7</v>
      </c>
      <c r="AB24" s="195">
        <f>'Tariff Jul 2022'!BL16</f>
        <v>0</v>
      </c>
      <c r="AC24" s="195" t="str">
        <f>'Tariff Jul 2022'!BM16</f>
        <v>n</v>
      </c>
      <c r="AD24" s="196">
        <f>'Tariff Jul 2022'!G16</f>
        <v>43281</v>
      </c>
      <c r="AE24" s="344"/>
      <c r="AF24" s="344"/>
      <c r="AG24" s="344"/>
      <c r="AH24" s="344"/>
      <c r="AI24" s="344"/>
      <c r="AJ24" s="344"/>
      <c r="AK24" s="344"/>
      <c r="AL24" s="344"/>
      <c r="AM24" s="344"/>
      <c r="AN24" s="344"/>
      <c r="AO24" s="344"/>
      <c r="AP24" s="344"/>
      <c r="AQ24" s="344"/>
      <c r="AR24" s="344"/>
      <c r="AS24" s="344"/>
      <c r="AT24" s="344"/>
      <c r="AU24" s="344"/>
      <c r="AV24" s="344"/>
    </row>
    <row r="25" spans="1:48" s="187" customFormat="1" x14ac:dyDescent="0.15">
      <c r="A25" s="344"/>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c r="AT25" s="344"/>
      <c r="AU25" s="344"/>
      <c r="AV25" s="344"/>
    </row>
    <row r="26" spans="1:48" s="187" customFormat="1" ht="15" thickBot="1" x14ac:dyDescent="0.2">
      <c r="A26" s="344"/>
      <c r="B26" s="344"/>
      <c r="C26" s="344"/>
      <c r="D26" s="344"/>
      <c r="E26" s="344"/>
      <c r="F26" s="344"/>
      <c r="G26" s="344"/>
      <c r="H26" s="344"/>
      <c r="I26" s="344"/>
      <c r="J26" s="344"/>
      <c r="K26" s="344"/>
      <c r="L26" s="344"/>
      <c r="M26" s="344"/>
      <c r="N26" s="344"/>
      <c r="O26" s="344"/>
      <c r="P26" s="344"/>
      <c r="Q26" s="344"/>
      <c r="R26" s="344"/>
      <c r="S26" s="344"/>
      <c r="T26" s="344"/>
      <c r="U26" s="344"/>
      <c r="V26" s="344"/>
      <c r="W26" s="344"/>
      <c r="X26" s="344"/>
      <c r="Y26" s="344"/>
      <c r="Z26" s="344"/>
      <c r="AA26" s="344"/>
      <c r="AB26" s="344"/>
      <c r="AC26" s="344"/>
      <c r="AD26" s="344"/>
      <c r="AE26" s="344"/>
      <c r="AF26" s="344"/>
      <c r="AG26" s="344"/>
      <c r="AH26" s="344"/>
      <c r="AI26" s="344"/>
      <c r="AJ26" s="344"/>
      <c r="AK26" s="344"/>
      <c r="AL26" s="344"/>
      <c r="AM26" s="344"/>
      <c r="AN26" s="344"/>
      <c r="AO26" s="344"/>
      <c r="AP26" s="344"/>
      <c r="AQ26" s="344"/>
      <c r="AR26" s="344"/>
      <c r="AS26" s="344"/>
      <c r="AT26" s="344"/>
      <c r="AU26" s="344"/>
      <c r="AV26" s="344"/>
    </row>
    <row r="27" spans="1:48" s="187" customFormat="1" x14ac:dyDescent="0.15">
      <c r="A27" s="336" t="s">
        <v>154</v>
      </c>
      <c r="B27" s="337"/>
      <c r="C27" s="338"/>
      <c r="D27" s="338"/>
      <c r="E27" s="338"/>
      <c r="F27" s="338"/>
      <c r="G27" s="339"/>
      <c r="H27" s="339"/>
      <c r="I27" s="337"/>
      <c r="J27" s="337"/>
      <c r="K27" s="339"/>
      <c r="L27" s="337"/>
      <c r="M27" s="337"/>
      <c r="N27" s="337"/>
      <c r="O27" s="337"/>
      <c r="P27" s="337"/>
      <c r="Q27" s="337"/>
      <c r="R27" s="337"/>
      <c r="S27" s="337"/>
      <c r="T27" s="337"/>
      <c r="U27" s="337"/>
      <c r="V27" s="337"/>
      <c r="W27" s="337"/>
      <c r="X27" s="337"/>
      <c r="Y27" s="337"/>
      <c r="Z27" s="337"/>
      <c r="AA27" s="337"/>
      <c r="AB27" s="337"/>
      <c r="AC27" s="337"/>
      <c r="AD27" s="268"/>
      <c r="AE27" s="344"/>
      <c r="AF27" s="344"/>
      <c r="AG27" s="344"/>
      <c r="AH27" s="344"/>
      <c r="AI27" s="344"/>
      <c r="AJ27" s="344"/>
      <c r="AK27" s="344"/>
      <c r="AL27" s="344"/>
      <c r="AM27" s="344"/>
      <c r="AN27" s="344"/>
      <c r="AO27" s="344"/>
      <c r="AP27" s="344"/>
      <c r="AQ27" s="344"/>
      <c r="AR27" s="344"/>
      <c r="AS27" s="344"/>
      <c r="AT27" s="344"/>
      <c r="AU27" s="344"/>
      <c r="AV27" s="344"/>
    </row>
    <row r="28" spans="1:48" s="187" customFormat="1" ht="90" x14ac:dyDescent="0.15">
      <c r="A28" s="271" t="s">
        <v>231</v>
      </c>
      <c r="B28" s="272" t="s">
        <v>243</v>
      </c>
      <c r="C28" s="279" t="s">
        <v>244</v>
      </c>
      <c r="D28" s="279" t="s">
        <v>227</v>
      </c>
      <c r="E28" s="279" t="s">
        <v>357</v>
      </c>
      <c r="F28" s="279" t="s">
        <v>358</v>
      </c>
      <c r="G28" s="279" t="s">
        <v>329</v>
      </c>
      <c r="H28" s="279" t="s">
        <v>222</v>
      </c>
      <c r="I28" s="279" t="s">
        <v>223</v>
      </c>
      <c r="J28" s="273" t="s">
        <v>799</v>
      </c>
      <c r="K28" s="280" t="s">
        <v>246</v>
      </c>
      <c r="L28" s="280" t="s">
        <v>247</v>
      </c>
      <c r="M28" s="274" t="s">
        <v>636</v>
      </c>
      <c r="N28" s="275" t="s">
        <v>249</v>
      </c>
      <c r="O28" s="275" t="s">
        <v>250</v>
      </c>
      <c r="P28" s="275" t="s">
        <v>251</v>
      </c>
      <c r="Q28" s="275" t="s">
        <v>365</v>
      </c>
      <c r="R28" s="276" t="s">
        <v>373</v>
      </c>
      <c r="S28" s="281" t="s">
        <v>637</v>
      </c>
      <c r="T28" s="281" t="s">
        <v>638</v>
      </c>
      <c r="U28" s="282" t="s">
        <v>255</v>
      </c>
      <c r="V28" s="282" t="s">
        <v>224</v>
      </c>
      <c r="W28" s="282" t="s">
        <v>374</v>
      </c>
      <c r="X28" s="282" t="s">
        <v>375</v>
      </c>
      <c r="Y28" s="276" t="s">
        <v>376</v>
      </c>
      <c r="Z28" s="276" t="s">
        <v>436</v>
      </c>
      <c r="AA28" s="275" t="s">
        <v>155</v>
      </c>
      <c r="AB28" s="275" t="s">
        <v>225</v>
      </c>
      <c r="AC28" s="275" t="s">
        <v>226</v>
      </c>
      <c r="AD28" s="277" t="s">
        <v>221</v>
      </c>
      <c r="AE28" s="344"/>
      <c r="AF28" s="344"/>
      <c r="AG28" s="344"/>
      <c r="AH28" s="344"/>
      <c r="AI28" s="344"/>
      <c r="AJ28" s="344"/>
      <c r="AK28" s="344"/>
      <c r="AL28" s="344"/>
      <c r="AM28" s="344"/>
      <c r="AN28" s="344"/>
      <c r="AO28" s="344"/>
      <c r="AP28" s="344"/>
      <c r="AQ28" s="344"/>
      <c r="AR28" s="344"/>
      <c r="AS28" s="344"/>
      <c r="AT28" s="344"/>
      <c r="AU28" s="344"/>
      <c r="AV28" s="344"/>
    </row>
    <row r="29" spans="1:48" s="187" customFormat="1" x14ac:dyDescent="0.15">
      <c r="A29" s="186" t="str">
        <f>'Tariff Jul 2022'!K17</f>
        <v>AGL</v>
      </c>
      <c r="B29" s="187" t="str">
        <f>'Tariff Jul 2022'!L17</f>
        <v>Solar Savers</v>
      </c>
      <c r="C29" s="208">
        <f>IF('Tariff Jul 2022'!BP17=0,91*'Tariff Jul 2022'!M17/100,(91*'Tariff Jul 2022'!M17/100)+'Tariff Jul 2022'!BP17/4)</f>
        <v>85.705454545454543</v>
      </c>
      <c r="D29" s="208">
        <f>IF('Tariff Jul 2022'!O17="",$H$5*'Tariff Jul 2022'!N17/100,IF($H$5&gt;='Tariff Jul 2022'!P17,('Tariff Jul 2022'!P17*'Tariff Jul 2022'!N17/100),($H$5*'Tariff Jul 2022'!N17/100)))</f>
        <v>237.20651869090906</v>
      </c>
      <c r="E29" s="208">
        <f>IF(AND('Tariff Jul 2022'!P17&gt;0,'Tariff Jul 2022'!R17&gt;0),IF($H$5&lt;'Tariff Jul 2022'!P17,0,IF($H$5&lt;=('Tariff Jul 2022'!R17+'Tariff Jul 2022'!P17),(($H$5-'Tariff Jul 2022'!P17)*'Tariff Jul 2022'!Q17/100),(('Tariff Jul 2022'!R17)*'Tariff Jul 2022'!Q17/100))),0)</f>
        <v>0</v>
      </c>
      <c r="F29" s="208">
        <f>IF(AND('Tariff Jul 2022'!Q17&gt;0,'Tariff Jul 2022'!S17&gt;0),IF($H$5&lt;('Tariff Jul 2022'!R17+'Tariff Jul 2022'!P17),0,IF($H$5&lt;=('Tariff Jul 2022'!T17+'Tariff Jul 2022'!R17+'Tariff Jul 2022'!P17),(($H$5-('Tariff Jul 2022'!R17+'Tariff Jul 2022'!P17))*'Tariff Jul 2022'!S17/100),('Tariff Jul 2022'!T17*'Tariff Jul 2022'!S17/100))),0)</f>
        <v>0</v>
      </c>
      <c r="G29" s="208">
        <f>IF('Tariff Jul 2022'!T17&gt;0,IF(($H$5&lt;'Tariff Jul 2022'!T17),(0),($H$5-'Tariff Jul 2022'!T17)*'Tariff Jul 2022'!U17/100),IF(AND('Tariff Jul 2022'!R17&gt;0,'Tariff Jul 2022'!T17=""),IF(($H$5&lt;'Tariff Jul 2022'!R17),(0),($H$5-'Tariff Jul 2022'!R17)*'Tariff Jul 2022'!S17/100),IF(AND('Tariff Jul 2022'!P17&gt;0,'Tariff Jul 2022'!R17=""),IF(($H$5&lt;'Tariff Jul 2022'!P17),(0),($H$5-'Tariff Jul 2022'!P17)*'Tariff Jul 2022'!Q17/100),0)))</f>
        <v>0</v>
      </c>
      <c r="H29" s="208">
        <f>($I$5)*'Tariff Jul 2022'!AE17/100</f>
        <v>32.620765090909096</v>
      </c>
      <c r="I29" s="208">
        <v>0</v>
      </c>
      <c r="J29" s="208">
        <f>SUM(C29:I29)</f>
        <v>355.53273832727274</v>
      </c>
      <c r="K29" s="283">
        <f>(J29-C29)*4</f>
        <v>1079.3091351272728</v>
      </c>
      <c r="L29" s="283">
        <f>J29*4</f>
        <v>1422.130953309091</v>
      </c>
      <c r="M29" s="191">
        <f>L29*1.1</f>
        <v>1564.3440486400002</v>
      </c>
      <c r="N29" s="187">
        <f>'Tariff Jul 2022'!AZ17</f>
        <v>0</v>
      </c>
      <c r="O29" s="187">
        <f>'Tariff Jul 2022'!BA17</f>
        <v>0</v>
      </c>
      <c r="P29" s="187">
        <f>'Tariff Jul 2022'!BB17</f>
        <v>0</v>
      </c>
      <c r="Q29" s="187">
        <f>'Tariff Jul 2022'!BC17</f>
        <v>0</v>
      </c>
      <c r="R29" s="192">
        <f>($F$6*'Tariff Jul 2022'!AT17/100)*4</f>
        <v>319.44320000000005</v>
      </c>
      <c r="S29" s="193" t="str">
        <f t="shared" ref="S29:S43" si="11">IF(SUM(N29:Q29)=0,"No discount",IF(N29&gt;0,"Guaranteed off bill",IF(O29&gt;0,"Guaranteed off usage",IF(P29&gt;0,"Pay-on-time off bill","Pay-on-time off usage"))))</f>
        <v>No discount</v>
      </c>
      <c r="T29" s="193" t="str">
        <f t="shared" ref="T29:T43" si="12">IF(OR(A29="Origin Energy",A29="Red Energy",A29="Powershop"),"Inclusive","Exclusive")</f>
        <v>Exclusive</v>
      </c>
      <c r="U29" s="304">
        <f t="shared" ref="U29:U43" si="13">IF(AND(S29="Guaranteed off bill",T29="Inclusive"),((L29*1.1)-((L29*1.1)*N29/100))/1.1,IF(AND(S29="Guaranteed off usage",T29="Inclusive"),((L29*1.1)-((K29*1.1)*O29/100))/1.1,IF(AND(S29="Guaranteed off bill",T29="Exclusive"),L29-(L29*N29/100),IF(AND(S29="Guaranteed off usage",T29="Exclusive"),L29-(K29*O29/100),IF(T29="Inclusive",((L29*1.1))/1.1,L29)))))</f>
        <v>1422.130953309091</v>
      </c>
      <c r="V29" s="283">
        <f t="shared" ref="V29:V43" si="14">IF(AND(S29="Pay-on-time off bill",T29="Inclusive"),((U29*1.1)-((U29*1.1)*P29/100))/1.1,IF(AND(S29="Pay-on-time off usage",T29="Inclusive"),((U29*1.1)-((K29*1.1)*Q29/100))/1.1,IF(AND(S29="Pay-on-time off bill",T29="Exclusive"),U29-(U29*P29/100),IF(AND(S29="Pay-on-time off usage",T29="Exclusive"),U29-(K29*Q29/100),IF(T29="Inclusive",((U29*1.1))/1.1,U29)))))</f>
        <v>1422.130953309091</v>
      </c>
      <c r="W29" s="283">
        <f t="shared" ref="W29:W43" si="15">U29-R29</f>
        <v>1102.687753309091</v>
      </c>
      <c r="X29" s="283">
        <f t="shared" ref="X29:X43" si="16">V29-R29</f>
        <v>1102.687753309091</v>
      </c>
      <c r="Y29" s="285">
        <f t="shared" ref="Y29:Z43" si="17">W29*1.1</f>
        <v>1212.9565286400002</v>
      </c>
      <c r="Z29" s="285">
        <f t="shared" si="17"/>
        <v>1212.9565286400002</v>
      </c>
      <c r="AA29" s="194">
        <f>'Tariff Jul 2022'!AT17</f>
        <v>10</v>
      </c>
      <c r="AB29" s="195">
        <f>'Tariff Jul 2022'!BL17</f>
        <v>0</v>
      </c>
      <c r="AC29" s="195" t="str">
        <f>'Tariff Jul 2022'!BM17</f>
        <v>n</v>
      </c>
      <c r="AD29" s="196">
        <f>'Tariff Jul 2022'!G17</f>
        <v>43284</v>
      </c>
      <c r="AE29" s="344"/>
      <c r="AF29" s="344"/>
      <c r="AG29" s="344"/>
      <c r="AH29" s="344"/>
      <c r="AI29" s="344"/>
      <c r="AJ29" s="344"/>
      <c r="AK29" s="344"/>
      <c r="AL29" s="344"/>
      <c r="AM29" s="344"/>
      <c r="AN29" s="344"/>
      <c r="AO29" s="344"/>
      <c r="AP29" s="344"/>
      <c r="AQ29" s="344"/>
      <c r="AR29" s="344"/>
      <c r="AS29" s="344"/>
      <c r="AT29" s="344"/>
      <c r="AU29" s="344"/>
      <c r="AV29" s="344"/>
    </row>
    <row r="30" spans="1:48" s="187" customFormat="1" x14ac:dyDescent="0.15">
      <c r="A30" s="186" t="str">
        <f>'Tariff Jul 2022'!K18</f>
        <v>Alinta Energy</v>
      </c>
      <c r="B30" s="187" t="str">
        <f>'Tariff Jul 2022'!L18</f>
        <v>Home Deal</v>
      </c>
      <c r="C30" s="208">
        <f>IF('Tariff Jul 2022'!BP18=0,91*'Tariff Jul 2022'!M18/100,(91*'Tariff Jul 2022'!M18/100)+'Tariff Jul 2022'!BP18/4)</f>
        <v>82.528727272727266</v>
      </c>
      <c r="D30" s="208">
        <f>IF('Tariff Jul 2022'!O18="",$H$5*'Tariff Jul 2022'!N18/100,IF($H$5&gt;='Tariff Jul 2022'!P18,('Tariff Jul 2022'!P18*'Tariff Jul 2022'!N18/100),($H$5*'Tariff Jul 2022'!N18/100)))</f>
        <v>233.31150196363632</v>
      </c>
      <c r="E30" s="208">
        <f>IF(AND('Tariff Jul 2022'!P18&gt;0,'Tariff Jul 2022'!R18&gt;0),IF($H$5&lt;'Tariff Jul 2022'!P18,0,IF($H$5&lt;=('Tariff Jul 2022'!R18+'Tariff Jul 2022'!P18),(($H$5-'Tariff Jul 2022'!P18)*'Tariff Jul 2022'!Q18/100),(('Tariff Jul 2022'!R18)*'Tariff Jul 2022'!Q18/100))),0)</f>
        <v>0</v>
      </c>
      <c r="F30" s="208">
        <f>IF(AND('Tariff Jul 2022'!Q18&gt;0,'Tariff Jul 2022'!S18&gt;0),IF($H$5&lt;('Tariff Jul 2022'!R18+'Tariff Jul 2022'!P18),0,IF($H$5&lt;=('Tariff Jul 2022'!T18+'Tariff Jul 2022'!R18+'Tariff Jul 2022'!P18),(($H$5-('Tariff Jul 2022'!R18+'Tariff Jul 2022'!P18))*'Tariff Jul 2022'!S18/100),('Tariff Jul 2022'!T18*'Tariff Jul 2022'!S18/100))),0)</f>
        <v>0</v>
      </c>
      <c r="G30" s="208">
        <f>IF('Tariff Jul 2022'!T18&gt;0,IF(($H$5&lt;'Tariff Jul 2022'!T18),(0),($H$5-'Tariff Jul 2022'!T18)*'Tariff Jul 2022'!U18/100),IF(AND('Tariff Jul 2022'!R18&gt;0,'Tariff Jul 2022'!T18=""),IF(($H$5&lt;'Tariff Jul 2022'!R18),(0),($H$5-'Tariff Jul 2022'!R18)*'Tariff Jul 2022'!S18/100),IF(AND('Tariff Jul 2022'!P18&gt;0,'Tariff Jul 2022'!R18=""),IF(($H$5&lt;'Tariff Jul 2022'!P18),(0),($H$5-'Tariff Jul 2022'!P18)*'Tariff Jul 2022'!Q18/100),0)))</f>
        <v>0</v>
      </c>
      <c r="H30" s="208">
        <f>($I$5)*'Tariff Jul 2022'!AE18/100</f>
        <v>31.939137163636364</v>
      </c>
      <c r="I30" s="208">
        <f>IF((I5&lt;'Tariff Jul 2022'!AF18),(0),(I5-'Tariff Jul 2022'!AF18)*'Tariff Jul 2022'!AG18/100)</f>
        <v>0</v>
      </c>
      <c r="J30" s="208">
        <f t="shared" ref="J30:J41" si="18">SUM(C30:I30)</f>
        <v>347.77936639999996</v>
      </c>
      <c r="K30" s="283">
        <f>(J30-C30)*4</f>
        <v>1061.0025565090907</v>
      </c>
      <c r="L30" s="283">
        <f t="shared" ref="L30:L43" si="19">J30*4</f>
        <v>1391.1174655999998</v>
      </c>
      <c r="M30" s="191">
        <f t="shared" ref="M30:M43" si="20">L30*1.1</f>
        <v>1530.2292121599999</v>
      </c>
      <c r="N30" s="187">
        <f>'Tariff Jul 2022'!AZ18</f>
        <v>0</v>
      </c>
      <c r="O30" s="187">
        <f>'Tariff Jul 2022'!BA18</f>
        <v>0</v>
      </c>
      <c r="P30" s="187">
        <f>'Tariff Jul 2022'!BB18</f>
        <v>0</v>
      </c>
      <c r="Q30" s="187">
        <f>'Tariff Jul 2022'!BC18</f>
        <v>0</v>
      </c>
      <c r="R30" s="192">
        <f>($F$6*'Tariff Jul 2022'!AT18/100)*4</f>
        <v>255.55456000000001</v>
      </c>
      <c r="S30" s="193" t="str">
        <f t="shared" si="11"/>
        <v>No discount</v>
      </c>
      <c r="T30" s="193" t="str">
        <f t="shared" si="12"/>
        <v>Exclusive</v>
      </c>
      <c r="U30" s="304">
        <f t="shared" si="13"/>
        <v>1391.1174655999998</v>
      </c>
      <c r="V30" s="283">
        <f t="shared" si="14"/>
        <v>1391.1174655999998</v>
      </c>
      <c r="W30" s="283">
        <f t="shared" si="15"/>
        <v>1135.5629055999998</v>
      </c>
      <c r="X30" s="283">
        <f t="shared" si="16"/>
        <v>1135.5629055999998</v>
      </c>
      <c r="Y30" s="285">
        <f t="shared" si="17"/>
        <v>1249.1191961599998</v>
      </c>
      <c r="Z30" s="285">
        <f t="shared" si="17"/>
        <v>1249.1191961599998</v>
      </c>
      <c r="AA30" s="194">
        <f>'Tariff Jul 2022'!AT18</f>
        <v>8</v>
      </c>
      <c r="AB30" s="195">
        <f>'Tariff Jul 2022'!BL18</f>
        <v>0</v>
      </c>
      <c r="AC30" s="195" t="str">
        <f>'Tariff Jul 2022'!BM18</f>
        <v>n</v>
      </c>
      <c r="AD30" s="196">
        <f>'Tariff Jul 2022'!G18</f>
        <v>43299</v>
      </c>
      <c r="AE30" s="344"/>
      <c r="AF30" s="344"/>
      <c r="AG30" s="344"/>
      <c r="AH30" s="344"/>
      <c r="AI30" s="344"/>
      <c r="AJ30" s="344"/>
      <c r="AK30" s="344"/>
      <c r="AL30" s="344"/>
      <c r="AM30" s="344"/>
      <c r="AN30" s="344"/>
      <c r="AO30" s="344"/>
      <c r="AP30" s="344"/>
      <c r="AQ30" s="344"/>
      <c r="AR30" s="344"/>
      <c r="AS30" s="344"/>
      <c r="AT30" s="344"/>
      <c r="AU30" s="344"/>
      <c r="AV30" s="344"/>
    </row>
    <row r="31" spans="1:48" s="187" customFormat="1" x14ac:dyDescent="0.15">
      <c r="A31" s="186" t="str">
        <f>'Tariff Jul 2022'!K19</f>
        <v>Diamond Energy</v>
      </c>
      <c r="B31" s="187" t="str">
        <f>'Tariff Jul 2022'!L19</f>
        <v>Renewable Saver</v>
      </c>
      <c r="C31" s="208">
        <f>IF('Tariff Jul 2022'!BP19=0,91*'Tariff Jul 2022'!M19/100,(91*'Tariff Jul 2022'!M19/100)+'Tariff Jul 2022'!BP19/4)</f>
        <v>72.8</v>
      </c>
      <c r="D31" s="208">
        <f>IF('Tariff Jul 2022'!O19="",$H$5*'Tariff Jul 2022'!N19/100,IF($H$5&gt;='Tariff Jul 2022'!P19,('Tariff Jul 2022'!P19*'Tariff Jul 2022'!N19/100),($H$5*'Tariff Jul 2022'!N19/100)))</f>
        <v>98.999999999999986</v>
      </c>
      <c r="E31" s="208">
        <f>IF(AND('Tariff Jul 2022'!P19&gt;0,'Tariff Jul 2022'!R19&gt;0),IF($H$5&lt;'Tariff Jul 2022'!P19,0,IF($H$5&lt;=('Tariff Jul 2022'!R19+'Tariff Jul 2022'!P19),(($H$5-'Tariff Jul 2022'!P19)*'Tariff Jul 2022'!Q19/100),(('Tariff Jul 2022'!R19)*'Tariff Jul 2022'!Q19/100))),0)</f>
        <v>145.57019170909092</v>
      </c>
      <c r="F31" s="208">
        <f>IF(AND('Tariff Jul 2022'!Q19&gt;0,'Tariff Jul 2022'!S19&gt;0),IF($H$5&lt;('Tariff Jul 2022'!R19+'Tariff Jul 2022'!P19),0,IF($H$5&lt;=('Tariff Jul 2022'!T19+'Tariff Jul 2022'!R19+'Tariff Jul 2022'!P19),(($H$5-('Tariff Jul 2022'!R19+'Tariff Jul 2022'!P19))*'Tariff Jul 2022'!S19/100),('Tariff Jul 2022'!T19*'Tariff Jul 2022'!S19/100))),0)</f>
        <v>0</v>
      </c>
      <c r="G31" s="208">
        <f>IF('Tariff Jul 2022'!T19&gt;0,IF(($H$5&lt;'Tariff Jul 2022'!T19),(0),($H$5-'Tariff Jul 2022'!T19)*'Tariff Jul 2022'!U19/100),IF(AND('Tariff Jul 2022'!R19&gt;0,'Tariff Jul 2022'!T19=""),IF(($H$5&lt;'Tariff Jul 2022'!R19),(0),($H$5-'Tariff Jul 2022'!R19)*'Tariff Jul 2022'!S19/100),IF(AND('Tariff Jul 2022'!P19&gt;0,'Tariff Jul 2022'!R19=""),IF(($H$5&lt;'Tariff Jul 2022'!P19),(0),($H$5-'Tariff Jul 2022'!P19)*'Tariff Jul 2022'!Q19/100),0)))</f>
        <v>0</v>
      </c>
      <c r="H31" s="208">
        <f>($I$5)*'Tariff Jul 2022'!AE19/100</f>
        <v>31.306196945454545</v>
      </c>
      <c r="I31" s="208">
        <v>0</v>
      </c>
      <c r="J31" s="208">
        <f t="shared" si="18"/>
        <v>348.67638865454546</v>
      </c>
      <c r="K31" s="283">
        <f t="shared" ref="K31:K43" si="21">(J31-C31)*4</f>
        <v>1103.5055546181818</v>
      </c>
      <c r="L31" s="283">
        <f t="shared" si="19"/>
        <v>1394.7055546181818</v>
      </c>
      <c r="M31" s="191">
        <f t="shared" si="20"/>
        <v>1534.1761100800002</v>
      </c>
      <c r="N31" s="187">
        <f>'Tariff Jul 2022'!AZ19</f>
        <v>0</v>
      </c>
      <c r="O31" s="187">
        <f>'Tariff Jul 2022'!BA19</f>
        <v>0</v>
      </c>
      <c r="P31" s="187">
        <f>'Tariff Jul 2022'!BB19</f>
        <v>2</v>
      </c>
      <c r="Q31" s="187">
        <f>'Tariff Jul 2022'!BC19</f>
        <v>0</v>
      </c>
      <c r="R31" s="192">
        <f>($F$6*'Tariff Jul 2022'!AT19/100)*4</f>
        <v>166.11046400000004</v>
      </c>
      <c r="S31" s="193" t="str">
        <f t="shared" si="11"/>
        <v>Pay-on-time off bill</v>
      </c>
      <c r="T31" s="193" t="str">
        <f t="shared" si="12"/>
        <v>Exclusive</v>
      </c>
      <c r="U31" s="304">
        <f t="shared" si="13"/>
        <v>1394.7055546181818</v>
      </c>
      <c r="V31" s="283">
        <f t="shared" si="14"/>
        <v>1366.8114435258183</v>
      </c>
      <c r="W31" s="283">
        <f t="shared" si="15"/>
        <v>1228.5950906181818</v>
      </c>
      <c r="X31" s="283">
        <f t="shared" si="16"/>
        <v>1200.7009795258182</v>
      </c>
      <c r="Y31" s="285">
        <f t="shared" si="17"/>
        <v>1351.45459968</v>
      </c>
      <c r="Z31" s="285">
        <f t="shared" si="17"/>
        <v>1320.7710774784</v>
      </c>
      <c r="AA31" s="194">
        <f>'Tariff Jul 2022'!AT19</f>
        <v>5.2</v>
      </c>
      <c r="AB31" s="195">
        <f>'Tariff Jul 2022'!BL19</f>
        <v>0</v>
      </c>
      <c r="AC31" s="195" t="str">
        <f>'Tariff Jul 2022'!BM19</f>
        <v>n</v>
      </c>
      <c r="AD31" s="196">
        <f>'Tariff Jul 2022'!G19</f>
        <v>43281</v>
      </c>
      <c r="AE31" s="344"/>
      <c r="AF31" s="344"/>
      <c r="AG31" s="344"/>
      <c r="AH31" s="344"/>
      <c r="AI31" s="344"/>
      <c r="AJ31" s="344"/>
      <c r="AK31" s="344"/>
      <c r="AL31" s="344"/>
      <c r="AM31" s="344"/>
      <c r="AN31" s="344"/>
      <c r="AO31" s="344"/>
      <c r="AP31" s="344"/>
      <c r="AQ31" s="344"/>
      <c r="AR31" s="344"/>
      <c r="AS31" s="344"/>
      <c r="AT31" s="344"/>
      <c r="AU31" s="344"/>
      <c r="AV31" s="344"/>
    </row>
    <row r="32" spans="1:48" s="187" customFormat="1" x14ac:dyDescent="0.15">
      <c r="A32" s="186" t="str">
        <f>'Tariff Jul 2022'!K20</f>
        <v>EnergyAustralia</v>
      </c>
      <c r="B32" s="187" t="str">
        <f>'Tariff Jul 2022'!L20</f>
        <v>Solar Max</v>
      </c>
      <c r="C32" s="208">
        <f>IF('Tariff Jul 2022'!BP20=0,91*'Tariff Jul 2022'!M20/100,(91*'Tariff Jul 2022'!M20/100)+'Tariff Jul 2022'!BP20/4)</f>
        <v>76.894999999999996</v>
      </c>
      <c r="D32" s="208">
        <f>IF('Tariff Jul 2022'!O20="",$H$5*'Tariff Jul 2022'!N20/100,IF($H$5&gt;='Tariff Jul 2022'!P20,('Tariff Jul 2022'!P20*'Tariff Jul 2022'!N20/100),($H$5*'Tariff Jul 2022'!N20/100)))</f>
        <v>243.56837934545456</v>
      </c>
      <c r="E32" s="208">
        <f>IF(AND('Tariff Jul 2022'!P20&gt;0,'Tariff Jul 2022'!R20&gt;0),IF($H$5&lt;'Tariff Jul 2022'!P20,0,IF($H$5&lt;=('Tariff Jul 2022'!R20+'Tariff Jul 2022'!P20),(($H$5-'Tariff Jul 2022'!P20)*'Tariff Jul 2022'!Q20/100),(('Tariff Jul 2022'!R20)*'Tariff Jul 2022'!Q20/100))),0)</f>
        <v>0</v>
      </c>
      <c r="F32" s="208">
        <f>IF(AND('Tariff Jul 2022'!Q20&gt;0,'Tariff Jul 2022'!S20&gt;0),IF($H$5&lt;('Tariff Jul 2022'!R20+'Tariff Jul 2022'!P20),0,IF($H$5&lt;=('Tariff Jul 2022'!T20+'Tariff Jul 2022'!R20+'Tariff Jul 2022'!P20),(($H$5-('Tariff Jul 2022'!R20+'Tariff Jul 2022'!P20))*'Tariff Jul 2022'!S20/100),('Tariff Jul 2022'!T20*'Tariff Jul 2022'!S20/100))),0)</f>
        <v>0</v>
      </c>
      <c r="G32" s="208">
        <f>IF('Tariff Jul 2022'!T20&gt;0,IF(($H$5&lt;'Tariff Jul 2022'!T20),(0),($H$5-'Tariff Jul 2022'!T20)*'Tariff Jul 2022'!U20/100),IF(AND('Tariff Jul 2022'!R20&gt;0,'Tariff Jul 2022'!T20=""),IF(($H$5&lt;'Tariff Jul 2022'!R20),(0),($H$5-'Tariff Jul 2022'!R20)*'Tariff Jul 2022'!S20/100),IF(AND('Tariff Jul 2022'!P20&gt;0,'Tariff Jul 2022'!R20=""),IF(($H$5&lt;'Tariff Jul 2022'!P20),(0),($H$5-'Tariff Jul 2022'!P20)*'Tariff Jul 2022'!Q20/100),0)))</f>
        <v>0</v>
      </c>
      <c r="H32" s="208">
        <f>($I$5)*'Tariff Jul 2022'!AE20/100</f>
        <v>32.458472727272721</v>
      </c>
      <c r="I32" s="208">
        <f>IF((I7&lt;'Tariff Jul 2022'!AF20),(0),(I7-'Tariff Jul 2022'!AF20)*'Tariff Jul 2022'!AG20/100)</f>
        <v>0</v>
      </c>
      <c r="J32" s="208">
        <f t="shared" si="18"/>
        <v>352.92185207272723</v>
      </c>
      <c r="K32" s="283">
        <f t="shared" si="21"/>
        <v>1104.107408290909</v>
      </c>
      <c r="L32" s="283">
        <f t="shared" si="19"/>
        <v>1411.6874082909089</v>
      </c>
      <c r="M32" s="191">
        <f t="shared" si="20"/>
        <v>1552.8561491200001</v>
      </c>
      <c r="N32" s="187">
        <f>'Tariff Jul 2022'!AZ20</f>
        <v>0</v>
      </c>
      <c r="O32" s="187">
        <f>'Tariff Jul 2022'!BA20</f>
        <v>0</v>
      </c>
      <c r="P32" s="187">
        <f>'Tariff Jul 2022'!BB20</f>
        <v>0</v>
      </c>
      <c r="Q32" s="187">
        <f>'Tariff Jul 2022'!BC20</f>
        <v>0</v>
      </c>
      <c r="R32" s="192">
        <f>($F$6*'Tariff Jul 2022'!AT20/100)*4</f>
        <v>319.44320000000005</v>
      </c>
      <c r="S32" s="193" t="str">
        <f t="shared" si="11"/>
        <v>No discount</v>
      </c>
      <c r="T32" s="193" t="str">
        <f t="shared" si="12"/>
        <v>Exclusive</v>
      </c>
      <c r="U32" s="304">
        <f t="shared" si="13"/>
        <v>1411.6874082909089</v>
      </c>
      <c r="V32" s="283">
        <f t="shared" si="14"/>
        <v>1411.6874082909089</v>
      </c>
      <c r="W32" s="283">
        <f t="shared" si="15"/>
        <v>1092.2442082909088</v>
      </c>
      <c r="X32" s="283">
        <f t="shared" si="16"/>
        <v>1092.2442082909088</v>
      </c>
      <c r="Y32" s="285">
        <f t="shared" si="17"/>
        <v>1201.4686291199998</v>
      </c>
      <c r="Z32" s="285">
        <f t="shared" si="17"/>
        <v>1201.4686291199998</v>
      </c>
      <c r="AA32" s="194">
        <f>'Tariff Jul 2022'!AT20</f>
        <v>10</v>
      </c>
      <c r="AB32" s="195">
        <f>'Tariff Jul 2022'!BL20</f>
        <v>0</v>
      </c>
      <c r="AC32" s="195" t="str">
        <f>'Tariff Jul 2022'!BM20</f>
        <v>n</v>
      </c>
      <c r="AD32" s="196">
        <f>'Tariff Jul 2022'!G20</f>
        <v>43251</v>
      </c>
      <c r="AE32" s="344"/>
      <c r="AF32" s="344"/>
      <c r="AG32" s="344"/>
      <c r="AH32" s="344"/>
      <c r="AI32" s="344"/>
      <c r="AJ32" s="344"/>
      <c r="AK32" s="344"/>
      <c r="AL32" s="344"/>
      <c r="AM32" s="344"/>
      <c r="AN32" s="344"/>
      <c r="AO32" s="344"/>
      <c r="AP32" s="344"/>
      <c r="AQ32" s="344"/>
      <c r="AR32" s="344"/>
      <c r="AS32" s="344"/>
      <c r="AT32" s="344"/>
      <c r="AU32" s="344"/>
      <c r="AV32" s="344"/>
    </row>
    <row r="33" spans="1:48" s="187" customFormat="1" x14ac:dyDescent="0.15">
      <c r="A33" s="186" t="str">
        <f>'Tariff Jul 2022'!K21</f>
        <v>Lumo Energy</v>
      </c>
      <c r="B33" s="187" t="str">
        <f>'Tariff Jul 2022'!L21</f>
        <v>Plus</v>
      </c>
      <c r="C33" s="208">
        <f>IF('Tariff Jul 2022'!BP21=0,91*'Tariff Jul 2022'!M21/100,(91*'Tariff Jul 2022'!M21/100)+'Tariff Jul 2022'!BP21/4)</f>
        <v>76.580636363636344</v>
      </c>
      <c r="D33" s="208">
        <f>IF('Tariff Jul 2022'!O21="",$H$5*'Tariff Jul 2022'!N21/100,IF($H$5&gt;='Tariff Jul 2022'!P21,('Tariff Jul 2022'!P21*'Tariff Jul 2022'!N21/100),($H$5*'Tariff Jul 2022'!N21/100)))</f>
        <v>235.51867810909087</v>
      </c>
      <c r="E33" s="208">
        <f>IF(AND('Tariff Jul 2022'!P21&gt;0,'Tariff Jul 2022'!R21&gt;0),IF($H$5&lt;'Tariff Jul 2022'!P21,0,IF($H$5&lt;=('Tariff Jul 2022'!R21+'Tariff Jul 2022'!P21),(($H$5-'Tariff Jul 2022'!P21)*'Tariff Jul 2022'!Q21/100),(('Tariff Jul 2022'!R21)*'Tariff Jul 2022'!Q21/100))),0)</f>
        <v>0</v>
      </c>
      <c r="F33" s="208">
        <f>IF(AND('Tariff Jul 2022'!Q21&gt;0,'Tariff Jul 2022'!S21&gt;0),IF($H$5&lt;('Tariff Jul 2022'!R21+'Tariff Jul 2022'!P21),0,IF($H$5&lt;=('Tariff Jul 2022'!T21+'Tariff Jul 2022'!R21+'Tariff Jul 2022'!P21),(($H$5-('Tariff Jul 2022'!R21+'Tariff Jul 2022'!P21))*'Tariff Jul 2022'!S21/100),('Tariff Jul 2022'!T21*'Tariff Jul 2022'!S21/100))),0)</f>
        <v>0</v>
      </c>
      <c r="G33" s="208">
        <f>IF('Tariff Jul 2022'!T21&gt;0,IF(($H$5&lt;'Tariff Jul 2022'!T21),(0),($H$5-'Tariff Jul 2022'!T21)*'Tariff Jul 2022'!U21/100),IF(AND('Tariff Jul 2022'!R21&gt;0,'Tariff Jul 2022'!T21=""),IF(($H$5&lt;'Tariff Jul 2022'!R21),(0),($H$5-'Tariff Jul 2022'!R21)*'Tariff Jul 2022'!S21/100),IF(AND('Tariff Jul 2022'!P21&gt;0,'Tariff Jul 2022'!R21=""),IF(($H$5&lt;'Tariff Jul 2022'!P21),(0),($H$5-'Tariff Jul 2022'!P21)*'Tariff Jul 2022'!Q21/100),0)))</f>
        <v>0</v>
      </c>
      <c r="H33" s="208">
        <f>($I$5)*'Tariff Jul 2022'!AE21/100</f>
        <v>32.133887999999999</v>
      </c>
      <c r="I33" s="208">
        <v>0</v>
      </c>
      <c r="J33" s="208">
        <f t="shared" si="18"/>
        <v>344.23320247272721</v>
      </c>
      <c r="K33" s="283">
        <f t="shared" si="21"/>
        <v>1070.6102644363634</v>
      </c>
      <c r="L33" s="283">
        <f t="shared" si="19"/>
        <v>1376.9328098909089</v>
      </c>
      <c r="M33" s="191">
        <f t="shared" si="20"/>
        <v>1514.6260908799998</v>
      </c>
      <c r="N33" s="187">
        <f>'Tariff Jul 2022'!AZ21</f>
        <v>0</v>
      </c>
      <c r="O33" s="187">
        <f>'Tariff Jul 2022'!BA21</f>
        <v>0</v>
      </c>
      <c r="P33" s="187">
        <f>'Tariff Jul 2022'!BB21</f>
        <v>0</v>
      </c>
      <c r="Q33" s="187">
        <f>'Tariff Jul 2022'!BC21</f>
        <v>0</v>
      </c>
      <c r="R33" s="192">
        <f>($F$6*'Tariff Jul 2022'!AT21/100)*4</f>
        <v>95.83296</v>
      </c>
      <c r="S33" s="193" t="str">
        <f t="shared" si="11"/>
        <v>No discount</v>
      </c>
      <c r="T33" s="193" t="str">
        <f t="shared" si="12"/>
        <v>Exclusive</v>
      </c>
      <c r="U33" s="304">
        <f t="shared" si="13"/>
        <v>1376.9328098909089</v>
      </c>
      <c r="V33" s="283">
        <f t="shared" si="14"/>
        <v>1376.9328098909089</v>
      </c>
      <c r="W33" s="283">
        <f t="shared" si="15"/>
        <v>1281.0998498909089</v>
      </c>
      <c r="X33" s="283">
        <f t="shared" si="16"/>
        <v>1281.0998498909089</v>
      </c>
      <c r="Y33" s="285">
        <f t="shared" si="17"/>
        <v>1409.20983488</v>
      </c>
      <c r="Z33" s="285">
        <f t="shared" si="17"/>
        <v>1409.20983488</v>
      </c>
      <c r="AA33" s="194">
        <f>'Tariff Jul 2022'!AT21</f>
        <v>3</v>
      </c>
      <c r="AB33" s="195">
        <f>'Tariff Jul 2022'!BL21</f>
        <v>0</v>
      </c>
      <c r="AC33" s="195" t="str">
        <f>'Tariff Jul 2022'!BM21</f>
        <v>n</v>
      </c>
      <c r="AD33" s="196">
        <f>'Tariff Jul 2022'!G21</f>
        <v>43302</v>
      </c>
      <c r="AE33" s="344"/>
      <c r="AF33" s="344"/>
      <c r="AG33" s="344"/>
      <c r="AH33" s="344"/>
      <c r="AI33" s="344"/>
      <c r="AJ33" s="344"/>
      <c r="AK33" s="344"/>
      <c r="AL33" s="344"/>
      <c r="AM33" s="344"/>
      <c r="AN33" s="344"/>
      <c r="AO33" s="344"/>
      <c r="AP33" s="344"/>
      <c r="AQ33" s="344"/>
      <c r="AR33" s="344"/>
      <c r="AS33" s="344"/>
      <c r="AT33" s="344"/>
      <c r="AU33" s="344"/>
      <c r="AV33" s="344"/>
    </row>
    <row r="34" spans="1:48" s="187" customFormat="1" x14ac:dyDescent="0.15">
      <c r="A34" s="186" t="str">
        <f>'Tariff Jul 2022'!K22</f>
        <v>Origin Energy</v>
      </c>
      <c r="B34" s="187" t="str">
        <f>'Tariff Jul 2022'!L22</f>
        <v>Solar Boost</v>
      </c>
      <c r="C34" s="208">
        <f>IF('Tariff Jul 2022'!BP22=0,91*'Tariff Jul 2022'!M22/100,(91*'Tariff Jul 2022'!M22/100)+'Tariff Jul 2022'!BP22/4)</f>
        <v>79.889727272727271</v>
      </c>
      <c r="D34" s="208">
        <f>IF('Tariff Jul 2022'!O22="",$H$5*'Tariff Jul 2022'!N22/100,IF($H$5&gt;='Tariff Jul 2022'!P22,('Tariff Jul 2022'!P22*'Tariff Jul 2022'!N22/100),($H$5*'Tariff Jul 2022'!N22/100)))</f>
        <v>241.29628625454544</v>
      </c>
      <c r="E34" s="208">
        <f>IF(AND('Tariff Jul 2022'!P22&gt;0,'Tariff Jul 2022'!R22&gt;0),IF($H$5&lt;'Tariff Jul 2022'!P22,0,IF($H$5&lt;=('Tariff Jul 2022'!R22+'Tariff Jul 2022'!P22),(($H$5-'Tariff Jul 2022'!P22)*'Tariff Jul 2022'!Q22/100),(('Tariff Jul 2022'!R22)*'Tariff Jul 2022'!Q22/100))),0)</f>
        <v>0</v>
      </c>
      <c r="F34" s="208">
        <f>IF(AND('Tariff Jul 2022'!Q22&gt;0,'Tariff Jul 2022'!S22&gt;0),IF($H$5&lt;('Tariff Jul 2022'!R22+'Tariff Jul 2022'!P22),0,IF($H$5&lt;=('Tariff Jul 2022'!T22+'Tariff Jul 2022'!R22+'Tariff Jul 2022'!P22),(($H$5-('Tariff Jul 2022'!R22+'Tariff Jul 2022'!P22))*'Tariff Jul 2022'!S22/100),('Tariff Jul 2022'!T22*'Tariff Jul 2022'!S22/100))),0)</f>
        <v>0</v>
      </c>
      <c r="G34" s="208">
        <f>IF('Tariff Jul 2022'!T22&gt;0,IF(($H$5&lt;'Tariff Jul 2022'!T22),(0),($H$5-'Tariff Jul 2022'!T22)*'Tariff Jul 2022'!U22/100),IF(AND('Tariff Jul 2022'!R22&gt;0,'Tariff Jul 2022'!T22=""),IF(($H$5&lt;'Tariff Jul 2022'!R22),(0),($H$5-'Tariff Jul 2022'!R22)*'Tariff Jul 2022'!S22/100),IF(AND('Tariff Jul 2022'!P22&gt;0,'Tariff Jul 2022'!R22=""),IF(($H$5&lt;'Tariff Jul 2022'!P22),(0),($H$5-'Tariff Jul 2022'!P22)*'Tariff Jul 2022'!Q22/100),0)))</f>
        <v>0</v>
      </c>
      <c r="H34" s="208">
        <f>($I$5)*'Tariff Jul 2022'!AE22/100</f>
        <v>31.939137163636364</v>
      </c>
      <c r="I34" s="208">
        <v>0</v>
      </c>
      <c r="J34" s="208">
        <f t="shared" si="18"/>
        <v>353.12515069090909</v>
      </c>
      <c r="K34" s="283">
        <f t="shared" si="21"/>
        <v>1092.9416936727273</v>
      </c>
      <c r="L34" s="283">
        <f t="shared" si="19"/>
        <v>1412.5006027636364</v>
      </c>
      <c r="M34" s="191">
        <f t="shared" si="20"/>
        <v>1553.7506630400001</v>
      </c>
      <c r="N34" s="187">
        <f>'Tariff Jul 2022'!AZ22</f>
        <v>0</v>
      </c>
      <c r="O34" s="187">
        <f>'Tariff Jul 2022'!BA22</f>
        <v>0</v>
      </c>
      <c r="P34" s="187">
        <f>'Tariff Jul 2022'!BB22</f>
        <v>0</v>
      </c>
      <c r="Q34" s="187">
        <f>'Tariff Jul 2022'!BC22</f>
        <v>0</v>
      </c>
      <c r="R34" s="192">
        <f>($F$6*'Tariff Jul 2022'!AT22/100)*4</f>
        <v>319.44320000000005</v>
      </c>
      <c r="S34" s="193" t="str">
        <f t="shared" si="11"/>
        <v>No discount</v>
      </c>
      <c r="T34" s="193" t="str">
        <f t="shared" si="12"/>
        <v>Inclusive</v>
      </c>
      <c r="U34" s="304">
        <f t="shared" si="13"/>
        <v>1412.5006027636364</v>
      </c>
      <c r="V34" s="283">
        <f t="shared" si="14"/>
        <v>1412.5006027636364</v>
      </c>
      <c r="W34" s="283">
        <f t="shared" si="15"/>
        <v>1093.0574027636362</v>
      </c>
      <c r="X34" s="283">
        <f t="shared" si="16"/>
        <v>1093.0574027636362</v>
      </c>
      <c r="Y34" s="285">
        <f t="shared" si="17"/>
        <v>1202.3631430399998</v>
      </c>
      <c r="Z34" s="285">
        <f t="shared" si="17"/>
        <v>1202.3631430399998</v>
      </c>
      <c r="AA34" s="194">
        <f>'Tariff Jul 2022'!AT22</f>
        <v>10</v>
      </c>
      <c r="AB34" s="195">
        <f>'Tariff Jul 2022'!BL22</f>
        <v>0</v>
      </c>
      <c r="AC34" s="195" t="str">
        <f>'Tariff Jul 2022'!BM22</f>
        <v>n</v>
      </c>
      <c r="AD34" s="196">
        <f>'Tariff Jul 2022'!G22</f>
        <v>43287</v>
      </c>
      <c r="AE34" s="344"/>
      <c r="AF34" s="344"/>
      <c r="AG34" s="344"/>
      <c r="AH34" s="344"/>
      <c r="AI34" s="344"/>
      <c r="AJ34" s="344"/>
      <c r="AK34" s="344"/>
      <c r="AL34" s="344"/>
      <c r="AM34" s="344"/>
      <c r="AN34" s="344"/>
      <c r="AO34" s="344"/>
      <c r="AP34" s="344"/>
      <c r="AQ34" s="344"/>
      <c r="AR34" s="344"/>
      <c r="AS34" s="344"/>
      <c r="AT34" s="344"/>
      <c r="AU34" s="344"/>
      <c r="AV34" s="344"/>
    </row>
    <row r="35" spans="1:48" s="187" customFormat="1" x14ac:dyDescent="0.15">
      <c r="A35" s="186" t="str">
        <f>'Tariff Jul 2022'!K23</f>
        <v>Red Energy</v>
      </c>
      <c r="B35" s="187" t="str">
        <f>'Tariff Jul 2022'!L23</f>
        <v>Living Energy Saver</v>
      </c>
      <c r="C35" s="208">
        <f>IF('Tariff Jul 2022'!BP23=0,91*'Tariff Jul 2022'!M23/100,(91*'Tariff Jul 2022'!M23/100)+'Tariff Jul 2022'!BP23/4)</f>
        <v>74.62</v>
      </c>
      <c r="D35" s="208">
        <f>IF('Tariff Jul 2022'!O23="",$H$5*'Tariff Jul 2022'!N23/100,IF($H$5&gt;='Tariff Jul 2022'!P23,('Tariff Jul 2022'!P23*'Tariff Jul 2022'!N23/100),($H$5*'Tariff Jul 2022'!N23/100)))</f>
        <v>222.08087039999998</v>
      </c>
      <c r="E35" s="208">
        <f>IF(AND('Tariff Jul 2022'!P23&gt;0,'Tariff Jul 2022'!R23&gt;0),IF($H$5&lt;'Tariff Jul 2022'!P23,0,IF($H$5&lt;=('Tariff Jul 2022'!R23+'Tariff Jul 2022'!P23),(($H$5-'Tariff Jul 2022'!P23)*'Tariff Jul 2022'!Q23/100),(('Tariff Jul 2022'!R23)*'Tariff Jul 2022'!Q23/100))),0)</f>
        <v>0</v>
      </c>
      <c r="F35" s="208">
        <f>IF(AND('Tariff Jul 2022'!Q23&gt;0,'Tariff Jul 2022'!S23&gt;0),IF($H$5&lt;('Tariff Jul 2022'!R23+'Tariff Jul 2022'!P23),0,IF($H$5&lt;=('Tariff Jul 2022'!T23+'Tariff Jul 2022'!R23+'Tariff Jul 2022'!P23),(($H$5-('Tariff Jul 2022'!R23+'Tariff Jul 2022'!P23))*'Tariff Jul 2022'!S23/100),('Tariff Jul 2022'!T23*'Tariff Jul 2022'!S23/100))),0)</f>
        <v>0</v>
      </c>
      <c r="G35" s="208">
        <f>IF('Tariff Jul 2022'!T23&gt;0,IF(($H$5&lt;'Tariff Jul 2022'!T23),(0),($H$5-'Tariff Jul 2022'!T23)*'Tariff Jul 2022'!U23/100),IF(AND('Tariff Jul 2022'!R23&gt;0,'Tariff Jul 2022'!T23=""),IF(($H$5&lt;'Tariff Jul 2022'!R23),(0),($H$5-'Tariff Jul 2022'!R23)*'Tariff Jul 2022'!S23/100),IF(AND('Tariff Jul 2022'!P23&gt;0,'Tariff Jul 2022'!R23=""),IF(($H$5&lt;'Tariff Jul 2022'!P23),(0),($H$5-'Tariff Jul 2022'!P23)*'Tariff Jul 2022'!Q23/100),0)))</f>
        <v>0</v>
      </c>
      <c r="H35" s="208">
        <f>($I$5)*'Tariff Jul 2022'!AE23/100</f>
        <v>27.703306472727274</v>
      </c>
      <c r="I35" s="208">
        <v>0</v>
      </c>
      <c r="J35" s="208">
        <f t="shared" si="18"/>
        <v>324.40417687272725</v>
      </c>
      <c r="K35" s="283">
        <f t="shared" si="21"/>
        <v>999.13670749090898</v>
      </c>
      <c r="L35" s="283">
        <f t="shared" si="19"/>
        <v>1297.616707490909</v>
      </c>
      <c r="M35" s="191">
        <f t="shared" si="20"/>
        <v>1427.3783782400001</v>
      </c>
      <c r="N35" s="187">
        <f>'Tariff Jul 2022'!AZ23</f>
        <v>0</v>
      </c>
      <c r="O35" s="187">
        <f>'Tariff Jul 2022'!BA23</f>
        <v>0</v>
      </c>
      <c r="P35" s="187">
        <f>'Tariff Jul 2022'!BB23</f>
        <v>0</v>
      </c>
      <c r="Q35" s="187">
        <f>'Tariff Jul 2022'!BC23</f>
        <v>0</v>
      </c>
      <c r="R35" s="192">
        <f>($F$6*'Tariff Jul 2022'!AT23/100)*4</f>
        <v>95.83296</v>
      </c>
      <c r="S35" s="193" t="str">
        <f t="shared" si="11"/>
        <v>No discount</v>
      </c>
      <c r="T35" s="193" t="str">
        <f t="shared" si="12"/>
        <v>Inclusive</v>
      </c>
      <c r="U35" s="304">
        <f t="shared" si="13"/>
        <v>1297.616707490909</v>
      </c>
      <c r="V35" s="283">
        <f t="shared" si="14"/>
        <v>1297.616707490909</v>
      </c>
      <c r="W35" s="283">
        <f t="shared" si="15"/>
        <v>1201.783747490909</v>
      </c>
      <c r="X35" s="283">
        <f t="shared" si="16"/>
        <v>1201.783747490909</v>
      </c>
      <c r="Y35" s="285">
        <f t="shared" si="17"/>
        <v>1321.9621222400001</v>
      </c>
      <c r="Z35" s="285">
        <f t="shared" si="17"/>
        <v>1321.9621222400001</v>
      </c>
      <c r="AA35" s="194">
        <f>'Tariff Jul 2022'!AT23</f>
        <v>3</v>
      </c>
      <c r="AB35" s="195">
        <f>'Tariff Jul 2022'!BL23</f>
        <v>0</v>
      </c>
      <c r="AC35" s="195" t="str">
        <f>'Tariff Jul 2022'!BM23</f>
        <v>n</v>
      </c>
      <c r="AD35" s="196">
        <f>'Tariff Jul 2022'!G23</f>
        <v>43281</v>
      </c>
      <c r="AE35" s="344"/>
      <c r="AF35" s="344"/>
      <c r="AG35" s="344"/>
      <c r="AH35" s="344"/>
      <c r="AI35" s="344"/>
      <c r="AJ35" s="344"/>
      <c r="AK35" s="344"/>
      <c r="AL35" s="344"/>
      <c r="AM35" s="344"/>
      <c r="AN35" s="344"/>
      <c r="AO35" s="344"/>
      <c r="AP35" s="344"/>
      <c r="AQ35" s="344"/>
      <c r="AR35" s="344"/>
      <c r="AS35" s="344"/>
      <c r="AT35" s="344"/>
      <c r="AU35" s="344"/>
      <c r="AV35" s="344"/>
    </row>
    <row r="36" spans="1:48" s="187" customFormat="1" x14ac:dyDescent="0.15">
      <c r="A36" s="186" t="str">
        <f>'Tariff Jul 2022'!K24</f>
        <v>Energy Locals</v>
      </c>
      <c r="B36" s="187" t="str">
        <f>'Tariff Jul 2022'!L24</f>
        <v>Online Member</v>
      </c>
      <c r="C36" s="208">
        <f>IF('Tariff Jul 2022'!BP24=0,91*'Tariff Jul 2022'!M24/100,(91*'Tariff Jul 2022'!M24/100)+'Tariff Jul 2022'!BP24/4)</f>
        <v>101.85727272727271</v>
      </c>
      <c r="D36" s="208">
        <f>IF('Tariff Jul 2022'!O24="",$H$5*'Tariff Jul 2022'!N24/100,IF($H$5&gt;='Tariff Jul 2022'!P24,('Tariff Jul 2022'!P24*'Tariff Jul 2022'!N24/100),($H$5*'Tariff Jul 2022'!N24/100)))</f>
        <v>207.08505599999998</v>
      </c>
      <c r="E36" s="208">
        <f>IF(AND('Tariff Jul 2022'!P24&gt;0,'Tariff Jul 2022'!R24&gt;0),IF($H$5&lt;'Tariff Jul 2022'!P24,0,IF($H$5&lt;=('Tariff Jul 2022'!R24+'Tariff Jul 2022'!P24),(($H$5-'Tariff Jul 2022'!P24)*'Tariff Jul 2022'!Q24/100),(('Tariff Jul 2022'!R24)*'Tariff Jul 2022'!Q24/100))),0)</f>
        <v>0</v>
      </c>
      <c r="F36" s="208">
        <f>IF(AND('Tariff Jul 2022'!Q24&gt;0,'Tariff Jul 2022'!S24&gt;0),IF($H$5&lt;('Tariff Jul 2022'!R24+'Tariff Jul 2022'!P24),0,IF($H$5&lt;=('Tariff Jul 2022'!T24+'Tariff Jul 2022'!R24+'Tariff Jul 2022'!P24),(($H$5-('Tariff Jul 2022'!R24+'Tariff Jul 2022'!P24))*'Tariff Jul 2022'!S24/100),('Tariff Jul 2022'!T24*'Tariff Jul 2022'!S24/100))),0)</f>
        <v>0</v>
      </c>
      <c r="G36" s="208">
        <f>IF('Tariff Jul 2022'!T24&gt;0,IF(($H$5&lt;'Tariff Jul 2022'!T24),(0),($H$5-'Tariff Jul 2022'!T24)*'Tariff Jul 2022'!U24/100),IF(AND('Tariff Jul 2022'!R24&gt;0,'Tariff Jul 2022'!T24=""),IF(($H$5&lt;'Tariff Jul 2022'!R24),(0),($H$5-'Tariff Jul 2022'!R24)*'Tariff Jul 2022'!S24/100),IF(AND('Tariff Jul 2022'!P24&gt;0,'Tariff Jul 2022'!R24=""),IF(($H$5&lt;'Tariff Jul 2022'!P24),(0),($H$5-'Tariff Jul 2022'!P24)*'Tariff Jul 2022'!Q24/100),0)))</f>
        <v>0</v>
      </c>
      <c r="H36" s="208">
        <f>($I$5)*'Tariff Jul 2022'!AE24/100</f>
        <v>38.382143999999997</v>
      </c>
      <c r="I36" s="208">
        <v>0</v>
      </c>
      <c r="J36" s="208">
        <f t="shared" si="18"/>
        <v>347.32447272727268</v>
      </c>
      <c r="K36" s="283">
        <f t="shared" si="21"/>
        <v>981.86879999999985</v>
      </c>
      <c r="L36" s="283">
        <f t="shared" si="19"/>
        <v>1389.2978909090907</v>
      </c>
      <c r="M36" s="191">
        <f t="shared" si="20"/>
        <v>1528.22768</v>
      </c>
      <c r="N36" s="187">
        <f>'Tariff Jul 2022'!AZ24</f>
        <v>0</v>
      </c>
      <c r="O36" s="187">
        <f>'Tariff Jul 2022'!BA24</f>
        <v>0</v>
      </c>
      <c r="P36" s="187">
        <f>'Tariff Jul 2022'!BB24</f>
        <v>0</v>
      </c>
      <c r="Q36" s="187">
        <f>'Tariff Jul 2022'!BC24</f>
        <v>0</v>
      </c>
      <c r="R36" s="192">
        <f>($F$6*'Tariff Jul 2022'!AT24/100)*4</f>
        <v>287.49888000000004</v>
      </c>
      <c r="S36" s="193" t="str">
        <f t="shared" si="11"/>
        <v>No discount</v>
      </c>
      <c r="T36" s="193" t="str">
        <f t="shared" si="12"/>
        <v>Exclusive</v>
      </c>
      <c r="U36" s="304">
        <f t="shared" si="13"/>
        <v>1389.2978909090907</v>
      </c>
      <c r="V36" s="283">
        <f t="shared" si="14"/>
        <v>1389.2978909090907</v>
      </c>
      <c r="W36" s="283">
        <f t="shared" si="15"/>
        <v>1101.7990109090906</v>
      </c>
      <c r="X36" s="283">
        <f t="shared" si="16"/>
        <v>1101.7990109090906</v>
      </c>
      <c r="Y36" s="285">
        <f t="shared" si="17"/>
        <v>1211.9789119999998</v>
      </c>
      <c r="Z36" s="285">
        <f t="shared" si="17"/>
        <v>1211.9789119999998</v>
      </c>
      <c r="AA36" s="194">
        <f>'Tariff Jul 2022'!AT24</f>
        <v>9</v>
      </c>
      <c r="AB36" s="195">
        <f>'Tariff Jul 2022'!BL24</f>
        <v>0</v>
      </c>
      <c r="AC36" s="195" t="str">
        <f>'Tariff Jul 2022'!BM24</f>
        <v>n</v>
      </c>
      <c r="AD36" s="196">
        <f>'Tariff Jul 2022'!G24</f>
        <v>43299</v>
      </c>
      <c r="AE36" s="344"/>
      <c r="AF36" s="344"/>
      <c r="AG36" s="344"/>
      <c r="AH36" s="344"/>
      <c r="AI36" s="344"/>
      <c r="AJ36" s="344"/>
      <c r="AK36" s="344"/>
      <c r="AL36" s="344"/>
      <c r="AM36" s="344"/>
      <c r="AN36" s="344"/>
      <c r="AO36" s="344"/>
      <c r="AP36" s="344"/>
      <c r="AQ36" s="344"/>
      <c r="AR36" s="344"/>
      <c r="AS36" s="344"/>
      <c r="AT36" s="344"/>
      <c r="AU36" s="344"/>
      <c r="AV36" s="344"/>
    </row>
    <row r="37" spans="1:48" s="187" customFormat="1" x14ac:dyDescent="0.15">
      <c r="A37" s="186" t="str">
        <f>'Tariff Jul 2022'!K25</f>
        <v>Simply Energy</v>
      </c>
      <c r="B37" s="187" t="str">
        <f>'Tariff Jul 2022'!L25</f>
        <v>RAA</v>
      </c>
      <c r="C37" s="208">
        <f>IF('Tariff Jul 2022'!BP25=0,91*'Tariff Jul 2022'!M25/100,(91*'Tariff Jul 2022'!M25/100)+'Tariff Jul 2022'!BP25/4)</f>
        <v>90.826272727272737</v>
      </c>
      <c r="D37" s="208">
        <f>IF('Tariff Jul 2022'!O25="",$H$5*'Tariff Jul 2022'!N25/100,IF($H$5&gt;='Tariff Jul 2022'!P25,('Tariff Jul 2022'!P25*'Tariff Jul 2022'!N25/100),($H$5*'Tariff Jul 2022'!N25/100)))</f>
        <v>233.57116974545451</v>
      </c>
      <c r="E37" s="208">
        <f>IF(AND('Tariff Jul 2022'!P25&gt;0,'Tariff Jul 2022'!R25&gt;0),IF($H$5&lt;'Tariff Jul 2022'!P25,0,IF($H$5&lt;=('Tariff Jul 2022'!R25+'Tariff Jul 2022'!P25),(($H$5-'Tariff Jul 2022'!P25)*'Tariff Jul 2022'!Q25/100),(('Tariff Jul 2022'!R25)*'Tariff Jul 2022'!Q25/100))),0)</f>
        <v>0</v>
      </c>
      <c r="F37" s="208">
        <f>IF(AND('Tariff Jul 2022'!Q25&gt;0,'Tariff Jul 2022'!S25&gt;0),IF($H$5&lt;('Tariff Jul 2022'!R25+'Tariff Jul 2022'!P25),0,IF($H$5&lt;=('Tariff Jul 2022'!T25+'Tariff Jul 2022'!R25+'Tariff Jul 2022'!P25),(($H$5-('Tariff Jul 2022'!R25+'Tariff Jul 2022'!P25))*'Tariff Jul 2022'!S25/100),('Tariff Jul 2022'!T25*'Tariff Jul 2022'!S25/100))),0)</f>
        <v>0</v>
      </c>
      <c r="G37" s="208">
        <f>IF('Tariff Jul 2022'!T25&gt;0,IF(($H$5&lt;'Tariff Jul 2022'!T25),(0),($H$5-'Tariff Jul 2022'!T25)*'Tariff Jul 2022'!U25/100),IF(AND('Tariff Jul 2022'!R25&gt;0,'Tariff Jul 2022'!T25=""),IF(($H$5&lt;'Tariff Jul 2022'!R25),(0),($H$5-'Tariff Jul 2022'!R25)*'Tariff Jul 2022'!S25/100),IF(AND('Tariff Jul 2022'!P25&gt;0,'Tariff Jul 2022'!R25=""),IF(($H$5&lt;'Tariff Jul 2022'!P25),(0),($H$5-'Tariff Jul 2022'!P25)*'Tariff Jul 2022'!Q25/100),0)))</f>
        <v>0</v>
      </c>
      <c r="H37" s="208">
        <f>($I$5)*'Tariff Jul 2022'!AE25/100</f>
        <v>32.458472727272721</v>
      </c>
      <c r="I37" s="208">
        <v>0</v>
      </c>
      <c r="J37" s="208">
        <f t="shared" si="18"/>
        <v>356.85591519999991</v>
      </c>
      <c r="K37" s="283">
        <f t="shared" si="21"/>
        <v>1064.1185698909087</v>
      </c>
      <c r="L37" s="283">
        <f t="shared" si="19"/>
        <v>1427.4236607999997</v>
      </c>
      <c r="M37" s="191">
        <f t="shared" si="20"/>
        <v>1570.1660268799997</v>
      </c>
      <c r="N37" s="187">
        <f>'Tariff Jul 2022'!AZ25</f>
        <v>1</v>
      </c>
      <c r="O37" s="187">
        <f>'Tariff Jul 2022'!BA25</f>
        <v>0</v>
      </c>
      <c r="P37" s="187">
        <f>'Tariff Jul 2022'!BB25</f>
        <v>0</v>
      </c>
      <c r="Q37" s="187">
        <f>'Tariff Jul 2022'!BC25</f>
        <v>0</v>
      </c>
      <c r="R37" s="192">
        <f>($F$6*'Tariff Jul 2022'!AT25/100)*4</f>
        <v>191.66592</v>
      </c>
      <c r="S37" s="193" t="str">
        <f t="shared" si="11"/>
        <v>Guaranteed off bill</v>
      </c>
      <c r="T37" s="193" t="str">
        <f t="shared" si="12"/>
        <v>Exclusive</v>
      </c>
      <c r="U37" s="304">
        <f t="shared" si="13"/>
        <v>1413.1494241919997</v>
      </c>
      <c r="V37" s="283">
        <f t="shared" si="14"/>
        <v>1413.1494241919997</v>
      </c>
      <c r="W37" s="283">
        <f t="shared" si="15"/>
        <v>1221.4835041919998</v>
      </c>
      <c r="X37" s="283">
        <f t="shared" si="16"/>
        <v>1221.4835041919998</v>
      </c>
      <c r="Y37" s="285">
        <f t="shared" si="17"/>
        <v>1343.6318546112</v>
      </c>
      <c r="Z37" s="285">
        <f t="shared" si="17"/>
        <v>1343.6318546112</v>
      </c>
      <c r="AA37" s="194">
        <f>'Tariff Jul 2022'!AT25</f>
        <v>6</v>
      </c>
      <c r="AB37" s="195">
        <f>'Tariff Jul 2022'!BL25</f>
        <v>0</v>
      </c>
      <c r="AC37" s="195" t="str">
        <f>'Tariff Jul 2022'!BM25</f>
        <v>n</v>
      </c>
      <c r="AD37" s="196">
        <f>'Tariff Jul 2022'!G25</f>
        <v>43281</v>
      </c>
      <c r="AE37" s="344"/>
      <c r="AF37" s="344"/>
      <c r="AG37" s="344"/>
      <c r="AH37" s="344"/>
      <c r="AI37" s="344"/>
      <c r="AJ37" s="344"/>
      <c r="AK37" s="344"/>
      <c r="AL37" s="344"/>
      <c r="AM37" s="344"/>
      <c r="AN37" s="344"/>
      <c r="AO37" s="344"/>
      <c r="AP37" s="344"/>
      <c r="AQ37" s="344"/>
      <c r="AR37" s="344"/>
      <c r="AS37" s="344"/>
      <c r="AT37" s="344"/>
      <c r="AU37" s="344"/>
      <c r="AV37" s="344"/>
    </row>
    <row r="38" spans="1:48" s="187" customFormat="1" x14ac:dyDescent="0.15">
      <c r="A38" s="186" t="str">
        <f>'Tariff Jul 2022'!K26</f>
        <v>Powershop</v>
      </c>
      <c r="B38" s="187" t="str">
        <f>'Tariff Jul 2022'!L26</f>
        <v>Carbon neutral</v>
      </c>
      <c r="C38" s="208">
        <f>IF('Tariff Jul 2022'!BP26=0,91*'Tariff Jul 2022'!M26/100,(91*'Tariff Jul 2022'!M26/100)+'Tariff Jul 2022'!BP26/4)</f>
        <v>105.34490909090908</v>
      </c>
      <c r="D38" s="208">
        <f>IF('Tariff Jul 2022'!O26="",$H$5*'Tariff Jul 2022'!N26/100,IF($H$5&gt;='Tariff Jul 2022'!P26,('Tariff Jul 2022'!P26*'Tariff Jul 2022'!N26/100),($H$5*'Tariff Jul 2022'!N26/100)))</f>
        <v>216.56293003636361</v>
      </c>
      <c r="E38" s="208">
        <f>IF(AND('Tariff Jul 2022'!P26&gt;0,'Tariff Jul 2022'!R26&gt;0),IF($H$5&lt;'Tariff Jul 2022'!P26,0,IF($H$5&lt;=('Tariff Jul 2022'!R26+'Tariff Jul 2022'!P26),(($H$5-'Tariff Jul 2022'!P26)*'Tariff Jul 2022'!Q26/100),(('Tariff Jul 2022'!R26)*'Tariff Jul 2022'!Q26/100))),0)</f>
        <v>0</v>
      </c>
      <c r="F38" s="208">
        <f>IF(AND('Tariff Jul 2022'!Q26&gt;0,'Tariff Jul 2022'!S26&gt;0),IF($H$5&lt;('Tariff Jul 2022'!R26+'Tariff Jul 2022'!P26),0,IF($H$5&lt;=('Tariff Jul 2022'!T26+'Tariff Jul 2022'!R26+'Tariff Jul 2022'!P26),(($H$5-('Tariff Jul 2022'!R26+'Tariff Jul 2022'!P26))*'Tariff Jul 2022'!S26/100),('Tariff Jul 2022'!T26*'Tariff Jul 2022'!S26/100))),0)</f>
        <v>0</v>
      </c>
      <c r="G38" s="208">
        <f>IF('Tariff Jul 2022'!T26&gt;0,IF(($H$5&lt;'Tariff Jul 2022'!T26),(0),($H$5-'Tariff Jul 2022'!T26)*'Tariff Jul 2022'!U26/100),IF(AND('Tariff Jul 2022'!R26&gt;0,'Tariff Jul 2022'!T26=""),IF(($H$5&lt;'Tariff Jul 2022'!R26),(0),($H$5-'Tariff Jul 2022'!R26)*'Tariff Jul 2022'!S26/100),IF(AND('Tariff Jul 2022'!P26&gt;0,'Tariff Jul 2022'!R26=""),IF(($H$5&lt;'Tariff Jul 2022'!P26),(0),($H$5-'Tariff Jul 2022'!P26)*'Tariff Jul 2022'!Q26/100),0)))</f>
        <v>0</v>
      </c>
      <c r="H38" s="208">
        <f>($I$5)*'Tariff Jul 2022'!AE26/100</f>
        <v>32.945349818181818</v>
      </c>
      <c r="I38" s="208">
        <v>0</v>
      </c>
      <c r="J38" s="208">
        <f t="shared" si="18"/>
        <v>354.85318894545452</v>
      </c>
      <c r="K38" s="283">
        <f t="shared" si="21"/>
        <v>998.03311941818174</v>
      </c>
      <c r="L38" s="283">
        <f t="shared" si="19"/>
        <v>1419.4127557818181</v>
      </c>
      <c r="M38" s="191">
        <f t="shared" si="20"/>
        <v>1561.3540313599999</v>
      </c>
      <c r="N38" s="187">
        <f>'Tariff Jul 2022'!AZ26</f>
        <v>0</v>
      </c>
      <c r="O38" s="187">
        <f>'Tariff Jul 2022'!BA26</f>
        <v>0</v>
      </c>
      <c r="P38" s="187">
        <f>'Tariff Jul 2022'!BB26</f>
        <v>0</v>
      </c>
      <c r="Q38" s="187">
        <f>'Tariff Jul 2022'!BC26</f>
        <v>0</v>
      </c>
      <c r="R38" s="192">
        <f>($F$6*'Tariff Jul 2022'!AT26/100)*4</f>
        <v>95.83296</v>
      </c>
      <c r="S38" s="193" t="str">
        <f t="shared" si="11"/>
        <v>No discount</v>
      </c>
      <c r="T38" s="193" t="str">
        <f t="shared" si="12"/>
        <v>Inclusive</v>
      </c>
      <c r="U38" s="304">
        <f t="shared" si="13"/>
        <v>1419.4127557818181</v>
      </c>
      <c r="V38" s="283">
        <f t="shared" si="14"/>
        <v>1419.4127557818181</v>
      </c>
      <c r="W38" s="283">
        <f t="shared" si="15"/>
        <v>1323.5797957818181</v>
      </c>
      <c r="X38" s="283">
        <f t="shared" si="16"/>
        <v>1323.5797957818181</v>
      </c>
      <c r="Y38" s="285">
        <f t="shared" si="17"/>
        <v>1455.9377753600002</v>
      </c>
      <c r="Z38" s="285">
        <f t="shared" si="17"/>
        <v>1455.9377753600002</v>
      </c>
      <c r="AA38" s="194">
        <f>'Tariff Jul 2022'!AT26</f>
        <v>3</v>
      </c>
      <c r="AB38" s="195">
        <f>'Tariff Jul 2022'!BL26</f>
        <v>0</v>
      </c>
      <c r="AC38" s="195" t="str">
        <f>'Tariff Jul 2022'!BM26</f>
        <v>n</v>
      </c>
      <c r="AD38" s="196">
        <f>'Tariff Jul 2022'!G26</f>
        <v>43266</v>
      </c>
      <c r="AE38" s="344"/>
      <c r="AF38" s="344"/>
      <c r="AG38" s="344"/>
      <c r="AH38" s="344"/>
      <c r="AI38" s="344"/>
      <c r="AJ38" s="344"/>
      <c r="AK38" s="344"/>
      <c r="AL38" s="344"/>
      <c r="AM38" s="344"/>
      <c r="AN38" s="344"/>
      <c r="AO38" s="344"/>
      <c r="AP38" s="344"/>
      <c r="AQ38" s="344"/>
      <c r="AR38" s="344"/>
      <c r="AS38" s="344"/>
      <c r="AT38" s="344"/>
      <c r="AU38" s="344"/>
      <c r="AV38" s="344"/>
    </row>
    <row r="39" spans="1:48" s="187" customFormat="1" x14ac:dyDescent="0.15">
      <c r="A39" s="186" t="str">
        <f>'Tariff Jul 2022'!K27</f>
        <v>Amber Electric</v>
      </c>
      <c r="B39" s="187" t="str">
        <f>'Tariff Jul 2022'!L27</f>
        <v>Amber Plan</v>
      </c>
      <c r="C39" s="208">
        <f>IF('Tariff Jul 2022'!BP27=0,91*'Tariff Jul 2022'!M27/100,(91*'Tariff Jul 2022'!M27/100)+'Tariff Jul 2022'!BP27/4)</f>
        <v>135.55736363636362</v>
      </c>
      <c r="D39" s="208">
        <f>IF('Tariff Jul 2022'!O27="",$H$5*'Tariff Jul 2022'!N27/100,IF($H$5&gt;='Tariff Jul 2022'!P27,('Tariff Jul 2022'!P27*'Tariff Jul 2022'!N27/100),($H$5*'Tariff Jul 2022'!N27/100)))</f>
        <v>265.89980858181821</v>
      </c>
      <c r="E39" s="208">
        <f>IF(AND('Tariff Jul 2022'!P27&gt;0,'Tariff Jul 2022'!R27&gt;0),IF($H$5&lt;'Tariff Jul 2022'!P27,0,IF($H$5&lt;=('Tariff Jul 2022'!R27+'Tariff Jul 2022'!P27),(($H$5-'Tariff Jul 2022'!P27)*'Tariff Jul 2022'!Q27/100),(('Tariff Jul 2022'!R27)*'Tariff Jul 2022'!Q27/100))),0)</f>
        <v>0</v>
      </c>
      <c r="F39" s="208">
        <f>IF(AND('Tariff Jul 2022'!Q27&gt;0,'Tariff Jul 2022'!S27&gt;0),IF($H$5&lt;('Tariff Jul 2022'!R27+'Tariff Jul 2022'!P27),0,IF($H$5&lt;=('Tariff Jul 2022'!T27+'Tariff Jul 2022'!R27+'Tariff Jul 2022'!P27),(($H$5-('Tariff Jul 2022'!R27+'Tariff Jul 2022'!P27))*'Tariff Jul 2022'!S27/100),('Tariff Jul 2022'!T27*'Tariff Jul 2022'!S27/100))),0)</f>
        <v>0</v>
      </c>
      <c r="G39" s="208">
        <f>IF('Tariff Jul 2022'!T27&gt;0,IF(($H$5&lt;'Tariff Jul 2022'!T27),(0),($H$5-'Tariff Jul 2022'!T27)*'Tariff Jul 2022'!U27/100),IF(AND('Tariff Jul 2022'!R27&gt;0,'Tariff Jul 2022'!T27=""),IF(($H$5&lt;'Tariff Jul 2022'!R27),(0),($H$5-'Tariff Jul 2022'!R27)*'Tariff Jul 2022'!S27/100),IF(AND('Tariff Jul 2022'!P27&gt;0,'Tariff Jul 2022'!R27=""),IF(($H$5&lt;'Tariff Jul 2022'!P27),(0),($H$5-'Tariff Jul 2022'!P27)*'Tariff Jul 2022'!Q27/100),0)))</f>
        <v>0</v>
      </c>
      <c r="H39" s="208">
        <f>($I$5)*'Tariff Jul 2022'!AE27/100</f>
        <v>47.470516363636364</v>
      </c>
      <c r="I39" s="208">
        <v>0</v>
      </c>
      <c r="J39" s="208">
        <f t="shared" si="18"/>
        <v>448.92768858181819</v>
      </c>
      <c r="K39" s="283">
        <f t="shared" si="21"/>
        <v>1253.4812997818183</v>
      </c>
      <c r="L39" s="283">
        <f t="shared" si="19"/>
        <v>1795.7107543272728</v>
      </c>
      <c r="M39" s="191">
        <f t="shared" si="20"/>
        <v>1975.2818297600002</v>
      </c>
      <c r="N39" s="187">
        <f>'Tariff Jul 2022'!AZ27</f>
        <v>0</v>
      </c>
      <c r="O39" s="187">
        <f>'Tariff Jul 2022'!BA27</f>
        <v>0</v>
      </c>
      <c r="P39" s="187">
        <f>'Tariff Jul 2022'!BB27</f>
        <v>0</v>
      </c>
      <c r="Q39" s="187">
        <f>'Tariff Jul 2022'!BC27</f>
        <v>0</v>
      </c>
      <c r="R39" s="192">
        <f>($F$6*'Tariff Jul 2022'!AT27/100)*4</f>
        <v>0</v>
      </c>
      <c r="S39" s="193" t="str">
        <f t="shared" si="11"/>
        <v>No discount</v>
      </c>
      <c r="T39" s="193" t="str">
        <f t="shared" si="12"/>
        <v>Exclusive</v>
      </c>
      <c r="U39" s="304">
        <f t="shared" si="13"/>
        <v>1795.7107543272728</v>
      </c>
      <c r="V39" s="283">
        <f t="shared" si="14"/>
        <v>1795.7107543272728</v>
      </c>
      <c r="W39" s="283">
        <f t="shared" si="15"/>
        <v>1795.7107543272728</v>
      </c>
      <c r="X39" s="283">
        <f t="shared" si="16"/>
        <v>1795.7107543272728</v>
      </c>
      <c r="Y39" s="285">
        <f t="shared" si="17"/>
        <v>1975.2818297600002</v>
      </c>
      <c r="Z39" s="285">
        <f t="shared" si="17"/>
        <v>1975.2818297600002</v>
      </c>
      <c r="AA39" s="194">
        <f>'Tariff Jul 2022'!AT27</f>
        <v>0</v>
      </c>
      <c r="AB39" s="195">
        <f>'Tariff Jul 2022'!BL27</f>
        <v>0</v>
      </c>
      <c r="AC39" s="195" t="str">
        <f>'Tariff Jul 2022'!BM27</f>
        <v>n</v>
      </c>
      <c r="AD39" s="196">
        <f>'Tariff Jul 2022'!G27</f>
        <v>43281</v>
      </c>
      <c r="AE39" s="344"/>
      <c r="AF39" s="344"/>
      <c r="AG39" s="344"/>
      <c r="AH39" s="344"/>
      <c r="AI39" s="344"/>
      <c r="AJ39" s="344"/>
      <c r="AK39" s="344"/>
      <c r="AL39" s="344"/>
      <c r="AM39" s="344"/>
      <c r="AN39" s="344"/>
      <c r="AO39" s="344"/>
      <c r="AP39" s="344"/>
      <c r="AQ39" s="344"/>
      <c r="AR39" s="344"/>
      <c r="AS39" s="344"/>
      <c r="AT39" s="344"/>
      <c r="AU39" s="344"/>
      <c r="AV39" s="344"/>
    </row>
    <row r="40" spans="1:48" s="187" customFormat="1" x14ac:dyDescent="0.15">
      <c r="A40" s="186" t="str">
        <f>'Tariff Jul 2022'!K28</f>
        <v>GloBird Energy</v>
      </c>
      <c r="B40" s="187" t="str">
        <f>'Tariff Jul 2022'!L28</f>
        <v>GloSave</v>
      </c>
      <c r="C40" s="208">
        <f>IF('Tariff Jul 2022'!BP28=0,91*'Tariff Jul 2022'!M28/100,(91*'Tariff Jul 2022'!M28/100)+'Tariff Jul 2022'!BP28/4)</f>
        <v>81.899999999999991</v>
      </c>
      <c r="D40" s="208">
        <f>IF('Tariff Jul 2022'!O28="",$H$5*'Tariff Jul 2022'!N28/100,IF($H$5&gt;='Tariff Jul 2022'!P28,('Tariff Jul 2022'!P28*'Tariff Jul 2022'!N28/100),($H$5*'Tariff Jul 2022'!N28/100)))</f>
        <v>349.90233599999999</v>
      </c>
      <c r="E40" s="208">
        <f>IF(AND('Tariff Jul 2022'!P28&gt;0,'Tariff Jul 2022'!R28&gt;0),IF($H$5&lt;'Tariff Jul 2022'!P28,0,IF($H$5&lt;=('Tariff Jul 2022'!R28+'Tariff Jul 2022'!P28),(($H$5-'Tariff Jul 2022'!P28)*'Tariff Jul 2022'!Q28/100),(('Tariff Jul 2022'!R28)*'Tariff Jul 2022'!Q28/100))),0)</f>
        <v>0</v>
      </c>
      <c r="F40" s="208">
        <f>IF(AND('Tariff Jul 2022'!Q28&gt;0,'Tariff Jul 2022'!S28&gt;0),IF($H$5&lt;('Tariff Jul 2022'!R28+'Tariff Jul 2022'!P28),0,IF($H$5&lt;=('Tariff Jul 2022'!T28+'Tariff Jul 2022'!R28+'Tariff Jul 2022'!P28),(($H$5-('Tariff Jul 2022'!R28+'Tariff Jul 2022'!P28))*'Tariff Jul 2022'!S28/100),('Tariff Jul 2022'!T28*'Tariff Jul 2022'!S28/100))),0)</f>
        <v>0</v>
      </c>
      <c r="G40" s="208">
        <f>IF('Tariff Jul 2022'!T28&gt;0,IF(($H$5&lt;'Tariff Jul 2022'!T28),(0),($H$5-'Tariff Jul 2022'!T28)*'Tariff Jul 2022'!U28/100),IF(AND('Tariff Jul 2022'!R28&gt;0,'Tariff Jul 2022'!T28=""),IF(($H$5&lt;'Tariff Jul 2022'!R28),(0),($H$5-'Tariff Jul 2022'!R28)*'Tariff Jul 2022'!S28/100),IF(AND('Tariff Jul 2022'!P28&gt;0,'Tariff Jul 2022'!R28=""),IF(($H$5&lt;'Tariff Jul 2022'!P28),(0),($H$5-'Tariff Jul 2022'!P28)*'Tariff Jul 2022'!Q28/100),0)))</f>
        <v>0</v>
      </c>
      <c r="H40" s="208">
        <f>($I$5)*'Tariff Jul 2022'!AE28/100</f>
        <v>74.979072000000002</v>
      </c>
      <c r="I40" s="208">
        <v>0</v>
      </c>
      <c r="J40" s="208">
        <f t="shared" si="18"/>
        <v>506.78140799999994</v>
      </c>
      <c r="K40" s="283">
        <f t="shared" si="21"/>
        <v>1699.5256319999999</v>
      </c>
      <c r="L40" s="283">
        <f t="shared" si="19"/>
        <v>2027.1256319999998</v>
      </c>
      <c r="M40" s="191">
        <f t="shared" si="20"/>
        <v>2229.8381952</v>
      </c>
      <c r="N40" s="187">
        <f>'Tariff Jul 2022'!AZ28</f>
        <v>0</v>
      </c>
      <c r="O40" s="187">
        <f>'Tariff Jul 2022'!BA28</f>
        <v>0</v>
      </c>
      <c r="P40" s="187">
        <f>'Tariff Jul 2022'!BB28</f>
        <v>0</v>
      </c>
      <c r="Q40" s="187">
        <f>'Tariff Jul 2022'!BC28</f>
        <v>0</v>
      </c>
      <c r="R40" s="192">
        <f>($F$6*'Tariff Jul 2022'!AT28/100)*4</f>
        <v>31.944320000000001</v>
      </c>
      <c r="S40" s="193" t="str">
        <f t="shared" si="11"/>
        <v>No discount</v>
      </c>
      <c r="T40" s="193" t="str">
        <f t="shared" si="12"/>
        <v>Exclusive</v>
      </c>
      <c r="U40" s="304">
        <f t="shared" si="13"/>
        <v>2027.1256319999998</v>
      </c>
      <c r="V40" s="283">
        <f t="shared" si="14"/>
        <v>2027.1256319999998</v>
      </c>
      <c r="W40" s="283">
        <f t="shared" si="15"/>
        <v>1995.1813119999997</v>
      </c>
      <c r="X40" s="283">
        <f t="shared" si="16"/>
        <v>1995.1813119999997</v>
      </c>
      <c r="Y40" s="285">
        <f t="shared" si="17"/>
        <v>2194.6994431999997</v>
      </c>
      <c r="Z40" s="285">
        <f t="shared" si="17"/>
        <v>2194.6994431999997</v>
      </c>
      <c r="AA40" s="194">
        <f>'Tariff Jul 2022'!AT28</f>
        <v>1</v>
      </c>
      <c r="AB40" s="195">
        <f>'Tariff Jul 2022'!BL28</f>
        <v>0</v>
      </c>
      <c r="AC40" s="195" t="str">
        <f>'Tariff Jul 2022'!BM28</f>
        <v>n</v>
      </c>
      <c r="AD40" s="196">
        <f>'Tariff Jul 2022'!G28</f>
        <v>43252</v>
      </c>
      <c r="AE40" s="344"/>
      <c r="AF40" s="344"/>
      <c r="AG40" s="344"/>
      <c r="AH40" s="344"/>
      <c r="AI40" s="344"/>
      <c r="AJ40" s="344"/>
      <c r="AK40" s="344"/>
      <c r="AL40" s="344"/>
      <c r="AM40" s="344"/>
      <c r="AN40" s="344"/>
      <c r="AO40" s="344"/>
      <c r="AP40" s="344"/>
      <c r="AQ40" s="344"/>
      <c r="AR40" s="344"/>
      <c r="AS40" s="344"/>
      <c r="AT40" s="344"/>
      <c r="AU40" s="344"/>
      <c r="AV40" s="344"/>
    </row>
    <row r="41" spans="1:48" s="187" customFormat="1" x14ac:dyDescent="0.15">
      <c r="A41" s="186" t="str">
        <f>'Tariff Jul 2022'!K29</f>
        <v>Kogan Energy</v>
      </c>
      <c r="B41" s="187" t="str">
        <f>'Tariff Jul 2022'!L29</f>
        <v>Free Kogan First Membership</v>
      </c>
      <c r="C41" s="208">
        <f>IF('Tariff Jul 2022'!BP29=0,91*'Tariff Jul 2022'!M29/100,(91*'Tariff Jul 2022'!M29/100)+'Tariff Jul 2022'!BP29/4)</f>
        <v>100.646</v>
      </c>
      <c r="D41" s="208">
        <f>IF('Tariff Jul 2022'!O29="",$H$5*'Tariff Jul 2022'!N29/100,IF($H$5&gt;='Tariff Jul 2022'!P29,('Tariff Jul 2022'!P29*'Tariff Jul 2022'!N29/100),($H$5*'Tariff Jul 2022'!N29/100)))</f>
        <v>222.27562123636363</v>
      </c>
      <c r="E41" s="208">
        <f>IF(AND('Tariff Jul 2022'!P29&gt;0,'Tariff Jul 2022'!R29&gt;0),IF($H$5&lt;'Tariff Jul 2022'!P29,0,IF($H$5&lt;=('Tariff Jul 2022'!R29+'Tariff Jul 2022'!P29),(($H$5-'Tariff Jul 2022'!P29)*'Tariff Jul 2022'!Q29/100),(('Tariff Jul 2022'!R29)*'Tariff Jul 2022'!Q29/100))),0)</f>
        <v>0</v>
      </c>
      <c r="F41" s="208">
        <f>IF(AND('Tariff Jul 2022'!Q29&gt;0,'Tariff Jul 2022'!S29&gt;0),IF($H$5&lt;('Tariff Jul 2022'!R29+'Tariff Jul 2022'!P29),0,IF($H$5&lt;=('Tariff Jul 2022'!T29+'Tariff Jul 2022'!R29+'Tariff Jul 2022'!P29),(($H$5-('Tariff Jul 2022'!R29+'Tariff Jul 2022'!P29))*'Tariff Jul 2022'!S29/100),('Tariff Jul 2022'!T29*'Tariff Jul 2022'!S29/100))),0)</f>
        <v>0</v>
      </c>
      <c r="G41" s="208">
        <f>IF('Tariff Jul 2022'!T29&gt;0,IF(($H$5&lt;'Tariff Jul 2022'!T29),(0),($H$5-'Tariff Jul 2022'!T29)*'Tariff Jul 2022'!U29/100),IF(AND('Tariff Jul 2022'!R29&gt;0,'Tariff Jul 2022'!T29=""),IF(($H$5&lt;'Tariff Jul 2022'!R29),(0),($H$5-'Tariff Jul 2022'!R29)*'Tariff Jul 2022'!S29/100),IF(AND('Tariff Jul 2022'!P29&gt;0,'Tariff Jul 2022'!R29=""),IF(($H$5&lt;'Tariff Jul 2022'!P29),(0),($H$5-'Tariff Jul 2022'!P29)*'Tariff Jul 2022'!Q29/100),0)))</f>
        <v>0</v>
      </c>
      <c r="H41" s="208">
        <f>($I$5)*'Tariff Jul 2022'!AE29/100</f>
        <v>43.591728872727273</v>
      </c>
      <c r="I41" s="208">
        <v>0</v>
      </c>
      <c r="J41" s="208">
        <f t="shared" si="18"/>
        <v>366.51335010909094</v>
      </c>
      <c r="K41" s="283">
        <f t="shared" si="21"/>
        <v>1063.4694004363637</v>
      </c>
      <c r="L41" s="283">
        <f t="shared" si="19"/>
        <v>1466.0534004363637</v>
      </c>
      <c r="M41" s="191">
        <f t="shared" si="20"/>
        <v>1612.6587404800002</v>
      </c>
      <c r="N41" s="187">
        <f>'Tariff Jul 2022'!AZ29</f>
        <v>0</v>
      </c>
      <c r="O41" s="187">
        <f>'Tariff Jul 2022'!BA29</f>
        <v>0</v>
      </c>
      <c r="P41" s="187">
        <f>'Tariff Jul 2022'!BB29</f>
        <v>0</v>
      </c>
      <c r="Q41" s="187">
        <f>'Tariff Jul 2022'!BC29</f>
        <v>0</v>
      </c>
      <c r="R41" s="192">
        <f>($F$6*'Tariff Jul 2022'!AT29/100)*4</f>
        <v>65.805299200000007</v>
      </c>
      <c r="S41" s="193" t="str">
        <f t="shared" si="11"/>
        <v>No discount</v>
      </c>
      <c r="T41" s="193" t="str">
        <f t="shared" si="12"/>
        <v>Exclusive</v>
      </c>
      <c r="U41" s="304">
        <f t="shared" si="13"/>
        <v>1466.0534004363637</v>
      </c>
      <c r="V41" s="283">
        <f t="shared" si="14"/>
        <v>1466.0534004363637</v>
      </c>
      <c r="W41" s="283">
        <f t="shared" si="15"/>
        <v>1400.2481012363637</v>
      </c>
      <c r="X41" s="283">
        <f t="shared" si="16"/>
        <v>1400.2481012363637</v>
      </c>
      <c r="Y41" s="285">
        <f t="shared" si="17"/>
        <v>1540.2729113600003</v>
      </c>
      <c r="Z41" s="285">
        <f t="shared" si="17"/>
        <v>1540.2729113600003</v>
      </c>
      <c r="AA41" s="194">
        <f>'Tariff Jul 2022'!AT29</f>
        <v>2.06</v>
      </c>
      <c r="AB41" s="195">
        <f>'Tariff Jul 2022'!BL29</f>
        <v>0</v>
      </c>
      <c r="AC41" s="195" t="str">
        <f>'Tariff Jul 2022'!BM29</f>
        <v>n</v>
      </c>
      <c r="AD41" s="196">
        <f>'Tariff Jul 2022'!G29</f>
        <v>43266</v>
      </c>
      <c r="AE41" s="344"/>
      <c r="AF41" s="344"/>
      <c r="AG41" s="344"/>
      <c r="AH41" s="344"/>
      <c r="AI41" s="344"/>
      <c r="AJ41" s="344"/>
      <c r="AK41" s="344"/>
      <c r="AL41" s="344"/>
      <c r="AM41" s="344"/>
      <c r="AN41" s="344"/>
      <c r="AO41" s="344"/>
      <c r="AP41" s="344"/>
      <c r="AQ41" s="344"/>
      <c r="AR41" s="344"/>
      <c r="AS41" s="344"/>
      <c r="AT41" s="344"/>
      <c r="AU41" s="344"/>
      <c r="AV41" s="344"/>
    </row>
    <row r="42" spans="1:48" s="187" customFormat="1" x14ac:dyDescent="0.15">
      <c r="A42" s="186" t="str">
        <f>'Tariff Jul 2022'!K30</f>
        <v>ReAmped Energy</v>
      </c>
      <c r="B42" s="187" t="str">
        <f>'Tariff Jul 2022'!L30</f>
        <v>Solar</v>
      </c>
      <c r="C42" s="208">
        <f>IF('Tariff Jul 2022'!BP30=0,91*'Tariff Jul 2022'!M30/100,(91*'Tariff Jul 2022'!M30/100)+'Tariff Jul 2022'!BP30/4)</f>
        <v>94.085727272727269</v>
      </c>
      <c r="D42" s="208">
        <f>IF('Tariff Jul 2022'!O30="",$H$5*'Tariff Jul 2022'!N30/100,IF($H$5&gt;='Tariff Jul 2022'!P30,('Tariff Jul 2022'!P30*'Tariff Jul 2022'!N30/100),($H$5*'Tariff Jul 2022'!N30/100)))</f>
        <v>284.01163636363634</v>
      </c>
      <c r="E42" s="208">
        <f>IF(AND('Tariff Jul 2022'!P30&gt;0,'Tariff Jul 2022'!R30&gt;0),IF($H$5&lt;'Tariff Jul 2022'!P30,0,IF($H$5&lt;=('Tariff Jul 2022'!R30+'Tariff Jul 2022'!P30),(($H$5-'Tariff Jul 2022'!P30)*'Tariff Jul 2022'!Q30/100),(('Tariff Jul 2022'!R30)*'Tariff Jul 2022'!Q30/100))),0)</f>
        <v>0</v>
      </c>
      <c r="F42" s="208">
        <f>IF(AND('Tariff Jul 2022'!Q30&gt;0,'Tariff Jul 2022'!S30&gt;0),IF($H$5&lt;('Tariff Jul 2022'!R30+'Tariff Jul 2022'!P30),0,IF($H$5&lt;=('Tariff Jul 2022'!T30+'Tariff Jul 2022'!R30+'Tariff Jul 2022'!P30),(($H$5-('Tariff Jul 2022'!R30+'Tariff Jul 2022'!P30))*'Tariff Jul 2022'!S30/100),('Tariff Jul 2022'!T30*'Tariff Jul 2022'!S30/100))),0)</f>
        <v>0</v>
      </c>
      <c r="G42" s="208">
        <f>IF('Tariff Jul 2022'!T30&gt;0,IF(($H$5&lt;'Tariff Jul 2022'!T30),(0),($H$5-'Tariff Jul 2022'!T30)*'Tariff Jul 2022'!U30/100),IF(AND('Tariff Jul 2022'!R30&gt;0,'Tariff Jul 2022'!T30=""),IF(($H$5&lt;'Tariff Jul 2022'!R30),(0),($H$5-'Tariff Jul 2022'!R30)*'Tariff Jul 2022'!S30/100),IF(AND('Tariff Jul 2022'!P30&gt;0,'Tariff Jul 2022'!R30=""),IF(($H$5&lt;'Tariff Jul 2022'!P30),(0),($H$5-'Tariff Jul 2022'!P30)*'Tariff Jul 2022'!Q30/100),0)))</f>
        <v>0</v>
      </c>
      <c r="H42" s="208">
        <f>($I$5)*'Tariff Jul 2022'!AE30/100</f>
        <v>57.792310690909083</v>
      </c>
      <c r="I42" s="208">
        <v>0</v>
      </c>
      <c r="J42" s="208">
        <f t="shared" ref="J42:J43" si="22">SUM(C42:I42)</f>
        <v>435.8896743272727</v>
      </c>
      <c r="K42" s="283">
        <f t="shared" si="21"/>
        <v>1367.2157882181818</v>
      </c>
      <c r="L42" s="283">
        <f t="shared" si="19"/>
        <v>1743.5586973090908</v>
      </c>
      <c r="M42" s="191">
        <f t="shared" si="20"/>
        <v>1917.9145670400001</v>
      </c>
      <c r="N42" s="187">
        <f>'Tariff Jul 2022'!AZ30</f>
        <v>0</v>
      </c>
      <c r="O42" s="187">
        <f>'Tariff Jul 2022'!BA30</f>
        <v>0</v>
      </c>
      <c r="P42" s="187">
        <f>'Tariff Jul 2022'!BB30</f>
        <v>0</v>
      </c>
      <c r="Q42" s="187">
        <f>'Tariff Jul 2022'!BC30</f>
        <v>0</v>
      </c>
      <c r="R42" s="192">
        <f>($F$6*'Tariff Jul 2022'!AT30/100)*4</f>
        <v>0</v>
      </c>
      <c r="S42" s="193" t="str">
        <f t="shared" si="11"/>
        <v>No discount</v>
      </c>
      <c r="T42" s="193" t="str">
        <f t="shared" si="12"/>
        <v>Exclusive</v>
      </c>
      <c r="U42" s="304">
        <f t="shared" si="13"/>
        <v>1743.5586973090908</v>
      </c>
      <c r="V42" s="283">
        <f t="shared" si="14"/>
        <v>1743.5586973090908</v>
      </c>
      <c r="W42" s="283">
        <f t="shared" si="15"/>
        <v>1743.5586973090908</v>
      </c>
      <c r="X42" s="283">
        <f t="shared" si="16"/>
        <v>1743.5586973090908</v>
      </c>
      <c r="Y42" s="285">
        <f t="shared" si="17"/>
        <v>1917.9145670400001</v>
      </c>
      <c r="Z42" s="285">
        <f t="shared" si="17"/>
        <v>1917.9145670400001</v>
      </c>
      <c r="AA42" s="194">
        <f>'Tariff Jul 2022'!AT30</f>
        <v>0</v>
      </c>
      <c r="AB42" s="195">
        <f>'Tariff Jul 2022'!BL30</f>
        <v>0</v>
      </c>
      <c r="AC42" s="195" t="str">
        <f>'Tariff Jul 2022'!BM30</f>
        <v>n</v>
      </c>
      <c r="AD42" s="196">
        <f>'Tariff Jul 2022'!G30</f>
        <v>43273</v>
      </c>
      <c r="AE42" s="344"/>
      <c r="AF42" s="344"/>
      <c r="AG42" s="344"/>
      <c r="AH42" s="344"/>
      <c r="AI42" s="344"/>
      <c r="AJ42" s="344"/>
      <c r="AK42" s="344"/>
      <c r="AL42" s="344"/>
      <c r="AM42" s="344"/>
      <c r="AN42" s="344"/>
      <c r="AO42" s="344"/>
      <c r="AP42" s="344"/>
      <c r="AQ42" s="344"/>
      <c r="AR42" s="344"/>
      <c r="AS42" s="344"/>
      <c r="AT42" s="344"/>
      <c r="AU42" s="344"/>
      <c r="AV42" s="344"/>
    </row>
    <row r="43" spans="1:48" s="187" customFormat="1" x14ac:dyDescent="0.15">
      <c r="A43" s="186" t="str">
        <f>'Tariff Jul 2022'!K31</f>
        <v>Circular Energy</v>
      </c>
      <c r="B43" s="187" t="str">
        <f>'Tariff Jul 2022'!L31</f>
        <v>Community Energy</v>
      </c>
      <c r="C43" s="208">
        <f>IF('Tariff Jul 2022'!BP31=0,91*'Tariff Jul 2022'!M31/100,(91*'Tariff Jul 2022'!M31/100)+'Tariff Jul 2022'!BP31/4)</f>
        <v>102.8090909090909</v>
      </c>
      <c r="D43" s="208">
        <f>IF('Tariff Jul 2022'!O31="",$H$5*'Tariff Jul 2022'!N31/100,IF($H$5&gt;='Tariff Jul 2022'!P31,('Tariff Jul 2022'!P31*'Tariff Jul 2022'!N31/100),($H$5*'Tariff Jul 2022'!N31/100)))</f>
        <v>233.44133585454543</v>
      </c>
      <c r="E43" s="208">
        <f>IF(AND('Tariff Jul 2022'!P31&gt;0,'Tariff Jul 2022'!R31&gt;0),IF($H$5&lt;'Tariff Jul 2022'!P31,0,IF($H$5&lt;=('Tariff Jul 2022'!R31+'Tariff Jul 2022'!P31),(($H$5-'Tariff Jul 2022'!P31)*'Tariff Jul 2022'!Q31/100),(('Tariff Jul 2022'!R31)*'Tariff Jul 2022'!Q31/100))),0)</f>
        <v>0</v>
      </c>
      <c r="F43" s="208">
        <f>IF(AND('Tariff Jul 2022'!Q31&gt;0,'Tariff Jul 2022'!S31&gt;0),IF($H$5&lt;('Tariff Jul 2022'!R31+'Tariff Jul 2022'!P31),0,IF($H$5&lt;=('Tariff Jul 2022'!T31+'Tariff Jul 2022'!R31+'Tariff Jul 2022'!P31),(($H$5-('Tariff Jul 2022'!R31+'Tariff Jul 2022'!P31))*'Tariff Jul 2022'!S31/100),('Tariff Jul 2022'!T31*'Tariff Jul 2022'!S31/100))),0)</f>
        <v>0</v>
      </c>
      <c r="G43" s="208">
        <f>IF('Tariff Jul 2022'!T31&gt;0,IF(($H$5&lt;'Tariff Jul 2022'!T31),(0),($H$5-'Tariff Jul 2022'!T31)*'Tariff Jul 2022'!U31/100),IF(AND('Tariff Jul 2022'!R31&gt;0,'Tariff Jul 2022'!T31=""),IF(($H$5&lt;'Tariff Jul 2022'!R31),(0),($H$5-'Tariff Jul 2022'!R31)*'Tariff Jul 2022'!S31/100),IF(AND('Tariff Jul 2022'!P31&gt;0,'Tariff Jul 2022'!R31=""),IF(($H$5&lt;'Tariff Jul 2022'!P31),(0),($H$5-'Tariff Jul 2022'!P31)*'Tariff Jul 2022'!Q31/100),0)))</f>
        <v>0</v>
      </c>
      <c r="H43" s="208">
        <f>($I$5)*'Tariff Jul 2022'!AE31/100</f>
        <v>32.701911272727273</v>
      </c>
      <c r="I43" s="208">
        <v>0</v>
      </c>
      <c r="J43" s="208">
        <f t="shared" si="22"/>
        <v>368.95233803636359</v>
      </c>
      <c r="K43" s="283">
        <f t="shared" si="21"/>
        <v>1064.5729885090907</v>
      </c>
      <c r="L43" s="283">
        <f t="shared" si="19"/>
        <v>1475.8093521454543</v>
      </c>
      <c r="M43" s="191">
        <f t="shared" si="20"/>
        <v>1623.39028736</v>
      </c>
      <c r="N43" s="187">
        <f>'Tariff Jul 2022'!AZ31</f>
        <v>0</v>
      </c>
      <c r="O43" s="187">
        <f>'Tariff Jul 2022'!BA31</f>
        <v>0</v>
      </c>
      <c r="P43" s="187">
        <f>'Tariff Jul 2022'!BB31</f>
        <v>0</v>
      </c>
      <c r="Q43" s="187">
        <f>'Tariff Jul 2022'!BC31</f>
        <v>0</v>
      </c>
      <c r="R43" s="192">
        <f>($F$6*'Tariff Jul 2022'!AT31/100)*4</f>
        <v>223.61024</v>
      </c>
      <c r="S43" s="193" t="str">
        <f t="shared" si="11"/>
        <v>No discount</v>
      </c>
      <c r="T43" s="193" t="str">
        <f t="shared" si="12"/>
        <v>Exclusive</v>
      </c>
      <c r="U43" s="304">
        <f t="shared" si="13"/>
        <v>1475.8093521454543</v>
      </c>
      <c r="V43" s="283">
        <f t="shared" si="14"/>
        <v>1475.8093521454543</v>
      </c>
      <c r="W43" s="283">
        <f t="shared" si="15"/>
        <v>1252.1991121454544</v>
      </c>
      <c r="X43" s="283">
        <f t="shared" si="16"/>
        <v>1252.1991121454544</v>
      </c>
      <c r="Y43" s="285">
        <f t="shared" si="17"/>
        <v>1377.41902336</v>
      </c>
      <c r="Z43" s="285">
        <f t="shared" si="17"/>
        <v>1377.41902336</v>
      </c>
      <c r="AA43" s="194">
        <f>'Tariff Jul 2022'!AT31</f>
        <v>7</v>
      </c>
      <c r="AB43" s="195">
        <f>'Tariff Jul 2022'!BL31</f>
        <v>0</v>
      </c>
      <c r="AC43" s="195" t="str">
        <f>'Tariff Jul 2022'!BM31</f>
        <v>n</v>
      </c>
      <c r="AD43" s="196">
        <f>'Tariff Jul 2022'!G31</f>
        <v>43281</v>
      </c>
      <c r="AE43" s="344"/>
      <c r="AF43" s="344"/>
      <c r="AG43" s="344"/>
      <c r="AH43" s="344"/>
      <c r="AI43" s="344"/>
      <c r="AJ43" s="344"/>
      <c r="AK43" s="344"/>
      <c r="AL43" s="344"/>
      <c r="AM43" s="344"/>
      <c r="AN43" s="344"/>
      <c r="AO43" s="344"/>
      <c r="AP43" s="344"/>
      <c r="AQ43" s="344"/>
      <c r="AR43" s="344"/>
      <c r="AS43" s="344"/>
      <c r="AT43" s="344"/>
      <c r="AU43" s="344"/>
      <c r="AV43" s="344"/>
    </row>
    <row r="44" spans="1:48" s="187" customFormat="1" x14ac:dyDescent="0.15">
      <c r="A44" s="344"/>
      <c r="B44" s="344"/>
      <c r="C44" s="344"/>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row>
    <row r="45" spans="1:48" s="187" customFormat="1" x14ac:dyDescent="0.15">
      <c r="A45" s="344"/>
      <c r="B45" s="344"/>
      <c r="C45" s="344"/>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row>
    <row r="46" spans="1:48" s="187" customFormat="1" x14ac:dyDescent="0.15">
      <c r="A46" s="344"/>
      <c r="B46" s="344"/>
      <c r="C46" s="344"/>
      <c r="D46" s="344"/>
      <c r="E46" s="344"/>
      <c r="F46" s="344"/>
      <c r="G46" s="344"/>
      <c r="H46" s="344"/>
      <c r="I46" s="344"/>
      <c r="J46" s="344"/>
      <c r="K46" s="344"/>
      <c r="L46" s="344"/>
      <c r="M46" s="344"/>
      <c r="N46" s="344"/>
      <c r="O46" s="344"/>
      <c r="P46" s="344"/>
      <c r="Q46" s="344"/>
      <c r="R46" s="344"/>
      <c r="S46" s="344"/>
      <c r="T46" s="344"/>
      <c r="U46" s="344"/>
      <c r="V46" s="344"/>
      <c r="W46" s="344"/>
      <c r="X46" s="344"/>
      <c r="Y46" s="344"/>
      <c r="Z46" s="344"/>
      <c r="AA46" s="344"/>
      <c r="AB46" s="344"/>
      <c r="AC46" s="344"/>
      <c r="AD46" s="344"/>
      <c r="AE46" s="344"/>
      <c r="AF46" s="344"/>
      <c r="AG46" s="344"/>
      <c r="AH46" s="344"/>
      <c r="AI46" s="344"/>
      <c r="AJ46" s="344"/>
      <c r="AK46" s="344"/>
      <c r="AL46" s="344"/>
      <c r="AM46" s="344"/>
      <c r="AN46" s="344"/>
      <c r="AO46" s="344"/>
      <c r="AP46" s="344"/>
      <c r="AQ46" s="344"/>
      <c r="AR46" s="344"/>
      <c r="AS46" s="344"/>
      <c r="AT46" s="344"/>
      <c r="AU46" s="344"/>
      <c r="AV46" s="344"/>
    </row>
    <row r="47" spans="1:48" s="187" customFormat="1" x14ac:dyDescent="0.15">
      <c r="A47" s="344"/>
      <c r="B47" s="344"/>
      <c r="C47" s="344"/>
      <c r="D47" s="344"/>
      <c r="E47" s="344"/>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row>
    <row r="48" spans="1:48" s="187" customFormat="1" x14ac:dyDescent="0.15">
      <c r="A48" s="344"/>
      <c r="B48" s="344"/>
      <c r="C48" s="344"/>
      <c r="D48" s="344"/>
      <c r="E48" s="344"/>
      <c r="F48" s="344"/>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344"/>
      <c r="AE48" s="344"/>
      <c r="AF48" s="344"/>
      <c r="AG48" s="344"/>
      <c r="AH48" s="344"/>
      <c r="AI48" s="344"/>
      <c r="AJ48" s="344"/>
      <c r="AK48" s="344"/>
      <c r="AL48" s="344"/>
      <c r="AM48" s="344"/>
      <c r="AN48" s="344"/>
      <c r="AO48" s="344"/>
      <c r="AP48" s="344"/>
      <c r="AQ48" s="344"/>
      <c r="AR48" s="344"/>
      <c r="AS48" s="344"/>
      <c r="AT48" s="344"/>
      <c r="AU48" s="344"/>
      <c r="AV48" s="344"/>
    </row>
    <row r="49" spans="1:48" s="187" customFormat="1" x14ac:dyDescent="0.15">
      <c r="A49" s="344"/>
      <c r="B49" s="344"/>
      <c r="C49" s="344"/>
      <c r="D49" s="344"/>
      <c r="E49" s="344"/>
      <c r="F49" s="344"/>
      <c r="G49" s="344"/>
      <c r="H49" s="344"/>
      <c r="I49" s="344"/>
      <c r="J49" s="344"/>
      <c r="K49" s="344"/>
      <c r="L49" s="344"/>
      <c r="M49" s="344"/>
      <c r="N49" s="344"/>
      <c r="O49" s="344"/>
      <c r="P49" s="344"/>
      <c r="Q49" s="344"/>
      <c r="R49" s="344"/>
      <c r="S49" s="344"/>
      <c r="T49" s="344"/>
      <c r="U49" s="344"/>
      <c r="V49" s="344"/>
      <c r="W49" s="344"/>
      <c r="X49" s="344"/>
      <c r="Y49" s="344"/>
      <c r="Z49" s="344"/>
      <c r="AA49" s="344"/>
      <c r="AB49" s="344"/>
      <c r="AC49" s="344"/>
      <c r="AD49" s="344"/>
      <c r="AE49" s="344"/>
      <c r="AF49" s="344"/>
      <c r="AG49" s="344"/>
      <c r="AH49" s="344"/>
      <c r="AI49" s="344"/>
      <c r="AJ49" s="344"/>
      <c r="AK49" s="344"/>
      <c r="AL49" s="344"/>
      <c r="AM49" s="344"/>
      <c r="AN49" s="344"/>
      <c r="AO49" s="344"/>
      <c r="AP49" s="344"/>
      <c r="AQ49" s="344"/>
      <c r="AR49" s="344"/>
      <c r="AS49" s="344"/>
      <c r="AT49" s="344"/>
      <c r="AU49" s="344"/>
      <c r="AV49" s="344"/>
    </row>
    <row r="50" spans="1:48" s="187" customFormat="1" x14ac:dyDescent="0.15">
      <c r="A50" s="344"/>
      <c r="B50" s="344"/>
      <c r="C50" s="344"/>
      <c r="D50" s="344"/>
      <c r="E50" s="344"/>
      <c r="F50" s="344"/>
      <c r="G50" s="344"/>
      <c r="H50" s="344"/>
      <c r="I50" s="344"/>
      <c r="J50" s="344"/>
      <c r="K50" s="344"/>
      <c r="L50" s="344"/>
      <c r="M50" s="344"/>
      <c r="N50" s="344"/>
      <c r="O50" s="344"/>
      <c r="P50" s="344"/>
      <c r="Q50" s="344"/>
      <c r="R50" s="344"/>
      <c r="S50" s="344"/>
      <c r="T50" s="344"/>
      <c r="U50" s="344"/>
      <c r="V50" s="344"/>
      <c r="W50" s="344"/>
      <c r="X50" s="344"/>
      <c r="Y50" s="344"/>
      <c r="Z50" s="344"/>
      <c r="AA50" s="344"/>
      <c r="AB50" s="344"/>
      <c r="AC50" s="344"/>
      <c r="AD50" s="344"/>
      <c r="AE50" s="344"/>
      <c r="AF50" s="344"/>
      <c r="AG50" s="344"/>
      <c r="AH50" s="344"/>
      <c r="AI50" s="344"/>
      <c r="AJ50" s="344"/>
      <c r="AK50" s="344"/>
      <c r="AL50" s="344"/>
      <c r="AM50" s="344"/>
      <c r="AN50" s="344"/>
      <c r="AO50" s="344"/>
      <c r="AP50" s="344"/>
      <c r="AQ50" s="344"/>
      <c r="AR50" s="344"/>
      <c r="AS50" s="344"/>
      <c r="AT50" s="344"/>
      <c r="AU50" s="344"/>
      <c r="AV50" s="344"/>
    </row>
    <row r="51" spans="1:48" s="187" customFormat="1" x14ac:dyDescent="0.15">
      <c r="A51" s="344"/>
      <c r="B51" s="344"/>
      <c r="C51" s="344"/>
      <c r="D51" s="344"/>
      <c r="E51" s="344"/>
      <c r="F51" s="344"/>
      <c r="G51" s="344"/>
      <c r="H51" s="344"/>
      <c r="I51" s="344"/>
      <c r="J51" s="344"/>
      <c r="K51" s="344"/>
      <c r="L51" s="344"/>
      <c r="M51" s="344"/>
      <c r="N51" s="344"/>
      <c r="O51" s="344"/>
      <c r="P51" s="344"/>
      <c r="Q51" s="344"/>
      <c r="R51" s="344"/>
      <c r="S51" s="344"/>
      <c r="T51" s="344"/>
      <c r="U51" s="344"/>
      <c r="V51" s="344"/>
      <c r="W51" s="344"/>
      <c r="X51" s="344"/>
      <c r="Y51" s="344"/>
      <c r="Z51" s="344"/>
      <c r="AA51" s="344"/>
      <c r="AB51" s="344"/>
      <c r="AC51" s="344"/>
      <c r="AD51" s="344"/>
      <c r="AE51" s="344"/>
      <c r="AF51" s="344"/>
      <c r="AG51" s="344"/>
      <c r="AH51" s="344"/>
      <c r="AI51" s="344"/>
      <c r="AJ51" s="344"/>
      <c r="AK51" s="344"/>
      <c r="AL51" s="344"/>
      <c r="AM51" s="344"/>
      <c r="AN51" s="344"/>
      <c r="AO51" s="344"/>
      <c r="AP51" s="344"/>
      <c r="AQ51" s="344"/>
      <c r="AR51" s="344"/>
      <c r="AS51" s="344"/>
      <c r="AT51" s="344"/>
      <c r="AU51" s="344"/>
      <c r="AV51" s="344"/>
    </row>
    <row r="52" spans="1:48" s="187" customFormat="1" x14ac:dyDescent="0.15">
      <c r="A52" s="344"/>
      <c r="B52" s="344"/>
      <c r="C52" s="344"/>
      <c r="D52" s="344"/>
      <c r="E52" s="344"/>
      <c r="F52" s="344"/>
      <c r="G52" s="344"/>
      <c r="H52" s="344"/>
      <c r="I52" s="344"/>
      <c r="J52" s="344"/>
      <c r="K52" s="344"/>
      <c r="L52" s="344"/>
      <c r="M52" s="344"/>
      <c r="N52" s="344"/>
      <c r="O52" s="344"/>
      <c r="P52" s="344"/>
      <c r="Q52" s="344"/>
      <c r="R52" s="344"/>
      <c r="S52" s="344"/>
      <c r="T52" s="344"/>
      <c r="U52" s="344"/>
      <c r="V52" s="344"/>
      <c r="W52" s="344"/>
      <c r="X52" s="344"/>
      <c r="Y52" s="344"/>
      <c r="Z52" s="344"/>
      <c r="AA52" s="344"/>
      <c r="AB52" s="344"/>
      <c r="AC52" s="344"/>
      <c r="AD52" s="344"/>
      <c r="AE52" s="344"/>
      <c r="AF52" s="344"/>
      <c r="AG52" s="344"/>
      <c r="AH52" s="344"/>
      <c r="AI52" s="344"/>
      <c r="AJ52" s="344"/>
      <c r="AK52" s="344"/>
      <c r="AL52" s="344"/>
      <c r="AM52" s="344"/>
      <c r="AN52" s="344"/>
      <c r="AO52" s="344"/>
      <c r="AP52" s="344"/>
      <c r="AQ52" s="344"/>
      <c r="AR52" s="344"/>
      <c r="AS52" s="344"/>
      <c r="AT52" s="344"/>
      <c r="AU52" s="344"/>
      <c r="AV52" s="344"/>
    </row>
    <row r="53" spans="1:48" s="187" customFormat="1" x14ac:dyDescent="0.15">
      <c r="A53" s="344"/>
      <c r="B53" s="344"/>
      <c r="C53" s="344"/>
      <c r="D53" s="344"/>
      <c r="E53" s="344"/>
      <c r="F53" s="344"/>
      <c r="G53" s="344"/>
      <c r="H53" s="344"/>
      <c r="I53" s="344"/>
      <c r="J53" s="344"/>
      <c r="K53" s="344"/>
      <c r="L53" s="344"/>
      <c r="M53" s="344"/>
      <c r="N53" s="344"/>
      <c r="O53" s="344"/>
      <c r="P53" s="344"/>
      <c r="Q53" s="344"/>
      <c r="R53" s="344"/>
      <c r="S53" s="344"/>
      <c r="T53" s="344"/>
      <c r="U53" s="344"/>
      <c r="V53" s="344"/>
      <c r="W53" s="344"/>
      <c r="X53" s="344"/>
      <c r="Y53" s="344"/>
      <c r="Z53" s="344"/>
      <c r="AA53" s="344"/>
      <c r="AB53" s="344"/>
      <c r="AC53" s="344"/>
      <c r="AD53" s="344"/>
      <c r="AE53" s="344"/>
      <c r="AF53" s="344"/>
      <c r="AG53" s="344"/>
      <c r="AH53" s="344"/>
      <c r="AI53" s="344"/>
      <c r="AJ53" s="344"/>
      <c r="AK53" s="344"/>
      <c r="AL53" s="344"/>
      <c r="AM53" s="344"/>
      <c r="AN53" s="344"/>
      <c r="AO53" s="344"/>
      <c r="AP53" s="344"/>
      <c r="AQ53" s="344"/>
      <c r="AR53" s="344"/>
      <c r="AS53" s="344"/>
      <c r="AT53" s="344"/>
      <c r="AU53" s="344"/>
      <c r="AV53" s="344"/>
    </row>
    <row r="54" spans="1:48" s="187" customFormat="1" x14ac:dyDescent="0.15">
      <c r="A54" s="344"/>
      <c r="B54" s="344"/>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4"/>
    </row>
    <row r="55" spans="1:48" s="187" customFormat="1" x14ac:dyDescent="0.15">
      <c r="A55" s="344"/>
      <c r="B55" s="344"/>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row>
    <row r="56" spans="1:48" s="187" customFormat="1" x14ac:dyDescent="0.15">
      <c r="A56" s="344"/>
      <c r="B56" s="344"/>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row>
    <row r="57" spans="1:48" s="187" customFormat="1" x14ac:dyDescent="0.15">
      <c r="A57" s="344"/>
      <c r="B57" s="344"/>
      <c r="C57" s="344"/>
      <c r="D57" s="344"/>
      <c r="E57" s="344"/>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row>
    <row r="58" spans="1:48" s="187" customFormat="1" x14ac:dyDescent="0.15">
      <c r="A58" s="344"/>
      <c r="B58" s="344"/>
      <c r="C58" s="344"/>
      <c r="D58" s="344"/>
      <c r="E58" s="344"/>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row>
    <row r="59" spans="1:48" s="187" customFormat="1" x14ac:dyDescent="0.15"/>
    <row r="60" spans="1:48" s="187" customFormat="1" x14ac:dyDescent="0.15"/>
    <row r="61" spans="1:48" s="187" customFormat="1" x14ac:dyDescent="0.15"/>
    <row r="62" spans="1:48" s="187" customFormat="1" x14ac:dyDescent="0.15"/>
    <row r="63" spans="1:48" s="187" customFormat="1" x14ac:dyDescent="0.15"/>
    <row r="64" spans="1:48" s="187" customFormat="1" x14ac:dyDescent="0.15"/>
    <row r="65" s="187" customFormat="1" x14ac:dyDescent="0.15"/>
    <row r="66" s="187" customFormat="1" x14ac:dyDescent="0.15"/>
    <row r="67" s="187" customFormat="1" x14ac:dyDescent="0.15"/>
    <row r="68" s="187" customFormat="1" x14ac:dyDescent="0.15"/>
    <row r="69" s="187" customFormat="1" x14ac:dyDescent="0.15"/>
    <row r="70" s="187" customFormat="1" x14ac:dyDescent="0.15"/>
    <row r="71" s="187" customFormat="1" x14ac:dyDescent="0.15"/>
    <row r="72" s="187" customFormat="1" x14ac:dyDescent="0.15"/>
    <row r="73" s="187" customFormat="1" x14ac:dyDescent="0.15"/>
    <row r="74" s="187" customFormat="1" x14ac:dyDescent="0.15"/>
    <row r="75" s="187" customFormat="1" x14ac:dyDescent="0.15"/>
    <row r="76" s="187" customFormat="1" x14ac:dyDescent="0.15"/>
    <row r="77" s="187" customFormat="1" x14ac:dyDescent="0.15"/>
    <row r="78" s="187" customFormat="1" x14ac:dyDescent="0.15"/>
    <row r="79" s="187" customFormat="1" x14ac:dyDescent="0.15"/>
    <row r="80" s="187" customFormat="1" x14ac:dyDescent="0.15"/>
    <row r="81" s="187" customFormat="1" x14ac:dyDescent="0.15"/>
    <row r="82" s="187" customFormat="1" x14ac:dyDescent="0.15"/>
    <row r="83" s="187" customFormat="1" x14ac:dyDescent="0.15"/>
    <row r="84" s="187" customFormat="1" x14ac:dyDescent="0.15"/>
    <row r="85" s="187" customFormat="1" x14ac:dyDescent="0.15"/>
    <row r="86" s="187" customFormat="1" x14ac:dyDescent="0.15"/>
    <row r="87" s="187" customFormat="1" x14ac:dyDescent="0.15"/>
    <row r="88" s="187" customFormat="1" x14ac:dyDescent="0.15"/>
    <row r="89" s="187" customFormat="1" x14ac:dyDescent="0.15"/>
    <row r="90" s="187" customFormat="1" x14ac:dyDescent="0.15"/>
    <row r="91" s="187" customFormat="1" x14ac:dyDescent="0.15"/>
    <row r="92" s="187" customFormat="1" x14ac:dyDescent="0.15"/>
    <row r="93" s="187" customFormat="1" x14ac:dyDescent="0.15"/>
    <row r="94" s="187" customFormat="1" x14ac:dyDescent="0.15"/>
    <row r="95" s="187" customFormat="1" x14ac:dyDescent="0.15"/>
    <row r="96" s="187" customFormat="1" x14ac:dyDescent="0.15"/>
    <row r="97" s="187" customFormat="1" x14ac:dyDescent="0.15"/>
    <row r="98" s="187" customFormat="1" x14ac:dyDescent="0.15"/>
    <row r="99" s="187" customFormat="1" x14ac:dyDescent="0.15"/>
    <row r="100" s="187" customFormat="1" x14ac:dyDescent="0.15"/>
    <row r="101" s="187" customFormat="1" x14ac:dyDescent="0.15"/>
    <row r="102" s="187" customFormat="1" x14ac:dyDescent="0.15"/>
    <row r="103" s="187" customFormat="1" x14ac:dyDescent="0.15"/>
    <row r="104" s="187" customFormat="1" x14ac:dyDescent="0.15"/>
    <row r="105" s="187" customFormat="1" x14ac:dyDescent="0.15"/>
    <row r="106" s="187" customFormat="1" x14ac:dyDescent="0.15"/>
    <row r="107" s="187" customFormat="1" x14ac:dyDescent="0.15"/>
    <row r="108" s="187" customFormat="1" x14ac:dyDescent="0.15"/>
    <row r="109" s="187" customFormat="1" x14ac:dyDescent="0.15"/>
    <row r="110" s="187" customFormat="1" x14ac:dyDescent="0.15"/>
    <row r="111" s="187" customFormat="1" x14ac:dyDescent="0.15"/>
    <row r="112" s="187" customFormat="1" x14ac:dyDescent="0.15"/>
    <row r="113" s="187" customFormat="1" x14ac:dyDescent="0.15"/>
    <row r="114" s="187" customFormat="1" x14ac:dyDescent="0.15"/>
    <row r="115" s="187" customFormat="1" x14ac:dyDescent="0.15"/>
    <row r="116" s="187" customFormat="1" x14ac:dyDescent="0.15"/>
    <row r="117" s="187" customFormat="1" x14ac:dyDescent="0.15"/>
    <row r="118" s="187" customFormat="1" x14ac:dyDescent="0.15"/>
    <row r="119" s="187" customFormat="1" x14ac:dyDescent="0.15"/>
    <row r="120" s="187" customFormat="1" x14ac:dyDescent="0.15"/>
    <row r="121" s="187" customFormat="1" x14ac:dyDescent="0.15"/>
    <row r="122" s="187" customFormat="1" x14ac:dyDescent="0.15"/>
    <row r="123" s="187" customFormat="1" x14ac:dyDescent="0.15"/>
    <row r="124" s="187" customFormat="1" x14ac:dyDescent="0.15"/>
    <row r="125" s="187" customFormat="1" x14ac:dyDescent="0.15"/>
    <row r="126" s="187" customFormat="1" x14ac:dyDescent="0.15"/>
    <row r="127" s="187" customFormat="1" x14ac:dyDescent="0.15"/>
    <row r="128" s="187" customFormat="1" x14ac:dyDescent="0.15"/>
    <row r="129" s="187" customFormat="1" x14ac:dyDescent="0.15"/>
    <row r="130" s="187" customFormat="1" x14ac:dyDescent="0.15"/>
    <row r="131" s="187" customFormat="1" x14ac:dyDescent="0.15"/>
    <row r="132" s="187" customFormat="1" x14ac:dyDescent="0.15"/>
    <row r="133" s="187" customFormat="1" x14ac:dyDescent="0.15"/>
    <row r="134" s="187" customFormat="1" x14ac:dyDescent="0.15"/>
    <row r="135" s="187" customFormat="1" x14ac:dyDescent="0.15"/>
    <row r="136" s="187" customFormat="1" x14ac:dyDescent="0.15"/>
    <row r="137" s="187" customFormat="1" x14ac:dyDescent="0.15"/>
    <row r="138" s="187" customFormat="1" x14ac:dyDescent="0.15"/>
    <row r="139" s="187" customFormat="1" x14ac:dyDescent="0.15"/>
    <row r="140" s="187" customFormat="1" x14ac:dyDescent="0.15"/>
    <row r="141" s="187" customFormat="1" x14ac:dyDescent="0.15"/>
    <row r="142" s="187" customFormat="1" x14ac:dyDescent="0.15"/>
    <row r="143" s="187" customFormat="1" x14ac:dyDescent="0.15"/>
    <row r="144" s="187" customFormat="1" x14ac:dyDescent="0.15"/>
    <row r="145" s="187" customFormat="1" x14ac:dyDescent="0.15"/>
    <row r="146" s="187" customFormat="1" x14ac:dyDescent="0.15"/>
    <row r="147" s="187" customFormat="1" x14ac:dyDescent="0.15"/>
    <row r="148" s="187" customFormat="1" x14ac:dyDescent="0.15"/>
    <row r="149" s="187" customFormat="1" x14ac:dyDescent="0.15"/>
    <row r="150" s="187" customFormat="1" x14ac:dyDescent="0.15"/>
    <row r="151" s="187" customFormat="1" x14ac:dyDescent="0.15"/>
    <row r="152" s="187" customFormat="1" x14ac:dyDescent="0.15"/>
    <row r="153" s="187" customFormat="1" x14ac:dyDescent="0.15"/>
    <row r="154" s="187" customFormat="1" x14ac:dyDescent="0.15"/>
    <row r="155" s="187" customFormat="1" x14ac:dyDescent="0.15"/>
    <row r="156" s="187" customFormat="1" x14ac:dyDescent="0.15"/>
    <row r="157" s="187" customFormat="1" x14ac:dyDescent="0.15"/>
    <row r="158" s="187" customFormat="1" x14ac:dyDescent="0.15"/>
    <row r="159" s="187" customFormat="1" x14ac:dyDescent="0.15"/>
    <row r="160" s="187" customFormat="1" x14ac:dyDescent="0.15"/>
    <row r="161" s="187" customFormat="1" x14ac:dyDescent="0.15"/>
    <row r="162" s="187" customFormat="1" x14ac:dyDescent="0.15"/>
    <row r="163" s="187" customFormat="1" x14ac:dyDescent="0.15"/>
    <row r="164" s="187" customFormat="1" x14ac:dyDescent="0.15"/>
    <row r="165" s="187" customFormat="1" x14ac:dyDescent="0.15"/>
    <row r="166" s="187" customFormat="1" x14ac:dyDescent="0.15"/>
    <row r="167" s="187" customFormat="1" x14ac:dyDescent="0.15"/>
    <row r="168" s="187" customFormat="1" x14ac:dyDescent="0.15"/>
    <row r="169" s="187" customFormat="1" x14ac:dyDescent="0.15"/>
    <row r="170" s="187" customFormat="1" x14ac:dyDescent="0.15"/>
    <row r="171" s="187" customFormat="1" x14ac:dyDescent="0.15"/>
    <row r="172" s="187" customFormat="1" x14ac:dyDescent="0.15"/>
    <row r="173" s="187" customFormat="1" x14ac:dyDescent="0.15"/>
    <row r="174" s="187" customFormat="1" x14ac:dyDescent="0.15"/>
    <row r="175" s="187" customFormat="1" x14ac:dyDescent="0.15"/>
    <row r="176" s="187" customFormat="1" x14ac:dyDescent="0.15"/>
    <row r="177" s="187" customFormat="1" x14ac:dyDescent="0.15"/>
    <row r="178" s="187" customFormat="1" x14ac:dyDescent="0.15"/>
    <row r="179" s="187" customFormat="1" x14ac:dyDescent="0.15"/>
    <row r="180" s="187" customFormat="1" x14ac:dyDescent="0.15"/>
    <row r="181" s="187" customFormat="1" x14ac:dyDescent="0.15"/>
    <row r="182" s="187" customFormat="1" x14ac:dyDescent="0.15"/>
    <row r="183" s="187" customFormat="1" x14ac:dyDescent="0.15"/>
    <row r="184" s="187" customFormat="1" x14ac:dyDescent="0.15"/>
    <row r="185" s="187" customFormat="1" x14ac:dyDescent="0.15"/>
    <row r="186" s="187" customFormat="1" x14ac:dyDescent="0.15"/>
    <row r="187" s="187" customFormat="1" x14ac:dyDescent="0.15"/>
    <row r="188" s="187" customFormat="1" x14ac:dyDescent="0.15"/>
    <row r="189" s="187" customFormat="1" x14ac:dyDescent="0.15"/>
    <row r="190" s="187" customFormat="1" x14ac:dyDescent="0.15"/>
    <row r="191" s="187" customFormat="1" x14ac:dyDescent="0.15"/>
    <row r="192" s="187" customFormat="1" x14ac:dyDescent="0.15"/>
    <row r="193" s="187" customFormat="1" x14ac:dyDescent="0.15"/>
    <row r="194" s="187" customFormat="1" x14ac:dyDescent="0.15"/>
    <row r="195" s="187" customFormat="1" x14ac:dyDescent="0.15"/>
    <row r="196" s="187" customFormat="1" x14ac:dyDescent="0.15"/>
    <row r="197" s="187" customFormat="1" x14ac:dyDescent="0.15"/>
    <row r="198" s="187" customFormat="1" x14ac:dyDescent="0.15"/>
    <row r="199" s="187" customFormat="1" x14ac:dyDescent="0.15"/>
    <row r="200" s="187" customFormat="1" x14ac:dyDescent="0.15"/>
    <row r="201" s="187" customFormat="1" x14ac:dyDescent="0.15"/>
    <row r="202" s="187" customFormat="1" x14ac:dyDescent="0.15"/>
    <row r="203" s="187" customFormat="1" x14ac:dyDescent="0.15"/>
    <row r="204" s="187" customFormat="1" x14ac:dyDescent="0.15"/>
    <row r="205" s="187" customFormat="1" x14ac:dyDescent="0.15"/>
    <row r="206" s="187" customFormat="1" x14ac:dyDescent="0.15"/>
    <row r="207" s="187" customFormat="1" x14ac:dyDescent="0.15"/>
    <row r="208" s="187" customFormat="1" x14ac:dyDescent="0.15"/>
    <row r="209" s="187" customFormat="1" x14ac:dyDescent="0.15"/>
    <row r="210" s="187" customFormat="1" x14ac:dyDescent="0.15"/>
    <row r="211" s="187" customFormat="1" x14ac:dyDescent="0.15"/>
    <row r="212" s="187" customFormat="1" x14ac:dyDescent="0.15"/>
    <row r="213" s="187" customFormat="1" x14ac:dyDescent="0.15"/>
    <row r="214" s="187" customFormat="1" x14ac:dyDescent="0.15"/>
    <row r="215" s="187" customFormat="1" x14ac:dyDescent="0.15"/>
    <row r="216" s="187" customFormat="1" x14ac:dyDescent="0.15"/>
    <row r="217" s="187" customFormat="1" x14ac:dyDescent="0.15"/>
    <row r="218" s="187" customFormat="1" x14ac:dyDescent="0.15"/>
    <row r="219" s="187" customFormat="1" x14ac:dyDescent="0.15"/>
    <row r="220" s="187" customFormat="1" x14ac:dyDescent="0.15"/>
    <row r="221" s="187" customFormat="1" x14ac:dyDescent="0.15"/>
    <row r="222" s="187" customFormat="1" x14ac:dyDescent="0.15"/>
    <row r="223" s="187" customFormat="1" x14ac:dyDescent="0.15"/>
    <row r="224" s="187" customFormat="1" x14ac:dyDescent="0.15"/>
    <row r="225" s="187" customFormat="1" x14ac:dyDescent="0.15"/>
    <row r="226" s="187" customFormat="1" x14ac:dyDescent="0.15"/>
    <row r="227" s="187" customFormat="1" x14ac:dyDescent="0.15"/>
    <row r="228" s="187" customFormat="1" x14ac:dyDescent="0.15"/>
    <row r="229" s="187" customFormat="1" x14ac:dyDescent="0.15"/>
    <row r="230" s="187" customFormat="1" x14ac:dyDescent="0.15"/>
    <row r="231" s="187" customFormat="1" x14ac:dyDescent="0.15"/>
    <row r="232" s="187" customFormat="1" x14ac:dyDescent="0.15"/>
    <row r="233" s="187" customFormat="1" x14ac:dyDescent="0.15"/>
    <row r="234" s="187" customFormat="1" x14ac:dyDescent="0.15"/>
    <row r="235" s="187" customFormat="1" x14ac:dyDescent="0.15"/>
    <row r="236" s="187" customFormat="1" x14ac:dyDescent="0.15"/>
    <row r="237" s="187" customFormat="1" x14ac:dyDescent="0.15"/>
    <row r="238" s="187" customFormat="1" x14ac:dyDescent="0.15"/>
    <row r="239" s="187" customFormat="1" x14ac:dyDescent="0.15"/>
    <row r="240" s="187" customFormat="1" x14ac:dyDescent="0.15"/>
    <row r="241" s="187" customFormat="1" x14ac:dyDescent="0.15"/>
    <row r="242" s="187" customFormat="1" x14ac:dyDescent="0.15"/>
    <row r="243" s="187" customFormat="1" x14ac:dyDescent="0.15"/>
    <row r="244" s="187" customFormat="1" x14ac:dyDescent="0.15"/>
    <row r="245" s="187" customFormat="1" x14ac:dyDescent="0.15"/>
    <row r="246" s="187" customFormat="1" x14ac:dyDescent="0.15"/>
    <row r="247" s="187" customFormat="1" x14ac:dyDescent="0.15"/>
    <row r="248" s="187" customFormat="1" x14ac:dyDescent="0.15"/>
    <row r="249" s="187" customFormat="1" x14ac:dyDescent="0.15"/>
    <row r="250" s="187" customFormat="1" x14ac:dyDescent="0.15"/>
    <row r="251" s="187" customFormat="1" x14ac:dyDescent="0.15"/>
    <row r="252" s="187" customFormat="1" x14ac:dyDescent="0.15"/>
    <row r="253" s="187" customFormat="1" x14ac:dyDescent="0.15"/>
    <row r="254" s="187" customFormat="1" x14ac:dyDescent="0.15"/>
    <row r="255" s="187" customFormat="1" x14ac:dyDescent="0.15"/>
    <row r="256" s="187" customFormat="1" x14ac:dyDescent="0.15"/>
    <row r="257" s="187" customFormat="1" x14ac:dyDescent="0.15"/>
    <row r="258" s="187" customFormat="1" x14ac:dyDescent="0.15"/>
    <row r="259" s="187" customFormat="1" x14ac:dyDescent="0.15"/>
    <row r="260" s="187" customFormat="1" x14ac:dyDescent="0.15"/>
    <row r="261" s="187" customFormat="1" x14ac:dyDescent="0.15"/>
    <row r="262" s="187" customFormat="1" x14ac:dyDescent="0.15"/>
    <row r="263" s="187" customFormat="1" x14ac:dyDescent="0.15"/>
    <row r="264" s="187" customFormat="1" x14ac:dyDescent="0.15"/>
    <row r="265" s="187" customFormat="1" x14ac:dyDescent="0.15"/>
    <row r="266" s="187" customFormat="1" x14ac:dyDescent="0.15"/>
    <row r="267" s="187" customFormat="1" x14ac:dyDescent="0.15"/>
    <row r="268" s="187" customFormat="1" x14ac:dyDescent="0.15"/>
    <row r="269" s="187" customFormat="1" x14ac:dyDescent="0.15"/>
    <row r="270" s="187" customFormat="1" x14ac:dyDescent="0.15"/>
    <row r="271" s="187" customFormat="1" x14ac:dyDescent="0.15"/>
    <row r="272" s="187" customFormat="1" x14ac:dyDescent="0.15"/>
    <row r="273" s="187" customFormat="1" x14ac:dyDescent="0.15"/>
    <row r="274" s="187" customFormat="1" x14ac:dyDescent="0.15"/>
    <row r="275" s="187" customFormat="1" x14ac:dyDescent="0.15"/>
    <row r="276" s="187" customFormat="1" x14ac:dyDescent="0.15"/>
    <row r="277" s="187" customFormat="1" x14ac:dyDescent="0.15"/>
    <row r="278" s="187" customFormat="1" x14ac:dyDescent="0.15"/>
    <row r="279" s="187" customFormat="1" x14ac:dyDescent="0.15"/>
    <row r="280" s="187" customFormat="1" x14ac:dyDescent="0.15"/>
    <row r="281" s="187" customFormat="1" x14ac:dyDescent="0.15"/>
    <row r="282" s="187" customFormat="1" x14ac:dyDescent="0.15"/>
    <row r="283" s="187" customFormat="1" x14ac:dyDescent="0.15"/>
    <row r="284" s="187" customFormat="1" x14ac:dyDescent="0.15"/>
    <row r="285" s="187" customFormat="1" x14ac:dyDescent="0.15"/>
    <row r="286" s="187" customFormat="1" x14ac:dyDescent="0.15"/>
    <row r="287" s="187" customFormat="1" x14ac:dyDescent="0.15"/>
    <row r="288" s="187" customFormat="1" x14ac:dyDescent="0.15"/>
    <row r="289" s="187" customFormat="1" x14ac:dyDescent="0.15"/>
    <row r="290" s="187" customFormat="1" x14ac:dyDescent="0.15"/>
    <row r="291" s="187" customFormat="1" x14ac:dyDescent="0.15"/>
    <row r="292" s="187" customFormat="1" x14ac:dyDescent="0.15"/>
    <row r="293" s="187" customFormat="1" x14ac:dyDescent="0.15"/>
    <row r="294" s="187" customFormat="1" x14ac:dyDescent="0.15"/>
    <row r="295" s="187" customFormat="1" x14ac:dyDescent="0.15"/>
    <row r="296" s="187" customFormat="1" x14ac:dyDescent="0.15"/>
    <row r="297" s="187" customFormat="1" x14ac:dyDescent="0.15"/>
    <row r="298" s="187" customFormat="1" x14ac:dyDescent="0.15"/>
    <row r="299" s="187" customFormat="1" x14ac:dyDescent="0.15"/>
    <row r="300" s="187" customFormat="1" x14ac:dyDescent="0.15"/>
    <row r="301" s="187" customFormat="1" x14ac:dyDescent="0.15"/>
    <row r="302" s="187" customFormat="1" x14ac:dyDescent="0.15"/>
    <row r="303" s="187" customFormat="1" x14ac:dyDescent="0.15"/>
    <row r="304" s="187" customFormat="1" x14ac:dyDescent="0.15"/>
    <row r="305" s="187" customFormat="1" x14ac:dyDescent="0.15"/>
    <row r="306" s="187" customFormat="1" x14ac:dyDescent="0.15"/>
    <row r="307" s="187" customFormat="1" x14ac:dyDescent="0.15"/>
    <row r="308" s="187" customFormat="1" x14ac:dyDescent="0.15"/>
    <row r="309" s="187" customFormat="1" x14ac:dyDescent="0.15"/>
    <row r="310" s="187" customFormat="1" x14ac:dyDescent="0.15"/>
    <row r="311" s="187" customFormat="1" x14ac:dyDescent="0.15"/>
    <row r="312" s="187" customFormat="1" x14ac:dyDescent="0.15"/>
    <row r="313" s="187" customFormat="1" x14ac:dyDescent="0.15"/>
    <row r="314" s="187" customFormat="1" x14ac:dyDescent="0.15"/>
    <row r="315" s="187" customFormat="1" x14ac:dyDescent="0.15"/>
    <row r="316" s="187" customFormat="1" x14ac:dyDescent="0.15"/>
    <row r="317" s="187" customFormat="1" x14ac:dyDescent="0.15"/>
    <row r="318" s="187" customFormat="1" x14ac:dyDescent="0.15"/>
    <row r="319" s="187" customFormat="1" x14ac:dyDescent="0.15"/>
    <row r="320" s="187" customFormat="1" x14ac:dyDescent="0.15"/>
    <row r="321" s="187" customFormat="1" x14ac:dyDescent="0.15"/>
    <row r="322" s="187" customFormat="1" x14ac:dyDescent="0.15"/>
    <row r="323" s="187" customFormat="1" x14ac:dyDescent="0.15"/>
    <row r="324" s="187" customFormat="1" x14ac:dyDescent="0.15"/>
    <row r="325" s="187" customFormat="1" x14ac:dyDescent="0.15"/>
    <row r="326" s="187" customFormat="1" x14ac:dyDescent="0.15"/>
    <row r="327" s="187" customFormat="1" x14ac:dyDescent="0.15"/>
    <row r="328" s="187" customFormat="1" x14ac:dyDescent="0.15"/>
    <row r="329" s="187" customFormat="1" x14ac:dyDescent="0.15"/>
    <row r="330" s="187" customFormat="1" x14ac:dyDescent="0.15"/>
    <row r="331" s="187" customFormat="1" x14ac:dyDescent="0.15"/>
    <row r="332" s="187" customFormat="1" x14ac:dyDescent="0.15"/>
    <row r="333" s="187" customFormat="1" x14ac:dyDescent="0.15"/>
    <row r="334" s="187" customFormat="1" x14ac:dyDescent="0.15"/>
    <row r="335" s="187" customFormat="1" x14ac:dyDescent="0.15"/>
    <row r="336" s="187" customFormat="1" x14ac:dyDescent="0.15"/>
    <row r="337" s="187" customFormat="1" x14ac:dyDescent="0.15"/>
    <row r="338" s="187" customFormat="1" x14ac:dyDescent="0.15"/>
    <row r="339" s="187" customFormat="1" x14ac:dyDescent="0.15"/>
    <row r="340" s="187" customFormat="1" x14ac:dyDescent="0.15"/>
    <row r="341" s="187" customFormat="1" x14ac:dyDescent="0.15"/>
    <row r="342" s="187" customFormat="1" x14ac:dyDescent="0.15"/>
    <row r="343" s="187" customFormat="1" x14ac:dyDescent="0.15"/>
    <row r="344" s="187" customFormat="1" x14ac:dyDescent="0.15"/>
    <row r="345" s="187" customFormat="1" x14ac:dyDescent="0.15"/>
    <row r="346" s="187" customFormat="1" x14ac:dyDescent="0.15"/>
    <row r="347" s="187" customFormat="1" x14ac:dyDescent="0.15"/>
    <row r="348" s="187" customFormat="1" x14ac:dyDescent="0.15"/>
    <row r="349" s="187" customFormat="1" x14ac:dyDescent="0.15"/>
    <row r="350" s="187" customFormat="1" x14ac:dyDescent="0.15"/>
    <row r="351" s="187" customFormat="1" x14ac:dyDescent="0.15"/>
    <row r="352" s="187" customFormat="1" x14ac:dyDescent="0.15"/>
    <row r="353" s="187" customFormat="1" x14ac:dyDescent="0.15"/>
    <row r="354" s="187" customFormat="1" x14ac:dyDescent="0.15"/>
    <row r="355" s="187" customFormat="1" x14ac:dyDescent="0.15"/>
    <row r="356" s="187" customFormat="1" x14ac:dyDescent="0.15"/>
    <row r="357" s="187" customFormat="1" x14ac:dyDescent="0.15"/>
    <row r="358" s="187" customFormat="1" x14ac:dyDescent="0.15"/>
    <row r="359" s="187" customFormat="1" x14ac:dyDescent="0.15"/>
    <row r="360" s="187" customFormat="1" x14ac:dyDescent="0.15"/>
    <row r="361" s="187" customFormat="1" x14ac:dyDescent="0.15"/>
    <row r="362" s="187" customFormat="1" x14ac:dyDescent="0.15"/>
    <row r="363" s="187" customFormat="1" x14ac:dyDescent="0.15"/>
    <row r="364" s="187" customFormat="1" x14ac:dyDescent="0.15"/>
    <row r="365" s="187" customFormat="1" x14ac:dyDescent="0.15"/>
    <row r="366" s="187" customFormat="1" x14ac:dyDescent="0.15"/>
    <row r="367" s="187" customFormat="1" x14ac:dyDescent="0.15"/>
    <row r="368" s="187" customFormat="1" x14ac:dyDescent="0.15"/>
    <row r="369" s="187" customFormat="1" x14ac:dyDescent="0.15"/>
    <row r="370" s="187" customFormat="1" x14ac:dyDescent="0.15"/>
    <row r="371" s="187" customFormat="1" x14ac:dyDescent="0.15"/>
    <row r="372" s="187" customFormat="1" x14ac:dyDescent="0.15"/>
    <row r="373" s="187" customFormat="1" x14ac:dyDescent="0.15"/>
    <row r="374" s="187" customFormat="1" x14ac:dyDescent="0.15"/>
    <row r="375" s="187" customFormat="1" x14ac:dyDescent="0.15"/>
    <row r="376" s="187" customFormat="1" x14ac:dyDescent="0.15"/>
    <row r="377" s="187" customFormat="1" x14ac:dyDescent="0.15"/>
    <row r="378" s="187" customFormat="1" x14ac:dyDescent="0.15"/>
    <row r="379" s="187" customFormat="1" x14ac:dyDescent="0.15"/>
    <row r="380" s="187" customFormat="1" x14ac:dyDescent="0.15"/>
    <row r="381" s="187" customFormat="1" x14ac:dyDescent="0.15"/>
    <row r="382" s="187" customFormat="1" x14ac:dyDescent="0.15"/>
    <row r="383" s="187" customFormat="1" x14ac:dyDescent="0.15"/>
    <row r="384" s="187" customFormat="1" x14ac:dyDescent="0.15"/>
    <row r="385" s="187" customFormat="1" x14ac:dyDescent="0.15"/>
    <row r="386" s="187" customFormat="1" x14ac:dyDescent="0.15"/>
    <row r="387" s="187" customFormat="1" x14ac:dyDescent="0.15"/>
    <row r="388" s="187" customFormat="1" x14ac:dyDescent="0.15"/>
    <row r="389" s="187" customFormat="1" x14ac:dyDescent="0.15"/>
    <row r="390" s="187" customFormat="1" x14ac:dyDescent="0.15"/>
    <row r="391" s="187" customFormat="1" x14ac:dyDescent="0.15"/>
    <row r="392" s="187" customFormat="1" x14ac:dyDescent="0.15"/>
    <row r="393" s="187" customFormat="1" x14ac:dyDescent="0.15"/>
    <row r="394" s="187" customFormat="1" x14ac:dyDescent="0.15"/>
    <row r="395" s="187" customFormat="1" x14ac:dyDescent="0.15"/>
    <row r="396" s="187" customFormat="1" x14ac:dyDescent="0.15"/>
    <row r="397" s="187" customFormat="1" x14ac:dyDescent="0.15"/>
    <row r="398" s="187" customFormat="1" x14ac:dyDescent="0.15"/>
    <row r="399" s="187" customFormat="1" x14ac:dyDescent="0.15"/>
    <row r="400" s="187" customFormat="1" x14ac:dyDescent="0.15"/>
    <row r="401" s="187" customFormat="1" x14ac:dyDescent="0.15"/>
    <row r="402" s="187" customFormat="1" x14ac:dyDescent="0.15"/>
    <row r="403" s="187" customFormat="1" x14ac:dyDescent="0.15"/>
    <row r="404" s="187" customFormat="1" x14ac:dyDescent="0.15"/>
    <row r="405" s="187" customFormat="1" x14ac:dyDescent="0.15"/>
    <row r="406" s="187" customFormat="1" x14ac:dyDescent="0.15"/>
    <row r="407" s="187" customFormat="1" x14ac:dyDescent="0.15"/>
    <row r="408" s="187" customFormat="1" x14ac:dyDescent="0.15"/>
    <row r="409" s="187" customFormat="1" x14ac:dyDescent="0.15"/>
    <row r="410" s="187" customFormat="1" x14ac:dyDescent="0.15"/>
    <row r="411" s="187" customFormat="1" x14ac:dyDescent="0.15"/>
    <row r="412" s="187" customFormat="1" x14ac:dyDescent="0.15"/>
    <row r="413" s="187" customFormat="1" x14ac:dyDescent="0.15"/>
    <row r="414" s="187" customFormat="1" x14ac:dyDescent="0.15"/>
    <row r="415" s="187" customFormat="1" x14ac:dyDescent="0.15"/>
    <row r="416" s="187" customFormat="1" x14ac:dyDescent="0.15"/>
    <row r="417" s="187" customFormat="1" x14ac:dyDescent="0.15"/>
    <row r="418" s="187" customFormat="1" x14ac:dyDescent="0.15"/>
    <row r="419" s="187" customFormat="1" x14ac:dyDescent="0.15"/>
    <row r="420" s="187" customFormat="1" x14ac:dyDescent="0.15"/>
    <row r="421" s="187" customFormat="1" x14ac:dyDescent="0.15"/>
    <row r="422" s="187" customFormat="1" x14ac:dyDescent="0.15"/>
    <row r="423" s="187" customFormat="1" x14ac:dyDescent="0.15"/>
    <row r="424" s="187" customFormat="1" x14ac:dyDescent="0.15"/>
    <row r="425" s="187" customFormat="1" x14ac:dyDescent="0.15"/>
    <row r="426" s="187" customFormat="1" x14ac:dyDescent="0.15"/>
    <row r="427" s="187" customFormat="1" x14ac:dyDescent="0.15"/>
    <row r="428" s="187" customFormat="1" x14ac:dyDescent="0.15"/>
    <row r="429" s="187" customFormat="1" x14ac:dyDescent="0.15"/>
    <row r="430" s="187" customFormat="1" x14ac:dyDescent="0.15"/>
    <row r="431" s="187" customFormat="1" x14ac:dyDescent="0.15"/>
    <row r="432" s="187" customFormat="1" x14ac:dyDescent="0.15"/>
    <row r="433" s="187" customFormat="1" x14ac:dyDescent="0.15"/>
    <row r="434" s="187" customFormat="1" x14ac:dyDescent="0.15"/>
    <row r="435" s="187" customFormat="1" x14ac:dyDescent="0.15"/>
    <row r="436" s="187" customFormat="1" x14ac:dyDescent="0.15"/>
    <row r="437" s="187" customFormat="1" x14ac:dyDescent="0.15"/>
    <row r="438" s="187" customFormat="1" x14ac:dyDescent="0.15"/>
    <row r="439" s="187" customFormat="1" x14ac:dyDescent="0.15"/>
    <row r="440" s="187" customFormat="1" x14ac:dyDescent="0.15"/>
    <row r="441" s="187" customFormat="1" x14ac:dyDescent="0.15"/>
    <row r="442" s="187" customFormat="1" x14ac:dyDescent="0.15"/>
    <row r="443" s="187" customFormat="1" x14ac:dyDescent="0.15"/>
    <row r="444" s="187" customFormat="1" x14ac:dyDescent="0.15"/>
    <row r="445" s="187" customFormat="1" x14ac:dyDescent="0.15"/>
    <row r="446" s="187" customFormat="1" x14ac:dyDescent="0.15"/>
    <row r="447" s="187" customFormat="1" x14ac:dyDescent="0.15"/>
    <row r="448" s="187" customFormat="1" x14ac:dyDescent="0.15"/>
    <row r="449" s="187" customFormat="1" x14ac:dyDescent="0.15"/>
    <row r="450" s="187" customFormat="1" x14ac:dyDescent="0.15"/>
    <row r="451" s="187" customFormat="1" x14ac:dyDescent="0.15"/>
    <row r="452" s="187" customFormat="1" x14ac:dyDescent="0.15"/>
    <row r="453" s="187" customFormat="1" x14ac:dyDescent="0.15"/>
    <row r="454" s="187" customFormat="1" x14ac:dyDescent="0.15"/>
    <row r="455" s="187" customFormat="1" x14ac:dyDescent="0.15"/>
    <row r="456" s="187" customFormat="1" x14ac:dyDescent="0.15"/>
    <row r="457" s="187" customFormat="1" x14ac:dyDescent="0.15"/>
    <row r="458" s="187" customFormat="1" x14ac:dyDescent="0.15"/>
    <row r="459" s="187" customFormat="1" x14ac:dyDescent="0.15"/>
    <row r="460" s="187" customFormat="1" x14ac:dyDescent="0.15"/>
    <row r="461" s="187" customFormat="1" x14ac:dyDescent="0.15"/>
    <row r="462" s="187" customFormat="1" x14ac:dyDescent="0.15"/>
    <row r="463" s="187" customFormat="1" x14ac:dyDescent="0.15"/>
    <row r="464" s="187" customFormat="1" x14ac:dyDescent="0.15"/>
    <row r="465" s="187" customFormat="1" x14ac:dyDescent="0.15"/>
    <row r="466" s="187" customFormat="1" x14ac:dyDescent="0.15"/>
    <row r="467" s="187" customFormat="1" x14ac:dyDescent="0.15"/>
    <row r="468" s="187" customFormat="1" x14ac:dyDescent="0.15"/>
    <row r="469" s="187" customFormat="1" x14ac:dyDescent="0.15"/>
    <row r="470" s="187" customFormat="1" x14ac:dyDescent="0.15"/>
    <row r="471" s="187" customFormat="1" x14ac:dyDescent="0.15"/>
    <row r="472" s="187" customFormat="1" x14ac:dyDescent="0.15"/>
    <row r="473" s="187" customFormat="1" x14ac:dyDescent="0.15"/>
    <row r="474" s="187" customFormat="1" x14ac:dyDescent="0.15"/>
    <row r="475" s="187" customFormat="1" x14ac:dyDescent="0.15"/>
    <row r="476" s="187" customFormat="1" x14ac:dyDescent="0.15"/>
    <row r="477" s="187" customFormat="1" x14ac:dyDescent="0.15"/>
    <row r="478" s="187" customFormat="1" x14ac:dyDescent="0.15"/>
    <row r="479" s="187" customFormat="1" x14ac:dyDescent="0.15"/>
    <row r="480" s="187" customFormat="1" x14ac:dyDescent="0.15"/>
    <row r="481" s="187" customFormat="1" x14ac:dyDescent="0.15"/>
    <row r="482" s="187" customFormat="1" x14ac:dyDescent="0.15"/>
    <row r="483" s="187" customFormat="1" x14ac:dyDescent="0.15"/>
    <row r="484" s="187" customFormat="1" x14ac:dyDescent="0.15"/>
    <row r="485" s="187" customFormat="1" x14ac:dyDescent="0.15"/>
    <row r="486" s="187" customFormat="1" x14ac:dyDescent="0.15"/>
    <row r="487" s="187" customFormat="1" x14ac:dyDescent="0.15"/>
    <row r="488" s="187" customFormat="1" x14ac:dyDescent="0.15"/>
    <row r="489" s="187" customFormat="1" x14ac:dyDescent="0.15"/>
    <row r="490" s="187" customFormat="1" x14ac:dyDescent="0.15"/>
    <row r="491" s="187" customFormat="1" x14ac:dyDescent="0.15"/>
    <row r="492" s="187" customFormat="1" x14ac:dyDescent="0.15"/>
    <row r="493" s="187" customFormat="1" x14ac:dyDescent="0.15"/>
    <row r="494" s="187" customFormat="1" x14ac:dyDescent="0.15"/>
    <row r="495" s="187" customFormat="1" x14ac:dyDescent="0.15"/>
    <row r="496" s="187" customFormat="1" x14ac:dyDescent="0.15"/>
    <row r="497" s="187" customFormat="1" x14ac:dyDescent="0.15"/>
    <row r="498" s="187" customFormat="1" x14ac:dyDescent="0.15"/>
    <row r="499" s="187" customFormat="1" x14ac:dyDescent="0.15"/>
    <row r="500" s="187" customFormat="1" x14ac:dyDescent="0.15"/>
    <row r="501" s="187" customFormat="1" x14ac:dyDescent="0.15"/>
    <row r="502" s="187" customFormat="1" x14ac:dyDescent="0.15"/>
    <row r="503" s="187" customFormat="1" x14ac:dyDescent="0.15"/>
    <row r="504" s="187" customFormat="1" x14ac:dyDescent="0.15"/>
    <row r="505" s="187" customFormat="1" x14ac:dyDescent="0.15"/>
    <row r="506" s="187" customFormat="1" x14ac:dyDescent="0.15"/>
    <row r="507" s="187" customFormat="1" x14ac:dyDescent="0.15"/>
    <row r="508" s="187" customFormat="1" x14ac:dyDescent="0.15"/>
    <row r="509" s="187" customFormat="1" x14ac:dyDescent="0.15"/>
    <row r="510" s="187" customFormat="1" x14ac:dyDescent="0.15"/>
    <row r="511" s="187" customFormat="1" x14ac:dyDescent="0.15"/>
    <row r="512" s="187" customFormat="1" x14ac:dyDescent="0.15"/>
    <row r="513" s="187" customFormat="1" x14ac:dyDescent="0.15"/>
    <row r="514" s="187" customFormat="1" x14ac:dyDescent="0.15"/>
    <row r="515" s="187" customFormat="1" x14ac:dyDescent="0.15"/>
    <row r="516" s="187" customFormat="1" x14ac:dyDescent="0.15"/>
    <row r="517" s="187" customFormat="1" x14ac:dyDescent="0.15"/>
    <row r="518" s="187" customFormat="1" x14ac:dyDescent="0.15"/>
    <row r="519" s="187" customFormat="1" x14ac:dyDescent="0.15"/>
    <row r="520" s="187" customFormat="1" x14ac:dyDescent="0.15"/>
    <row r="521" s="187" customFormat="1" x14ac:dyDescent="0.15"/>
    <row r="522" s="187" customFormat="1" x14ac:dyDescent="0.15"/>
    <row r="523" s="187" customFormat="1" x14ac:dyDescent="0.15"/>
    <row r="524" s="187" customFormat="1" x14ac:dyDescent="0.15"/>
    <row r="525" s="187" customFormat="1" x14ac:dyDescent="0.15"/>
    <row r="526" s="187" customFormat="1" x14ac:dyDescent="0.15"/>
    <row r="527" s="187" customFormat="1" x14ac:dyDescent="0.15"/>
    <row r="528" s="187" customFormat="1" x14ac:dyDescent="0.15"/>
    <row r="529" s="187" customFormat="1" x14ac:dyDescent="0.15"/>
    <row r="530" s="187" customFormat="1" x14ac:dyDescent="0.15"/>
    <row r="531" s="187" customFormat="1" x14ac:dyDescent="0.15"/>
    <row r="532" s="187" customFormat="1" x14ac:dyDescent="0.15"/>
    <row r="533" s="187" customFormat="1" x14ac:dyDescent="0.15"/>
    <row r="534" s="187" customFormat="1" x14ac:dyDescent="0.15"/>
    <row r="535" s="187" customFormat="1" x14ac:dyDescent="0.15"/>
    <row r="536" s="187" customFormat="1" x14ac:dyDescent="0.15"/>
    <row r="537" s="187" customFormat="1" x14ac:dyDescent="0.15"/>
    <row r="538" s="187" customFormat="1" x14ac:dyDescent="0.15"/>
    <row r="539" s="187" customFormat="1" x14ac:dyDescent="0.15"/>
    <row r="540" s="187" customFormat="1" x14ac:dyDescent="0.15"/>
    <row r="541" s="187" customFormat="1" x14ac:dyDescent="0.15"/>
    <row r="542" s="187" customFormat="1" x14ac:dyDescent="0.15"/>
    <row r="543" s="187" customFormat="1" x14ac:dyDescent="0.15"/>
    <row r="544" s="187" customFormat="1" x14ac:dyDescent="0.15"/>
    <row r="545" s="187" customFormat="1" x14ac:dyDescent="0.15"/>
    <row r="546" s="187" customFormat="1" x14ac:dyDescent="0.15"/>
    <row r="547" s="187" customFormat="1" x14ac:dyDescent="0.15"/>
    <row r="548" s="187" customFormat="1" x14ac:dyDescent="0.15"/>
    <row r="549" s="187" customFormat="1" x14ac:dyDescent="0.15"/>
    <row r="550" s="187" customFormat="1" x14ac:dyDescent="0.15"/>
    <row r="551" s="187" customFormat="1" x14ac:dyDescent="0.15"/>
    <row r="552" s="187" customFormat="1" x14ac:dyDescent="0.15"/>
    <row r="553" s="187" customFormat="1" x14ac:dyDescent="0.15"/>
    <row r="554" s="187" customFormat="1" x14ac:dyDescent="0.15"/>
    <row r="555" s="187" customFormat="1" x14ac:dyDescent="0.15"/>
    <row r="556" s="187" customFormat="1" x14ac:dyDescent="0.15"/>
    <row r="557" s="187" customFormat="1" x14ac:dyDescent="0.15"/>
    <row r="558" s="187" customFormat="1" x14ac:dyDescent="0.15"/>
    <row r="559" s="187" customFormat="1" x14ac:dyDescent="0.15"/>
    <row r="560" s="187" customFormat="1" x14ac:dyDescent="0.15"/>
    <row r="561" s="187" customFormat="1" x14ac:dyDescent="0.15"/>
    <row r="562" s="187" customFormat="1" x14ac:dyDescent="0.15"/>
    <row r="563" s="187" customFormat="1" x14ac:dyDescent="0.15"/>
    <row r="564" s="187" customFormat="1" x14ac:dyDescent="0.15"/>
    <row r="565" s="187" customFormat="1" x14ac:dyDescent="0.15"/>
    <row r="566" s="187" customFormat="1" x14ac:dyDescent="0.15"/>
    <row r="567" s="187" customFormat="1" x14ac:dyDescent="0.15"/>
    <row r="568" s="187" customFormat="1" x14ac:dyDescent="0.15"/>
    <row r="569" s="187" customFormat="1" x14ac:dyDescent="0.15"/>
    <row r="570" s="187" customFormat="1" x14ac:dyDescent="0.15"/>
    <row r="571" s="187" customFormat="1" x14ac:dyDescent="0.15"/>
    <row r="572" s="187" customFormat="1" x14ac:dyDescent="0.15"/>
    <row r="573" s="187" customFormat="1" x14ac:dyDescent="0.15"/>
    <row r="574" s="187" customFormat="1" x14ac:dyDescent="0.15"/>
    <row r="575" s="187" customFormat="1" x14ac:dyDescent="0.15"/>
    <row r="576" s="187" customFormat="1" x14ac:dyDescent="0.15"/>
    <row r="577" s="187" customFormat="1" x14ac:dyDescent="0.15"/>
    <row r="578" s="187" customFormat="1" x14ac:dyDescent="0.15"/>
    <row r="579" s="187" customFormat="1" x14ac:dyDescent="0.15"/>
    <row r="580" s="187" customFormat="1" x14ac:dyDescent="0.15"/>
    <row r="581" s="187" customFormat="1" x14ac:dyDescent="0.15"/>
    <row r="582" s="187" customFormat="1" x14ac:dyDescent="0.15"/>
    <row r="583" s="187" customFormat="1" x14ac:dyDescent="0.15"/>
    <row r="584" s="187" customFormat="1" x14ac:dyDescent="0.15"/>
    <row r="585" s="187" customFormat="1" x14ac:dyDescent="0.15"/>
    <row r="586" s="187" customFormat="1" x14ac:dyDescent="0.15"/>
    <row r="587" s="187" customFormat="1" x14ac:dyDescent="0.15"/>
    <row r="588" s="187" customFormat="1" x14ac:dyDescent="0.15"/>
    <row r="589" s="187" customFormat="1" x14ac:dyDescent="0.15"/>
    <row r="590" s="187" customFormat="1" x14ac:dyDescent="0.15"/>
    <row r="591" s="187" customFormat="1" x14ac:dyDescent="0.15"/>
    <row r="592" s="187" customFormat="1" x14ac:dyDescent="0.15"/>
    <row r="593" s="187" customFormat="1" x14ac:dyDescent="0.15"/>
    <row r="594" s="187" customFormat="1" x14ac:dyDescent="0.15"/>
    <row r="595" s="187" customFormat="1" x14ac:dyDescent="0.15"/>
    <row r="596" s="187" customFormat="1" x14ac:dyDescent="0.15"/>
    <row r="597" s="187" customFormat="1" x14ac:dyDescent="0.15"/>
    <row r="598" s="187" customFormat="1" x14ac:dyDescent="0.15"/>
    <row r="599" s="187" customFormat="1" x14ac:dyDescent="0.15"/>
    <row r="600" s="187" customFormat="1" x14ac:dyDescent="0.15"/>
    <row r="601" s="187" customFormat="1" x14ac:dyDescent="0.15"/>
    <row r="602" s="187" customFormat="1" x14ac:dyDescent="0.15"/>
    <row r="603" s="187" customFormat="1" x14ac:dyDescent="0.15"/>
    <row r="604" s="187" customFormat="1" x14ac:dyDescent="0.15"/>
    <row r="605" s="187" customFormat="1" x14ac:dyDescent="0.15"/>
    <row r="606" s="187" customFormat="1" x14ac:dyDescent="0.15"/>
    <row r="607" s="187" customFormat="1" x14ac:dyDescent="0.15"/>
    <row r="608" s="187" customFormat="1" x14ac:dyDescent="0.15"/>
    <row r="609" s="187" customFormat="1" x14ac:dyDescent="0.15"/>
    <row r="610" s="187" customFormat="1" x14ac:dyDescent="0.15"/>
    <row r="611" s="187" customFormat="1" x14ac:dyDescent="0.15"/>
    <row r="612" s="187" customFormat="1" x14ac:dyDescent="0.15"/>
    <row r="613" s="187" customFormat="1" x14ac:dyDescent="0.15"/>
    <row r="614" s="187" customFormat="1" x14ac:dyDescent="0.15"/>
    <row r="615" s="187" customFormat="1" x14ac:dyDescent="0.15"/>
    <row r="616" s="187" customFormat="1" x14ac:dyDescent="0.15"/>
    <row r="617" s="187" customFormat="1" x14ac:dyDescent="0.15"/>
    <row r="618" s="187" customFormat="1" x14ac:dyDescent="0.15"/>
    <row r="619" s="187" customFormat="1" x14ac:dyDescent="0.15"/>
    <row r="620" s="187" customFormat="1" x14ac:dyDescent="0.15"/>
    <row r="621" s="187" customFormat="1" x14ac:dyDescent="0.15"/>
  </sheetData>
  <sheetProtection algorithmName="SHA-512" hashValue="5IWpnfWb4W0JZyspYMygokjEuppPd5j9swsPwy1bZRXU58MPsSmEdY3NXzYOAYbGcjnGUltyW+s7ZHoL8LoXyA==" saltValue="dFp/mUmUFdDm1JqiOOlgiw==" spinCount="100000" sheet="1" objects="1" scenarios="1"/>
  <dataValidations count="2">
    <dataValidation type="decimal" showInputMessage="1" showErrorMessage="1" errorTitle="Incorrect entry" error="Enter 1.5 or 3.0 only" sqref="C4" xr:uid="{3CC34B90-193E-7345-9D20-1755C71695ED}">
      <formula1>1.5</formula1>
      <formula2>3</formula2>
    </dataValidation>
    <dataValidation type="whole" showInputMessage="1" showErrorMessage="1" errorTitle="Incorrect number" error="Please enter quarterly consumption between 700-4000kWh" sqref="C5" xr:uid="{06CE745D-BCBB-1F44-A701-F97B2894C732}">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37EE0-9441-5445-8E84-CDC5B09FB943}">
  <sheetPr codeName="Sheet17"/>
  <dimension ref="A1:OD1359"/>
  <sheetViews>
    <sheetView zoomScale="90" zoomScaleNormal="90" workbookViewId="0">
      <selection activeCell="R10" sqref="R10:R35"/>
    </sheetView>
  </sheetViews>
  <sheetFormatPr baseColWidth="10" defaultRowHeight="14" x14ac:dyDescent="0.15"/>
  <cols>
    <col min="1" max="1" width="21.6640625" style="187" customWidth="1"/>
    <col min="2" max="2" width="27" style="187" customWidth="1"/>
    <col min="3" max="10" width="13.83203125" style="187" customWidth="1"/>
    <col min="11" max="12" width="13.83203125" style="187" hidden="1" customWidth="1"/>
    <col min="13" max="18" width="13.83203125" style="187" customWidth="1"/>
    <col min="19" max="24" width="13.83203125" style="187" hidden="1" customWidth="1"/>
    <col min="25" max="30" width="13.83203125" style="187" customWidth="1"/>
    <col min="31" max="394" width="10.83203125" style="187"/>
    <col min="395" max="16384" width="10.83203125" style="213"/>
  </cols>
  <sheetData>
    <row r="1" spans="1:48" s="187" customFormat="1" x14ac:dyDescent="0.15">
      <c r="A1" s="340" t="s">
        <v>340</v>
      </c>
      <c r="B1" s="340"/>
      <c r="C1" s="340"/>
      <c r="D1" s="340"/>
      <c r="E1" s="340"/>
      <c r="F1" s="340"/>
      <c r="G1" s="340"/>
      <c r="H1" s="340"/>
      <c r="I1" s="340"/>
      <c r="J1" s="340"/>
      <c r="K1" s="340">
        <v>3</v>
      </c>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row>
    <row r="2" spans="1:48" s="187" customFormat="1" x14ac:dyDescent="0.15">
      <c r="A2" s="341" t="s">
        <v>152</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row>
    <row r="3" spans="1:48" s="187" customFormat="1" x14ac:dyDescent="0.15">
      <c r="A3" s="341"/>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row>
    <row r="4" spans="1:48" s="187" customFormat="1" x14ac:dyDescent="0.15">
      <c r="A4" s="331" t="s">
        <v>341</v>
      </c>
      <c r="B4" s="332"/>
      <c r="C4" s="175">
        <v>3</v>
      </c>
      <c r="D4" s="340"/>
      <c r="E4" s="329" t="s">
        <v>366</v>
      </c>
      <c r="F4" s="333">
        <f>IF(C4&lt;K1,(630),(1260))</f>
        <v>1260</v>
      </c>
      <c r="G4" s="331"/>
      <c r="H4" s="178" t="s">
        <v>367</v>
      </c>
      <c r="I4" s="179" t="s">
        <v>368</v>
      </c>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row>
    <row r="5" spans="1:48" s="187" customFormat="1" x14ac:dyDescent="0.15">
      <c r="A5" s="334" t="s">
        <v>369</v>
      </c>
      <c r="B5" s="335"/>
      <c r="C5" s="182">
        <v>1500</v>
      </c>
      <c r="D5" s="340"/>
      <c r="E5" s="329" t="s">
        <v>370</v>
      </c>
      <c r="F5" s="330">
        <f>C5-(F4-F6)</f>
        <v>892.68</v>
      </c>
      <c r="G5" s="334" t="s">
        <v>371</v>
      </c>
      <c r="H5" s="184">
        <f>F5*80/100</f>
        <v>714.14399999999989</v>
      </c>
      <c r="I5" s="185">
        <f>F5*20/100</f>
        <v>178.53599999999997</v>
      </c>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row>
    <row r="6" spans="1:48" s="187" customFormat="1" x14ac:dyDescent="0.15">
      <c r="A6" s="340"/>
      <c r="B6" s="340"/>
      <c r="C6" s="340"/>
      <c r="D6" s="340"/>
      <c r="E6" s="329" t="s">
        <v>372</v>
      </c>
      <c r="F6" s="330">
        <f>IF(C4&lt;K1,(F4*22.1/100),(F4*51.8/100))</f>
        <v>652.67999999999995</v>
      </c>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row>
    <row r="7" spans="1:48" s="187" customFormat="1" ht="15" thickBot="1" x14ac:dyDescent="0.2">
      <c r="A7" s="340"/>
      <c r="B7" s="340"/>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row>
    <row r="8" spans="1:48" s="187" customFormat="1" x14ac:dyDescent="0.15">
      <c r="A8" s="336" t="s">
        <v>356</v>
      </c>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268"/>
      <c r="AE8" s="340"/>
      <c r="AF8" s="340"/>
      <c r="AG8" s="340"/>
      <c r="AH8" s="340"/>
      <c r="AI8" s="340"/>
      <c r="AJ8" s="340"/>
      <c r="AK8" s="340"/>
      <c r="AL8" s="340"/>
      <c r="AM8" s="340"/>
      <c r="AN8" s="340"/>
      <c r="AO8" s="340"/>
      <c r="AP8" s="340"/>
      <c r="AQ8" s="340"/>
      <c r="AR8" s="340"/>
      <c r="AS8" s="340"/>
      <c r="AT8" s="340"/>
      <c r="AU8" s="340"/>
      <c r="AV8" s="340"/>
    </row>
    <row r="9" spans="1:48" s="187" customFormat="1" ht="90" x14ac:dyDescent="0.15">
      <c r="A9" s="271" t="s">
        <v>231</v>
      </c>
      <c r="B9" s="272" t="s">
        <v>243</v>
      </c>
      <c r="C9" s="279" t="s">
        <v>244</v>
      </c>
      <c r="D9" s="279" t="s">
        <v>227</v>
      </c>
      <c r="E9" s="279" t="s">
        <v>357</v>
      </c>
      <c r="F9" s="279" t="s">
        <v>358</v>
      </c>
      <c r="G9" s="279" t="s">
        <v>321</v>
      </c>
      <c r="H9" s="279" t="s">
        <v>328</v>
      </c>
      <c r="I9" s="279" t="s">
        <v>329</v>
      </c>
      <c r="J9" s="273" t="s">
        <v>799</v>
      </c>
      <c r="K9" s="280" t="s">
        <v>246</v>
      </c>
      <c r="L9" s="280" t="s">
        <v>247</v>
      </c>
      <c r="M9" s="274" t="s">
        <v>636</v>
      </c>
      <c r="N9" s="275" t="s">
        <v>249</v>
      </c>
      <c r="O9" s="275" t="s">
        <v>250</v>
      </c>
      <c r="P9" s="275" t="s">
        <v>251</v>
      </c>
      <c r="Q9" s="275" t="s">
        <v>365</v>
      </c>
      <c r="R9" s="276" t="s">
        <v>373</v>
      </c>
      <c r="S9" s="281" t="s">
        <v>637</v>
      </c>
      <c r="T9" s="281" t="s">
        <v>638</v>
      </c>
      <c r="U9" s="282" t="s">
        <v>255</v>
      </c>
      <c r="V9" s="282" t="s">
        <v>224</v>
      </c>
      <c r="W9" s="282" t="s">
        <v>374</v>
      </c>
      <c r="X9" s="282" t="s">
        <v>375</v>
      </c>
      <c r="Y9" s="276" t="s">
        <v>376</v>
      </c>
      <c r="Z9" s="276" t="s">
        <v>436</v>
      </c>
      <c r="AA9" s="275" t="s">
        <v>155</v>
      </c>
      <c r="AB9" s="275" t="s">
        <v>225</v>
      </c>
      <c r="AC9" s="275" t="s">
        <v>226</v>
      </c>
      <c r="AD9" s="277" t="s">
        <v>221</v>
      </c>
      <c r="AE9" s="340"/>
      <c r="AF9" s="340"/>
      <c r="AG9" s="340"/>
      <c r="AH9" s="340"/>
      <c r="AI9" s="340"/>
      <c r="AJ9" s="340"/>
      <c r="AK9" s="340"/>
      <c r="AL9" s="340"/>
      <c r="AM9" s="340"/>
      <c r="AN9" s="340"/>
      <c r="AO9" s="340"/>
      <c r="AP9" s="340"/>
      <c r="AQ9" s="340"/>
      <c r="AR9" s="340"/>
      <c r="AS9" s="340"/>
      <c r="AT9" s="340"/>
      <c r="AU9" s="340"/>
      <c r="AV9" s="340"/>
    </row>
    <row r="10" spans="1:48" s="187" customFormat="1" x14ac:dyDescent="0.15">
      <c r="A10" s="186" t="str">
        <f>'Tariff Jul 2021'!K2</f>
        <v>AGL</v>
      </c>
      <c r="B10" s="187" t="str">
        <f>'Tariff Jul 2021'!L2</f>
        <v>Solar Savers</v>
      </c>
      <c r="C10" s="188">
        <f>IF('Tariff Jul 2021'!BP2=0,91*'Tariff Jul 2021'!M2/100,(91*'Tariff Jul 2021'!M2/100)+'Tariff Jul 2021'!BP2/4)</f>
        <v>81.767636363636356</v>
      </c>
      <c r="D10" s="188">
        <f>IF('Tariff Jul 2021'!O2="",$F$5*'Tariff Jul 2021'!N2/100,IF($F$5&gt;='Tariff Jul 2021'!P2,('Tariff Jul 2021'!P2*'Tariff Jul 2021'!N2/100),($F$5*'Tariff Jul 2021'!N2/100)))</f>
        <v>274.94543999999996</v>
      </c>
      <c r="E10" s="188">
        <f>IF(AND('Tariff Jul 2021'!P2&gt;0,'Tariff Jul 2021'!R2&gt;0),IF($F$5&lt;'Tariff Jul 2021'!P2,0,IF($F$5&lt;=('Tariff Jul 2021'!R2+'Tariff Jul 2021'!P2),(($F$5-'Tariff Jul 2021'!P2)*'Tariff Jul 2021'!Q2/100),(('Tariff Jul 2021'!R2)*'Tariff Jul 2021'!Q2/100))),0)</f>
        <v>0</v>
      </c>
      <c r="F10" s="189">
        <f>IF(AND('Tariff Jul 2021'!Q2&gt;0,'Tariff Jul 2021'!S2&gt;0),IF($F$5&lt;('Tariff Jul 2021'!R2+'Tariff Jul 2021'!P2),0,IF($F$5&lt;=('Tariff Jul 2021'!T2+'Tariff Jul 2021'!R2+'Tariff Jul 2021'!P2),(($F$5-('Tariff Jul 2021'!R2+'Tariff Jul 2021'!P2))*'Tariff Jul 2021'!S2/100),('Tariff Jul 2021'!T2*'Tariff Jul 2021'!S2/100))),0)</f>
        <v>0</v>
      </c>
      <c r="G10" s="188">
        <v>0</v>
      </c>
      <c r="H10" s="188">
        <v>0</v>
      </c>
      <c r="I10" s="189">
        <f>IF('Tariff Jul 2021'!T2&gt;0,IF(($F$5&lt;'Tariff Jul 2021'!T2),(0),($F$5-'Tariff Jul 2021'!T2)*'Tariff Jul 2021'!U2/100),IF(AND('Tariff Jul 2021'!R2&gt;0,'Tariff Jul 2021'!T2=""),IF(($F$5&lt;'Tariff Jul 2021'!R2),(0),($F$5-'Tariff Jul 2021'!R2)*'Tariff Jul 2021'!S2/100),IF(AND('Tariff Jul 2021'!P2&gt;0,'Tariff Jul 2021'!R2=""),IF(($F$5&lt;'Tariff Jul 2021'!P2),(0),($F$5-'Tariff Jul 2021'!P2)*'Tariff Jul 2021'!Q2/100),0)))</f>
        <v>0</v>
      </c>
      <c r="J10" s="188">
        <f>SUM(C10:I10)</f>
        <v>356.71307636363633</v>
      </c>
      <c r="K10" s="283">
        <f>(J10-C10)*4</f>
        <v>1099.7817599999998</v>
      </c>
      <c r="L10" s="283">
        <f>J10*4</f>
        <v>1426.8523054545453</v>
      </c>
      <c r="M10" s="191">
        <f>L10*1.1</f>
        <v>1569.537536</v>
      </c>
      <c r="N10" s="187">
        <f>'Tariff Jul 2021'!AZ2</f>
        <v>0</v>
      </c>
      <c r="O10" s="187">
        <f>'Tariff Jul 2021'!BA2</f>
        <v>0</v>
      </c>
      <c r="P10" s="187">
        <f>'Tariff Jul 2021'!BB2</f>
        <v>0</v>
      </c>
      <c r="Q10" s="187">
        <f>'Tariff Jul 2021'!BC2</f>
        <v>0</v>
      </c>
      <c r="R10" s="192">
        <f>($F$6*'Tariff Jul 2021'!AT2/100)*4</f>
        <v>417.71519999999998</v>
      </c>
      <c r="S10" s="193" t="str">
        <f t="shared" ref="S10:S35" si="0">IF(SUM(N10:Q10)=0,"No discount",IF(N10&gt;0,"Guaranteed off bill",IF(O10&gt;0,"Guaranteed off usage",IF(P10&gt;0,"Pay-on-time off bill","Pay-on-time off usage"))))</f>
        <v>No discount</v>
      </c>
      <c r="T10" s="193" t="str">
        <f t="shared" ref="T10:T35" si="1">IF(OR(A10="Origin Energy",A10="Red Energy",A10="Powershop"),"Inclusive","Exclusive")</f>
        <v>Exclusive</v>
      </c>
      <c r="U10" s="304">
        <f t="shared" ref="U10:U35" si="2">IF(AND(S10="Guaranteed off bill",T10="Inclusive"),((L10*1.1)-((L10*1.1)*N10/100))/1.1,IF(AND(S10="Guaranteed off usage",T10="Inclusive"),((L10*1.1)-((K10*1.1)*O10/100))/1.1,IF(AND(S10="Guaranteed off bill",T10="Exclusive"),L10-(L10*N10/100),IF(AND(S10="Guaranteed off usage",T10="Exclusive"),L10-(K10*O10/100),IF(T10="Inclusive",((L10*1.1))/1.1,L10)))))</f>
        <v>1426.8523054545453</v>
      </c>
      <c r="V10" s="283">
        <f t="shared" ref="V10:V35" si="3">IF(AND(S10="Pay-on-time off bill",T10="Inclusive"),((U10*1.1)-((U10*1.1)*P10/100))/1.1,IF(AND(S10="Pay-on-time off usage",T10="Inclusive"),((U10*1.1)-((K10*1.1)*Q10/100))/1.1,IF(AND(S10="Pay-on-time off bill",T10="Exclusive"),U10-(U10*P10/100),IF(AND(S10="Pay-on-time off usage",T10="Exclusive"),U10-(K10*Q10/100),IF(T10="Inclusive",((U10*1.1))/1.1,U10)))))</f>
        <v>1426.8523054545453</v>
      </c>
      <c r="W10" s="283">
        <f t="shared" ref="W10:W33" si="4">U10-R10</f>
        <v>1009.1371054545453</v>
      </c>
      <c r="X10" s="283">
        <f t="shared" ref="X10:X33" si="5">V10-R10</f>
        <v>1009.1371054545453</v>
      </c>
      <c r="Y10" s="285">
        <f t="shared" ref="Y10:Z25" si="6">W10*1.1</f>
        <v>1110.0508159999999</v>
      </c>
      <c r="Z10" s="285">
        <f t="shared" si="6"/>
        <v>1110.0508159999999</v>
      </c>
      <c r="AA10" s="194">
        <f>'Tariff Jul 2021'!AT2</f>
        <v>16</v>
      </c>
      <c r="AB10" s="195">
        <f>'Tariff Jul 2021'!BL2</f>
        <v>0</v>
      </c>
      <c r="AC10" s="195" t="str">
        <f>'Tariff Jul 2021'!BM2</f>
        <v>n</v>
      </c>
      <c r="AD10" s="196">
        <f>'Tariff Jul 2021'!G2</f>
        <v>42922</v>
      </c>
      <c r="AE10" s="340"/>
      <c r="AF10" s="340"/>
      <c r="AG10" s="340"/>
      <c r="AH10" s="340"/>
      <c r="AI10" s="340"/>
      <c r="AJ10" s="340"/>
      <c r="AK10" s="340"/>
      <c r="AL10" s="340"/>
      <c r="AM10" s="340"/>
      <c r="AN10" s="340"/>
      <c r="AO10" s="340"/>
      <c r="AP10" s="340"/>
      <c r="AQ10" s="340"/>
      <c r="AR10" s="340"/>
      <c r="AS10" s="340"/>
      <c r="AT10" s="340"/>
      <c r="AU10" s="340"/>
      <c r="AV10" s="340"/>
    </row>
    <row r="11" spans="1:48" s="187" customFormat="1" x14ac:dyDescent="0.15">
      <c r="A11" s="186" t="str">
        <f>'Tariff Jul 2021'!K3</f>
        <v>Alinta Energy</v>
      </c>
      <c r="B11" s="187" t="str">
        <f>'Tariff Jul 2021'!L3</f>
        <v>Home Deal</v>
      </c>
      <c r="C11" s="188">
        <f>IF('Tariff Jul 2021'!BP3=0,91*'Tariff Jul 2021'!M3/100,(91*'Tariff Jul 2021'!M3/100)+'Tariff Jul 2021'!BP3/4)</f>
        <v>75.53</v>
      </c>
      <c r="D11" s="188">
        <f>IF('Tariff Jul 2021'!O3="",$F$5*'Tariff Jul 2021'!N3/100,IF($F$5&gt;='Tariff Jul 2021'!P3,('Tariff Jul 2021'!P3*'Tariff Jul 2021'!N3/100),($F$5*'Tariff Jul 2021'!N3/100)))</f>
        <v>72.190909090909088</v>
      </c>
      <c r="E11" s="188">
        <f>IF(AND('Tariff Jul 2021'!P3&gt;0,'Tariff Jul 2021'!R3&gt;0),IF($F$5&lt;'Tariff Jul 2021'!P3,0,IF($F$5&lt;=('Tariff Jul 2021'!R3+'Tariff Jul 2021'!P3),(($F$5-'Tariff Jul 2021'!P3)*'Tariff Jul 2021'!Q3/100),(('Tariff Jul 2021'!R3)*'Tariff Jul 2021'!Q3/100))),0)</f>
        <v>0</v>
      </c>
      <c r="F11" s="189">
        <f>IF(AND('Tariff Jul 2021'!Q3&gt;0,'Tariff Jul 2021'!S3&gt;0),IF($F$5&lt;('Tariff Jul 2021'!R3+'Tariff Jul 2021'!P3),0,IF($F$5&lt;=('Tariff Jul 2021'!T3+'Tariff Jul 2021'!R3+'Tariff Jul 2021'!P3),(($F$5-('Tariff Jul 2021'!R3+'Tariff Jul 2021'!P3))*'Tariff Jul 2021'!S3/100),('Tariff Jul 2021'!T3*'Tariff Jul 2021'!S3/100))),0)</f>
        <v>0</v>
      </c>
      <c r="G11" s="188">
        <v>0</v>
      </c>
      <c r="H11" s="188">
        <v>0</v>
      </c>
      <c r="I11" s="189">
        <f>IF('Tariff Jul 2021'!T3&gt;0,IF(($F$5&lt;'Tariff Jul 2021'!T3),(0),($F$5-'Tariff Jul 2021'!T3)*'Tariff Jul 2021'!U3/100),IF(AND('Tariff Jul 2021'!R3&gt;0,'Tariff Jul 2021'!T3=""),IF(($F$5&lt;'Tariff Jul 2021'!R3),(0),($F$5-'Tariff Jul 2021'!R3)*'Tariff Jul 2021'!S3/100),IF(AND('Tariff Jul 2021'!P3&gt;0,'Tariff Jul 2021'!R3=""),IF(($F$5&lt;'Tariff Jul 2021'!P3),(0),($F$5-'Tariff Jul 2021'!P3)*'Tariff Jul 2021'!Q3/100),0)))</f>
        <v>158.83823999999996</v>
      </c>
      <c r="J11" s="188">
        <f t="shared" ref="J11:J33" si="7">SUM(C11:I11)</f>
        <v>306.55914909090905</v>
      </c>
      <c r="K11" s="283">
        <f>(J11-C11)*4</f>
        <v>924.11659636363618</v>
      </c>
      <c r="L11" s="283">
        <f t="shared" ref="L11:L33" si="8">J11*4</f>
        <v>1226.2365963636362</v>
      </c>
      <c r="M11" s="191">
        <f t="shared" ref="M11:M33" si="9">L11*1.1</f>
        <v>1348.8602559999999</v>
      </c>
      <c r="N11" s="187">
        <f>'Tariff Jul 2021'!AZ3</f>
        <v>0</v>
      </c>
      <c r="O11" s="187">
        <f>'Tariff Jul 2021'!BA3</f>
        <v>0</v>
      </c>
      <c r="P11" s="187">
        <f>'Tariff Jul 2021'!BB3</f>
        <v>0</v>
      </c>
      <c r="Q11" s="187">
        <f>'Tariff Jul 2021'!BC3</f>
        <v>0</v>
      </c>
      <c r="R11" s="192">
        <f>($F$6*'Tariff Jul 2021'!AT3/100)*4</f>
        <v>248.01839999999996</v>
      </c>
      <c r="S11" s="193" t="str">
        <f t="shared" si="0"/>
        <v>No discount</v>
      </c>
      <c r="T11" s="193" t="str">
        <f t="shared" si="1"/>
        <v>Exclusive</v>
      </c>
      <c r="U11" s="304">
        <f t="shared" si="2"/>
        <v>1226.2365963636362</v>
      </c>
      <c r="V11" s="283">
        <f t="shared" si="3"/>
        <v>1226.2365963636362</v>
      </c>
      <c r="W11" s="283">
        <f t="shared" si="4"/>
        <v>978.21819636363625</v>
      </c>
      <c r="X11" s="283">
        <f t="shared" si="5"/>
        <v>978.21819636363625</v>
      </c>
      <c r="Y11" s="285">
        <f t="shared" si="6"/>
        <v>1076.0400159999999</v>
      </c>
      <c r="Z11" s="285">
        <f t="shared" si="6"/>
        <v>1076.0400159999999</v>
      </c>
      <c r="AA11" s="194">
        <f>'Tariff Jul 2021'!AT3</f>
        <v>9.5</v>
      </c>
      <c r="AB11" s="195">
        <f>'Tariff Jul 2021'!BL3</f>
        <v>0</v>
      </c>
      <c r="AC11" s="195" t="str">
        <f>'Tariff Jul 2021'!BM3</f>
        <v>n</v>
      </c>
      <c r="AD11" s="196">
        <f>'Tariff Jul 2021'!G3</f>
        <v>42916</v>
      </c>
      <c r="AE11" s="340"/>
      <c r="AF11" s="340"/>
      <c r="AG11" s="340"/>
      <c r="AH11" s="340"/>
      <c r="AI11" s="340"/>
      <c r="AJ11" s="340"/>
      <c r="AK11" s="340"/>
      <c r="AL11" s="340"/>
      <c r="AM11" s="340"/>
      <c r="AN11" s="340"/>
      <c r="AO11" s="340"/>
      <c r="AP11" s="340"/>
      <c r="AQ11" s="340"/>
      <c r="AR11" s="340"/>
      <c r="AS11" s="340"/>
      <c r="AT11" s="340"/>
      <c r="AU11" s="340"/>
      <c r="AV11" s="340"/>
    </row>
    <row r="12" spans="1:48" s="187" customFormat="1" x14ac:dyDescent="0.15">
      <c r="A12" s="186" t="str">
        <f>'Tariff Jul 2021'!K4</f>
        <v>Diamond Energy</v>
      </c>
      <c r="B12" s="187" t="str">
        <f>'Tariff Jul 2021'!L4</f>
        <v>Renewable Saver POT</v>
      </c>
      <c r="C12" s="188">
        <f>IF('Tariff Jul 2021'!BP4=0,91*'Tariff Jul 2021'!M4/100,(91*'Tariff Jul 2021'!M4/100)+'Tariff Jul 2021'!BP4/4)</f>
        <v>79.124499999999998</v>
      </c>
      <c r="D12" s="188">
        <f>IF('Tariff Jul 2021'!O4="",$F$5*'Tariff Jul 2021'!N4/100,IF($F$5&gt;='Tariff Jul 2021'!P4,('Tariff Jul 2021'!P4*'Tariff Jul 2021'!N4/100),($F$5*'Tariff Jul 2021'!N4/100)))</f>
        <v>99.78</v>
      </c>
      <c r="E12" s="188">
        <f>IF(AND('Tariff Jul 2021'!P4&gt;0,'Tariff Jul 2021'!R4&gt;0),IF($F$5&lt;'Tariff Jul 2021'!P4,0,IF($F$5&lt;=('Tariff Jul 2021'!R4+'Tariff Jul 2021'!P4),(($F$5-'Tariff Jul 2021'!P4)*'Tariff Jul 2021'!Q4/100),(('Tariff Jul 2021'!R4)*'Tariff Jul 2021'!Q4/100))),0)</f>
        <v>212.712852</v>
      </c>
      <c r="F12" s="189">
        <f>IF(AND('Tariff Jul 2021'!Q4&gt;0,'Tariff Jul 2021'!S4&gt;0),IF($F$5&lt;('Tariff Jul 2021'!R4+'Tariff Jul 2021'!P4),0,IF($F$5&lt;=('Tariff Jul 2021'!T4+'Tariff Jul 2021'!R4+'Tariff Jul 2021'!P4),(($F$5-('Tariff Jul 2021'!R4+'Tariff Jul 2021'!P4))*'Tariff Jul 2021'!S4/100),('Tariff Jul 2021'!T4*'Tariff Jul 2021'!S4/100))),0)</f>
        <v>0</v>
      </c>
      <c r="G12" s="188">
        <v>0</v>
      </c>
      <c r="H12" s="188">
        <v>0</v>
      </c>
      <c r="I12" s="189">
        <f>IF('Tariff Jul 2021'!T4&gt;0,IF(($F$5&lt;'Tariff Jul 2021'!T4),(0),($F$5-'Tariff Jul 2021'!T4)*'Tariff Jul 2021'!U4/100),IF(AND('Tariff Jul 2021'!R4&gt;0,'Tariff Jul 2021'!T4=""),IF(($F$5&lt;'Tariff Jul 2021'!R4),(0),($F$5-'Tariff Jul 2021'!R4)*'Tariff Jul 2021'!S4/100),IF(AND('Tariff Jul 2021'!P4&gt;0,'Tariff Jul 2021'!R4=""),IF(($F$5&lt;'Tariff Jul 2021'!P4),(0),($F$5-'Tariff Jul 2021'!P4)*'Tariff Jul 2021'!Q4/100),0)))</f>
        <v>0</v>
      </c>
      <c r="J12" s="188">
        <f t="shared" si="7"/>
        <v>391.61735199999998</v>
      </c>
      <c r="K12" s="283">
        <f t="shared" ref="K12:K33" si="10">(J12-C12)*4</f>
        <v>1249.9714079999999</v>
      </c>
      <c r="L12" s="283">
        <f t="shared" si="8"/>
        <v>1566.4694079999999</v>
      </c>
      <c r="M12" s="191">
        <f t="shared" si="9"/>
        <v>1723.1163488</v>
      </c>
      <c r="N12" s="187">
        <f>'Tariff Jul 2021'!AZ4</f>
        <v>0</v>
      </c>
      <c r="O12" s="187">
        <f>'Tariff Jul 2021'!BA4</f>
        <v>0</v>
      </c>
      <c r="P12" s="187">
        <f>'Tariff Jul 2021'!BB4</f>
        <v>7</v>
      </c>
      <c r="Q12" s="187">
        <f>'Tariff Jul 2021'!BC4</f>
        <v>0</v>
      </c>
      <c r="R12" s="192">
        <f>($F$6*'Tariff Jul 2021'!AT4/100)*4</f>
        <v>266.29343999999998</v>
      </c>
      <c r="S12" s="193" t="str">
        <f t="shared" si="0"/>
        <v>Pay-on-time off bill</v>
      </c>
      <c r="T12" s="193" t="str">
        <f t="shared" si="1"/>
        <v>Exclusive</v>
      </c>
      <c r="U12" s="304">
        <f t="shared" si="2"/>
        <v>1566.4694079999999</v>
      </c>
      <c r="V12" s="283">
        <f t="shared" si="3"/>
        <v>1456.81654944</v>
      </c>
      <c r="W12" s="283">
        <f t="shared" si="4"/>
        <v>1300.175968</v>
      </c>
      <c r="X12" s="283">
        <f t="shared" si="5"/>
        <v>1190.5231094400001</v>
      </c>
      <c r="Y12" s="285">
        <f t="shared" si="6"/>
        <v>1430.1935648000001</v>
      </c>
      <c r="Z12" s="285">
        <f t="shared" si="6"/>
        <v>1309.5754203840002</v>
      </c>
      <c r="AA12" s="194">
        <f>'Tariff Jul 2021'!AT4</f>
        <v>10.199999999999999</v>
      </c>
      <c r="AB12" s="195">
        <f>'Tariff Jul 2021'!BL4</f>
        <v>0</v>
      </c>
      <c r="AC12" s="195" t="str">
        <f>'Tariff Jul 2021'!BM4</f>
        <v>n</v>
      </c>
      <c r="AD12" s="196">
        <f>'Tariff Jul 2021'!G4</f>
        <v>42643</v>
      </c>
      <c r="AE12" s="340"/>
      <c r="AF12" s="340"/>
      <c r="AG12" s="340"/>
      <c r="AH12" s="340"/>
      <c r="AI12" s="340"/>
      <c r="AJ12" s="340"/>
      <c r="AK12" s="340"/>
      <c r="AL12" s="340"/>
      <c r="AM12" s="340"/>
      <c r="AN12" s="340"/>
      <c r="AO12" s="340"/>
      <c r="AP12" s="340"/>
      <c r="AQ12" s="340"/>
      <c r="AR12" s="340"/>
      <c r="AS12" s="340"/>
      <c r="AT12" s="340"/>
      <c r="AU12" s="340"/>
      <c r="AV12" s="340"/>
    </row>
    <row r="13" spans="1:48" s="187" customFormat="1" x14ac:dyDescent="0.15">
      <c r="A13" s="186" t="str">
        <f>'Tariff Jul 2021'!K5</f>
        <v>Dodo Power &amp; Gas</v>
      </c>
      <c r="B13" s="187" t="str">
        <f>'Tariff Jul 2021'!L5</f>
        <v>Market offer</v>
      </c>
      <c r="C13" s="188">
        <f>IF('Tariff Jul 2021'!BP5=0,91*'Tariff Jul 2021'!M5/100,(91*'Tariff Jul 2021'!M5/100)+'Tariff Jul 2021'!BP5/4)</f>
        <v>86.1190909090909</v>
      </c>
      <c r="D13" s="188">
        <f>IF('Tariff Jul 2021'!O5="",$F$5*'Tariff Jul 2021'!N5/100,IF($F$5&gt;='Tariff Jul 2021'!P5,('Tariff Jul 2021'!P5*'Tariff Jul 2021'!N5/100),($F$5*'Tariff Jul 2021'!N5/100)))</f>
        <v>261.96100363636361</v>
      </c>
      <c r="E13" s="188">
        <f>IF(AND('Tariff Jul 2021'!P5&gt;0,'Tariff Jul 2021'!R5&gt;0),IF($F$5&lt;'Tariff Jul 2021'!P5,0,IF($F$5&lt;=('Tariff Jul 2021'!R5+'Tariff Jul 2021'!P5),(($F$5-'Tariff Jul 2021'!P5)*'Tariff Jul 2021'!Q5/100),(('Tariff Jul 2021'!R5)*'Tariff Jul 2021'!Q5/100))),0)</f>
        <v>0</v>
      </c>
      <c r="F13" s="189">
        <f>IF(AND('Tariff Jul 2021'!Q5&gt;0,'Tariff Jul 2021'!S5&gt;0),IF($F$5&lt;('Tariff Jul 2021'!R5+'Tariff Jul 2021'!P5),0,IF($F$5&lt;=('Tariff Jul 2021'!T5+'Tariff Jul 2021'!R5+'Tariff Jul 2021'!P5),(($F$5-('Tariff Jul 2021'!R5+'Tariff Jul 2021'!P5))*'Tariff Jul 2021'!S5/100),('Tariff Jul 2021'!T5*'Tariff Jul 2021'!S5/100))),0)</f>
        <v>0</v>
      </c>
      <c r="G13" s="188">
        <v>0</v>
      </c>
      <c r="H13" s="188">
        <v>0</v>
      </c>
      <c r="I13" s="189">
        <f>IF('Tariff Jul 2021'!T5&gt;0,IF(($F$5&lt;'Tariff Jul 2021'!T5),(0),($F$5-'Tariff Jul 2021'!T5)*'Tariff Jul 2021'!U5/100),IF(AND('Tariff Jul 2021'!R5&gt;0,'Tariff Jul 2021'!T5=""),IF(($F$5&lt;'Tariff Jul 2021'!R5),(0),($F$5-'Tariff Jul 2021'!R5)*'Tariff Jul 2021'!S5/100),IF(AND('Tariff Jul 2021'!P5&gt;0,'Tariff Jul 2021'!R5=""),IF(($F$5&lt;'Tariff Jul 2021'!P5),(0),($F$5-'Tariff Jul 2021'!P5)*'Tariff Jul 2021'!Q5/100),0)))</f>
        <v>0</v>
      </c>
      <c r="J13" s="188">
        <f t="shared" si="7"/>
        <v>348.08009454545453</v>
      </c>
      <c r="K13" s="283">
        <f t="shared" si="10"/>
        <v>1047.8440145454545</v>
      </c>
      <c r="L13" s="283">
        <f t="shared" si="8"/>
        <v>1392.3203781818181</v>
      </c>
      <c r="M13" s="191">
        <f t="shared" si="9"/>
        <v>1531.552416</v>
      </c>
      <c r="N13" s="187">
        <f>'Tariff Jul 2021'!AZ5</f>
        <v>0</v>
      </c>
      <c r="O13" s="187">
        <f>'Tariff Jul 2021'!BA5</f>
        <v>0</v>
      </c>
      <c r="P13" s="187">
        <f>'Tariff Jul 2021'!BB5</f>
        <v>0</v>
      </c>
      <c r="Q13" s="187">
        <f>'Tariff Jul 2021'!BC5</f>
        <v>0</v>
      </c>
      <c r="R13" s="192">
        <f>($F$6*'Tariff Jul 2021'!AT5/100)*4</f>
        <v>302.84351999999996</v>
      </c>
      <c r="S13" s="193" t="str">
        <f t="shared" si="0"/>
        <v>No discount</v>
      </c>
      <c r="T13" s="193" t="str">
        <f t="shared" si="1"/>
        <v>Exclusive</v>
      </c>
      <c r="U13" s="304">
        <f t="shared" si="2"/>
        <v>1392.3203781818181</v>
      </c>
      <c r="V13" s="283">
        <f t="shared" si="3"/>
        <v>1392.3203781818181</v>
      </c>
      <c r="W13" s="283">
        <f t="shared" si="4"/>
        <v>1089.4768581818182</v>
      </c>
      <c r="X13" s="283">
        <f t="shared" si="5"/>
        <v>1089.4768581818182</v>
      </c>
      <c r="Y13" s="285">
        <f t="shared" si="6"/>
        <v>1198.4245440000002</v>
      </c>
      <c r="Z13" s="285">
        <f t="shared" si="6"/>
        <v>1198.4245440000002</v>
      </c>
      <c r="AA13" s="194">
        <f>'Tariff Jul 2021'!AT5</f>
        <v>11.6</v>
      </c>
      <c r="AB13" s="195">
        <f>'Tariff Jul 2021'!BL5</f>
        <v>0</v>
      </c>
      <c r="AC13" s="195" t="str">
        <f>'Tariff Jul 2021'!BM5</f>
        <v>n</v>
      </c>
      <c r="AD13" s="196">
        <f>'Tariff Jul 2021'!G5</f>
        <v>42916</v>
      </c>
      <c r="AE13" s="340"/>
      <c r="AF13" s="340"/>
      <c r="AG13" s="340"/>
      <c r="AH13" s="340"/>
      <c r="AI13" s="340"/>
      <c r="AJ13" s="340"/>
      <c r="AK13" s="340"/>
      <c r="AL13" s="340"/>
      <c r="AM13" s="340"/>
      <c r="AN13" s="340"/>
      <c r="AO13" s="340"/>
      <c r="AP13" s="340"/>
      <c r="AQ13" s="340"/>
      <c r="AR13" s="340"/>
      <c r="AS13" s="340"/>
      <c r="AT13" s="340"/>
      <c r="AU13" s="340"/>
      <c r="AV13" s="340"/>
    </row>
    <row r="14" spans="1:48" s="187" customFormat="1" x14ac:dyDescent="0.15">
      <c r="A14" s="186" t="str">
        <f>'Tariff Jul 2021'!K6</f>
        <v>EnergyAustralia</v>
      </c>
      <c r="B14" s="187" t="str">
        <f>'Tariff Jul 2021'!L6</f>
        <v>Total Plan Home</v>
      </c>
      <c r="C14" s="188">
        <f>IF('Tariff Jul 2021'!BP6=0,91*'Tariff Jul 2021'!M6/100,(91*'Tariff Jul 2021'!M6/100)+'Tariff Jul 2021'!BP6/4)</f>
        <v>73.254999999999995</v>
      </c>
      <c r="D14" s="188">
        <f>IF('Tariff Jul 2021'!O6="",$F$5*'Tariff Jul 2021'!N6/100,IF($F$5&gt;='Tariff Jul 2021'!P6,('Tariff Jul 2021'!P6*'Tariff Jul 2021'!N6/100),($F$5*'Tariff Jul 2021'!N6/100)))</f>
        <v>282.57379636363635</v>
      </c>
      <c r="E14" s="188">
        <f>IF(AND('Tariff Jul 2021'!P6&gt;0,'Tariff Jul 2021'!R6&gt;0),IF($F$5&lt;'Tariff Jul 2021'!P6,0,IF($F$5&lt;=('Tariff Jul 2021'!R6+'Tariff Jul 2021'!P6),(($F$5-'Tariff Jul 2021'!P6)*'Tariff Jul 2021'!Q6/100),(('Tariff Jul 2021'!R6)*'Tariff Jul 2021'!Q6/100))),0)</f>
        <v>0</v>
      </c>
      <c r="F14" s="189">
        <f>IF(AND('Tariff Jul 2021'!Q6&gt;0,'Tariff Jul 2021'!S6&gt;0),IF($F$5&lt;('Tariff Jul 2021'!R6+'Tariff Jul 2021'!P6),0,IF($F$5&lt;=('Tariff Jul 2021'!T6+'Tariff Jul 2021'!R6+'Tariff Jul 2021'!P6),(($F$5-('Tariff Jul 2021'!R6+'Tariff Jul 2021'!P6))*'Tariff Jul 2021'!S6/100),('Tariff Jul 2021'!T6*'Tariff Jul 2021'!S6/100))),0)</f>
        <v>0</v>
      </c>
      <c r="G14" s="188">
        <v>0</v>
      </c>
      <c r="H14" s="188">
        <v>0</v>
      </c>
      <c r="I14" s="189">
        <f>IF('Tariff Jul 2021'!T6&gt;0,IF(($F$5&lt;'Tariff Jul 2021'!T6),(0),($F$5-'Tariff Jul 2021'!T6)*'Tariff Jul 2021'!U6/100),IF(AND('Tariff Jul 2021'!R6&gt;0,'Tariff Jul 2021'!T6=""),IF(($F$5&lt;'Tariff Jul 2021'!R6),(0),($F$5-'Tariff Jul 2021'!R6)*'Tariff Jul 2021'!S6/100),IF(AND('Tariff Jul 2021'!P6&gt;0,'Tariff Jul 2021'!R6=""),IF(($F$5&lt;'Tariff Jul 2021'!P6),(0),($F$5-'Tariff Jul 2021'!P6)*'Tariff Jul 2021'!Q6/100),0)))</f>
        <v>0</v>
      </c>
      <c r="J14" s="188">
        <f t="shared" si="7"/>
        <v>355.82879636363634</v>
      </c>
      <c r="K14" s="283">
        <f t="shared" si="10"/>
        <v>1130.2951854545454</v>
      </c>
      <c r="L14" s="283">
        <f t="shared" si="8"/>
        <v>1423.3151854545454</v>
      </c>
      <c r="M14" s="191">
        <f t="shared" si="9"/>
        <v>1565.646704</v>
      </c>
      <c r="N14" s="187">
        <f>'Tariff Jul 2021'!AZ6</f>
        <v>6</v>
      </c>
      <c r="O14" s="187">
        <f>'Tariff Jul 2021'!BA6</f>
        <v>0</v>
      </c>
      <c r="P14" s="187">
        <f>'Tariff Jul 2021'!BB6</f>
        <v>0</v>
      </c>
      <c r="Q14" s="187">
        <f>'Tariff Jul 2021'!BC6</f>
        <v>0</v>
      </c>
      <c r="R14" s="192">
        <f>($F$6*'Tariff Jul 2021'!AT6/100)*4</f>
        <v>274.12559999999996</v>
      </c>
      <c r="S14" s="193" t="str">
        <f t="shared" si="0"/>
        <v>Guaranteed off bill</v>
      </c>
      <c r="T14" s="193" t="str">
        <f t="shared" si="1"/>
        <v>Exclusive</v>
      </c>
      <c r="U14" s="304">
        <f t="shared" si="2"/>
        <v>1337.9162743272727</v>
      </c>
      <c r="V14" s="283">
        <f t="shared" si="3"/>
        <v>1337.9162743272727</v>
      </c>
      <c r="W14" s="283">
        <f t="shared" si="4"/>
        <v>1063.7906743272729</v>
      </c>
      <c r="X14" s="283">
        <f t="shared" si="5"/>
        <v>1063.7906743272729</v>
      </c>
      <c r="Y14" s="285">
        <f t="shared" si="6"/>
        <v>1170.1697417600003</v>
      </c>
      <c r="Z14" s="285">
        <f t="shared" si="6"/>
        <v>1170.1697417600003</v>
      </c>
      <c r="AA14" s="194">
        <f>'Tariff Jul 2021'!AT6</f>
        <v>10.5</v>
      </c>
      <c r="AB14" s="195">
        <f>'Tariff Jul 2021'!BL6</f>
        <v>0</v>
      </c>
      <c r="AC14" s="195" t="str">
        <f>'Tariff Jul 2021'!BM6</f>
        <v>n</v>
      </c>
      <c r="AD14" s="196">
        <f>'Tariff Jul 2021'!G6</f>
        <v>42916</v>
      </c>
      <c r="AE14" s="340"/>
      <c r="AF14" s="340"/>
      <c r="AG14" s="340"/>
      <c r="AH14" s="340"/>
      <c r="AI14" s="340"/>
      <c r="AJ14" s="340"/>
      <c r="AK14" s="340"/>
      <c r="AL14" s="340"/>
      <c r="AM14" s="340"/>
      <c r="AN14" s="340"/>
      <c r="AO14" s="340"/>
      <c r="AP14" s="340"/>
      <c r="AQ14" s="340"/>
      <c r="AR14" s="340"/>
      <c r="AS14" s="340"/>
      <c r="AT14" s="340"/>
      <c r="AU14" s="340"/>
      <c r="AV14" s="340"/>
    </row>
    <row r="15" spans="1:48" s="187" customFormat="1" x14ac:dyDescent="0.15">
      <c r="A15" s="186" t="str">
        <f>'Tariff Jul 2021'!K7</f>
        <v>Lumo Energy</v>
      </c>
      <c r="B15" s="187" t="str">
        <f>'Tariff Jul 2021'!L7</f>
        <v>Plus</v>
      </c>
      <c r="C15" s="188">
        <f>IF('Tariff Jul 2021'!BP7=0,91*'Tariff Jul 2021'!M7/100,(91*'Tariff Jul 2021'!M7/100)+'Tariff Jul 2021'!BP7/4)</f>
        <v>72.709000000000003</v>
      </c>
      <c r="D15" s="188">
        <f>IF('Tariff Jul 2021'!O7="",$F$5*'Tariff Jul 2021'!N7/100,IF($F$5&gt;='Tariff Jul 2021'!P7,('Tariff Jul 2021'!P7*'Tariff Jul 2021'!N7/100),($F$5*'Tariff Jul 2021'!N7/100)))</f>
        <v>276.32503636363634</v>
      </c>
      <c r="E15" s="188">
        <f>IF(AND('Tariff Jul 2021'!P7&gt;0,'Tariff Jul 2021'!R7&gt;0),IF($F$5&lt;'Tariff Jul 2021'!P7,0,IF($F$5&lt;=('Tariff Jul 2021'!R7+'Tariff Jul 2021'!P7),(($F$5-'Tariff Jul 2021'!P7)*'Tariff Jul 2021'!Q7/100),(('Tariff Jul 2021'!R7)*'Tariff Jul 2021'!Q7/100))),0)</f>
        <v>0</v>
      </c>
      <c r="F15" s="189">
        <f>IF(AND('Tariff Jul 2021'!Q7&gt;0,'Tariff Jul 2021'!S7&gt;0),IF($F$5&lt;('Tariff Jul 2021'!R7+'Tariff Jul 2021'!P7),0,IF($F$5&lt;=('Tariff Jul 2021'!T7+'Tariff Jul 2021'!R7+'Tariff Jul 2021'!P7),(($F$5-('Tariff Jul 2021'!R7+'Tariff Jul 2021'!P7))*'Tariff Jul 2021'!S7/100),('Tariff Jul 2021'!T7*'Tariff Jul 2021'!S7/100))),0)</f>
        <v>0</v>
      </c>
      <c r="G15" s="188">
        <v>0</v>
      </c>
      <c r="H15" s="188">
        <v>0</v>
      </c>
      <c r="I15" s="189">
        <f>IF('Tariff Jul 2021'!T7&gt;0,IF(($F$5&lt;'Tariff Jul 2021'!T7),(0),($F$5-'Tariff Jul 2021'!T7)*'Tariff Jul 2021'!U7/100),IF(AND('Tariff Jul 2021'!R7&gt;0,'Tariff Jul 2021'!T7=""),IF(($F$5&lt;'Tariff Jul 2021'!R7),(0),($F$5-'Tariff Jul 2021'!R7)*'Tariff Jul 2021'!S7/100),IF(AND('Tariff Jul 2021'!P7&gt;0,'Tariff Jul 2021'!R7=""),IF(($F$5&lt;'Tariff Jul 2021'!P7),(0),($F$5-'Tariff Jul 2021'!P7)*'Tariff Jul 2021'!Q7/100),0)))</f>
        <v>0</v>
      </c>
      <c r="J15" s="188">
        <f t="shared" si="7"/>
        <v>349.03403636363635</v>
      </c>
      <c r="K15" s="283">
        <f t="shared" si="10"/>
        <v>1105.3001454545454</v>
      </c>
      <c r="L15" s="283">
        <f t="shared" si="8"/>
        <v>1396.1361454545454</v>
      </c>
      <c r="M15" s="191">
        <f t="shared" si="9"/>
        <v>1535.7497600000002</v>
      </c>
      <c r="N15" s="187">
        <f>'Tariff Jul 2021'!AZ7</f>
        <v>0</v>
      </c>
      <c r="O15" s="187">
        <f>'Tariff Jul 2021'!BA7</f>
        <v>0</v>
      </c>
      <c r="P15" s="187">
        <f>'Tariff Jul 2021'!BB7</f>
        <v>0</v>
      </c>
      <c r="Q15" s="187">
        <f>'Tariff Jul 2021'!BC7</f>
        <v>0</v>
      </c>
      <c r="R15" s="192">
        <f>($F$6*'Tariff Jul 2021'!AT7/100)*4</f>
        <v>78.321600000000004</v>
      </c>
      <c r="S15" s="193" t="str">
        <f t="shared" si="0"/>
        <v>No discount</v>
      </c>
      <c r="T15" s="193" t="str">
        <f t="shared" si="1"/>
        <v>Exclusive</v>
      </c>
      <c r="U15" s="304">
        <f t="shared" si="2"/>
        <v>1396.1361454545454</v>
      </c>
      <c r="V15" s="283">
        <f t="shared" si="3"/>
        <v>1396.1361454545454</v>
      </c>
      <c r="W15" s="283">
        <f t="shared" si="4"/>
        <v>1317.8145454545454</v>
      </c>
      <c r="X15" s="283">
        <f t="shared" si="5"/>
        <v>1317.8145454545454</v>
      </c>
      <c r="Y15" s="285">
        <f t="shared" si="6"/>
        <v>1449.596</v>
      </c>
      <c r="Z15" s="285">
        <f t="shared" si="6"/>
        <v>1449.596</v>
      </c>
      <c r="AA15" s="194">
        <f>'Tariff Jul 2021'!AT7</f>
        <v>3</v>
      </c>
      <c r="AB15" s="195">
        <f>'Tariff Jul 2021'!BL7</f>
        <v>0</v>
      </c>
      <c r="AC15" s="195" t="str">
        <f>'Tariff Jul 2021'!BM7</f>
        <v>n</v>
      </c>
      <c r="AD15" s="196">
        <f>'Tariff Jul 2021'!G7</f>
        <v>42916</v>
      </c>
      <c r="AE15" s="340"/>
      <c r="AF15" s="340"/>
      <c r="AG15" s="340"/>
      <c r="AH15" s="340"/>
      <c r="AI15" s="340"/>
      <c r="AJ15" s="340"/>
      <c r="AK15" s="340"/>
      <c r="AL15" s="340"/>
      <c r="AM15" s="340"/>
      <c r="AN15" s="340"/>
      <c r="AO15" s="340"/>
      <c r="AP15" s="340"/>
      <c r="AQ15" s="340"/>
      <c r="AR15" s="340"/>
      <c r="AS15" s="340"/>
      <c r="AT15" s="340"/>
      <c r="AU15" s="340"/>
      <c r="AV15" s="340"/>
    </row>
    <row r="16" spans="1:48" s="187" customFormat="1" x14ac:dyDescent="0.15">
      <c r="A16" s="186" t="str">
        <f>'Tariff Jul 2021'!K8</f>
        <v>Momentum Energy</v>
      </c>
      <c r="B16" s="187" t="str">
        <f>'Tariff Jul 2021'!L8</f>
        <v>Solar Step Up</v>
      </c>
      <c r="C16" s="188">
        <f>IF('Tariff Jul 2021'!BP8=0,91*'Tariff Jul 2021'!M8/100,(91*'Tariff Jul 2021'!M8/100)+'Tariff Jul 2021'!BP8/4)</f>
        <v>86.689909090909097</v>
      </c>
      <c r="D16" s="188">
        <f>IF('Tariff Jul 2021'!O8="",$F$5*'Tariff Jul 2021'!N8/100,IF($F$5&gt;='Tariff Jul 2021'!P8,('Tariff Jul 2021'!P8*'Tariff Jul 2021'!N8/100),($F$5*'Tariff Jul 2021'!N8/100)))</f>
        <v>270.48203999999993</v>
      </c>
      <c r="E16" s="188">
        <f>IF(AND('Tariff Jul 2021'!P8&gt;0,'Tariff Jul 2021'!R8&gt;0),IF($F$5&lt;'Tariff Jul 2021'!P8,0,IF($F$5&lt;=('Tariff Jul 2021'!R8+'Tariff Jul 2021'!P8),(($F$5-'Tariff Jul 2021'!P8)*'Tariff Jul 2021'!Q8/100),(('Tariff Jul 2021'!R8)*'Tariff Jul 2021'!Q8/100))),0)</f>
        <v>0</v>
      </c>
      <c r="F16" s="189">
        <f>IF(AND('Tariff Jul 2021'!Q8&gt;0,'Tariff Jul 2021'!S8&gt;0),IF($F$5&lt;('Tariff Jul 2021'!R8+'Tariff Jul 2021'!P8),0,IF($F$5&lt;=('Tariff Jul 2021'!T8+'Tariff Jul 2021'!R8+'Tariff Jul 2021'!P8),(($F$5-('Tariff Jul 2021'!R8+'Tariff Jul 2021'!P8))*'Tariff Jul 2021'!S8/100),('Tariff Jul 2021'!T8*'Tariff Jul 2021'!S8/100))),0)</f>
        <v>0</v>
      </c>
      <c r="G16" s="188">
        <v>0</v>
      </c>
      <c r="H16" s="188">
        <v>0</v>
      </c>
      <c r="I16" s="189">
        <f>IF('Tariff Jul 2021'!T8&gt;0,IF(($F$5&lt;'Tariff Jul 2021'!T8),(0),($F$5-'Tariff Jul 2021'!T8)*'Tariff Jul 2021'!U8/100),IF(AND('Tariff Jul 2021'!R8&gt;0,'Tariff Jul 2021'!T8=""),IF(($F$5&lt;'Tariff Jul 2021'!R8),(0),($F$5-'Tariff Jul 2021'!R8)*'Tariff Jul 2021'!S8/100),IF(AND('Tariff Jul 2021'!P8&gt;0,'Tariff Jul 2021'!R8=""),IF(($F$5&lt;'Tariff Jul 2021'!P8),(0),($F$5-'Tariff Jul 2021'!P8)*'Tariff Jul 2021'!Q8/100),0)))</f>
        <v>0</v>
      </c>
      <c r="J16" s="188">
        <f t="shared" si="7"/>
        <v>357.17194909090904</v>
      </c>
      <c r="K16" s="283">
        <f t="shared" si="10"/>
        <v>1081.9281599999997</v>
      </c>
      <c r="L16" s="283">
        <f t="shared" si="8"/>
        <v>1428.6877963636362</v>
      </c>
      <c r="M16" s="191">
        <f t="shared" si="9"/>
        <v>1571.5565759999999</v>
      </c>
      <c r="N16" s="187">
        <f>'Tariff Jul 2021'!AZ8</f>
        <v>0</v>
      </c>
      <c r="O16" s="187">
        <f>'Tariff Jul 2021'!BA8</f>
        <v>0</v>
      </c>
      <c r="P16" s="187">
        <f>'Tariff Jul 2021'!BB8</f>
        <v>0</v>
      </c>
      <c r="Q16" s="187">
        <f>'Tariff Jul 2021'!BC8</f>
        <v>0</v>
      </c>
      <c r="R16" s="192">
        <f>($F$6*'Tariff Jul 2021'!AT8/100)*4</f>
        <v>261.07199999999995</v>
      </c>
      <c r="S16" s="193" t="str">
        <f t="shared" si="0"/>
        <v>No discount</v>
      </c>
      <c r="T16" s="193" t="str">
        <f t="shared" si="1"/>
        <v>Exclusive</v>
      </c>
      <c r="U16" s="304">
        <f t="shared" si="2"/>
        <v>1428.6877963636362</v>
      </c>
      <c r="V16" s="283">
        <f t="shared" si="3"/>
        <v>1428.6877963636362</v>
      </c>
      <c r="W16" s="283">
        <f t="shared" si="4"/>
        <v>1167.6157963636363</v>
      </c>
      <c r="X16" s="283">
        <f t="shared" si="5"/>
        <v>1167.6157963636363</v>
      </c>
      <c r="Y16" s="285">
        <f t="shared" si="6"/>
        <v>1284.3773759999999</v>
      </c>
      <c r="Z16" s="285">
        <f t="shared" si="6"/>
        <v>1284.3773759999999</v>
      </c>
      <c r="AA16" s="194">
        <f>'Tariff Jul 2021'!AT8</f>
        <v>10</v>
      </c>
      <c r="AB16" s="195">
        <f>'Tariff Jul 2021'!BL8</f>
        <v>0</v>
      </c>
      <c r="AC16" s="195" t="str">
        <f>'Tariff Jul 2021'!BM8</f>
        <v>n</v>
      </c>
      <c r="AD16" s="196">
        <f>'Tariff Jul 2021'!G8</f>
        <v>42916</v>
      </c>
      <c r="AE16" s="340"/>
      <c r="AF16" s="340"/>
      <c r="AG16" s="340"/>
      <c r="AH16" s="340"/>
      <c r="AI16" s="340"/>
      <c r="AJ16" s="340"/>
      <c r="AK16" s="340"/>
      <c r="AL16" s="340"/>
      <c r="AM16" s="340"/>
      <c r="AN16" s="340"/>
      <c r="AO16" s="340"/>
      <c r="AP16" s="340"/>
      <c r="AQ16" s="340"/>
      <c r="AR16" s="340"/>
      <c r="AS16" s="340"/>
      <c r="AT16" s="340"/>
      <c r="AU16" s="340"/>
      <c r="AV16" s="340"/>
    </row>
    <row r="17" spans="1:48" s="187" customFormat="1" x14ac:dyDescent="0.15">
      <c r="A17" s="186" t="str">
        <f>'Tariff Jul 2021'!K9</f>
        <v>Origin Energy</v>
      </c>
      <c r="B17" s="187" t="str">
        <f>'Tariff Jul 2021'!L9</f>
        <v>Solar Boost</v>
      </c>
      <c r="C17" s="188">
        <f>IF('Tariff Jul 2021'!BP9=0,91*'Tariff Jul 2021'!M9/100,(91*'Tariff Jul 2021'!M9/100)+'Tariff Jul 2021'!BP9/4)</f>
        <v>74.371818181818171</v>
      </c>
      <c r="D17" s="188">
        <f>IF('Tariff Jul 2021'!O9="",$F$5*'Tariff Jul 2021'!N9/100,IF($F$5&gt;='Tariff Jul 2021'!P9,('Tariff Jul 2021'!P9*'Tariff Jul 2021'!N9/100),($F$5*'Tariff Jul 2021'!N9/100)))</f>
        <v>281.51881090909086</v>
      </c>
      <c r="E17" s="188">
        <f>IF(AND('Tariff Jul 2021'!P9&gt;0,'Tariff Jul 2021'!R9&gt;0),IF($F$5&lt;'Tariff Jul 2021'!P9,0,IF($F$5&lt;=('Tariff Jul 2021'!R9+'Tariff Jul 2021'!P9),(($F$5-'Tariff Jul 2021'!P9)*'Tariff Jul 2021'!Q9/100),(('Tariff Jul 2021'!R9)*'Tariff Jul 2021'!Q9/100))),0)</f>
        <v>0</v>
      </c>
      <c r="F17" s="189">
        <f>IF(AND('Tariff Jul 2021'!Q9&gt;0,'Tariff Jul 2021'!S9&gt;0),IF($F$5&lt;('Tariff Jul 2021'!R9+'Tariff Jul 2021'!P9),0,IF($F$5&lt;=('Tariff Jul 2021'!T9+'Tariff Jul 2021'!R9+'Tariff Jul 2021'!P9),(($F$5-('Tariff Jul 2021'!R9+'Tariff Jul 2021'!P9))*'Tariff Jul 2021'!S9/100),('Tariff Jul 2021'!T9*'Tariff Jul 2021'!S9/100))),0)</f>
        <v>0</v>
      </c>
      <c r="G17" s="188">
        <v>0</v>
      </c>
      <c r="H17" s="188">
        <v>0</v>
      </c>
      <c r="I17" s="189">
        <f>IF('Tariff Jul 2021'!T9&gt;0,IF(($F$5&lt;'Tariff Jul 2021'!T9),(0),($F$5-'Tariff Jul 2021'!T9)*'Tariff Jul 2021'!U9/100),IF(AND('Tariff Jul 2021'!R9&gt;0,'Tariff Jul 2021'!T9=""),IF(($F$5&lt;'Tariff Jul 2021'!R9),(0),($F$5-'Tariff Jul 2021'!R9)*'Tariff Jul 2021'!S9/100),IF(AND('Tariff Jul 2021'!P9&gt;0,'Tariff Jul 2021'!R9=""),IF(($F$5&lt;'Tariff Jul 2021'!P9),(0),($F$5-'Tariff Jul 2021'!P9)*'Tariff Jul 2021'!Q9/100),0)))</f>
        <v>0</v>
      </c>
      <c r="J17" s="188">
        <f t="shared" si="7"/>
        <v>355.89062909090904</v>
      </c>
      <c r="K17" s="283">
        <f t="shared" si="10"/>
        <v>1126.0752436363634</v>
      </c>
      <c r="L17" s="283">
        <f t="shared" si="8"/>
        <v>1423.5625163636362</v>
      </c>
      <c r="M17" s="191">
        <f t="shared" si="9"/>
        <v>1565.918768</v>
      </c>
      <c r="N17" s="187">
        <f>'Tariff Jul 2021'!AZ9</f>
        <v>0</v>
      </c>
      <c r="O17" s="187">
        <f>'Tariff Jul 2021'!BA9</f>
        <v>0</v>
      </c>
      <c r="P17" s="187">
        <f>'Tariff Jul 2021'!BB9</f>
        <v>0</v>
      </c>
      <c r="Q17" s="187">
        <f>'Tariff Jul 2021'!BC9</f>
        <v>0</v>
      </c>
      <c r="R17" s="192">
        <f>($F$6*'Tariff Jul 2021'!AT9/100)*4</f>
        <v>339.39359999999999</v>
      </c>
      <c r="S17" s="193" t="str">
        <f t="shared" si="0"/>
        <v>No discount</v>
      </c>
      <c r="T17" s="193" t="str">
        <f t="shared" si="1"/>
        <v>Inclusive</v>
      </c>
      <c r="U17" s="304">
        <f t="shared" si="2"/>
        <v>1423.5625163636362</v>
      </c>
      <c r="V17" s="283">
        <f t="shared" si="3"/>
        <v>1423.5625163636362</v>
      </c>
      <c r="W17" s="283">
        <f t="shared" si="4"/>
        <v>1084.1689163636361</v>
      </c>
      <c r="X17" s="283">
        <f t="shared" si="5"/>
        <v>1084.1689163636361</v>
      </c>
      <c r="Y17" s="285">
        <f t="shared" si="6"/>
        <v>1192.5858079999998</v>
      </c>
      <c r="Z17" s="285">
        <f t="shared" si="6"/>
        <v>1192.5858079999998</v>
      </c>
      <c r="AA17" s="194">
        <f>'Tariff Jul 2021'!AT9</f>
        <v>13</v>
      </c>
      <c r="AB17" s="195">
        <f>'Tariff Jul 2021'!BL9</f>
        <v>0</v>
      </c>
      <c r="AC17" s="195" t="str">
        <f>'Tariff Jul 2021'!BM9</f>
        <v>n</v>
      </c>
      <c r="AD17" s="196">
        <f>'Tariff Jul 2021'!G9</f>
        <v>42916</v>
      </c>
      <c r="AE17" s="340"/>
      <c r="AF17" s="340"/>
      <c r="AG17" s="340"/>
      <c r="AH17" s="340"/>
      <c r="AI17" s="340"/>
      <c r="AJ17" s="340"/>
      <c r="AK17" s="340"/>
      <c r="AL17" s="340"/>
      <c r="AM17" s="340"/>
      <c r="AN17" s="340"/>
      <c r="AO17" s="340"/>
      <c r="AP17" s="340"/>
      <c r="AQ17" s="340"/>
      <c r="AR17" s="340"/>
      <c r="AS17" s="340"/>
      <c r="AT17" s="340"/>
      <c r="AU17" s="340"/>
      <c r="AV17" s="340"/>
    </row>
    <row r="18" spans="1:48" s="187" customFormat="1" x14ac:dyDescent="0.15">
      <c r="A18" s="186" t="str">
        <f>'Tariff Jul 2021'!K10</f>
        <v>Powerdirect</v>
      </c>
      <c r="B18" s="187" t="str">
        <f>'Tariff Jul 2021'!L10</f>
        <v>Rate Saver</v>
      </c>
      <c r="C18" s="188">
        <f>IF('Tariff Jul 2021'!BP10=0,91*'Tariff Jul 2021'!M10/100,(91*'Tariff Jul 2021'!M10/100)+'Tariff Jul 2021'!BP10/4)</f>
        <v>60.498454545454535</v>
      </c>
      <c r="D18" s="188">
        <f>IF('Tariff Jul 2021'!O10="",$F$5*'Tariff Jul 2021'!N10/100,IF($F$5&gt;='Tariff Jul 2021'!P10,('Tariff Jul 2021'!P10*'Tariff Jul 2021'!N10/100),($F$5*'Tariff Jul 2021'!N10/100)))</f>
        <v>263.90866909090909</v>
      </c>
      <c r="E18" s="188">
        <f>IF(AND('Tariff Jul 2021'!P10&gt;0,'Tariff Jul 2021'!R10&gt;0),IF($F$5&lt;'Tariff Jul 2021'!P10,0,IF($F$5&lt;=('Tariff Jul 2021'!R10+'Tariff Jul 2021'!P10),(($F$5-'Tariff Jul 2021'!P10)*'Tariff Jul 2021'!Q10/100),(('Tariff Jul 2021'!R10)*'Tariff Jul 2021'!Q10/100))),0)</f>
        <v>0</v>
      </c>
      <c r="F18" s="189">
        <f>IF(AND('Tariff Jul 2021'!Q10&gt;0,'Tariff Jul 2021'!S10&gt;0),IF($F$5&lt;('Tariff Jul 2021'!R10+'Tariff Jul 2021'!P10),0,IF($F$5&lt;=('Tariff Jul 2021'!T10+'Tariff Jul 2021'!R10+'Tariff Jul 2021'!P10),(($F$5-('Tariff Jul 2021'!R10+'Tariff Jul 2021'!P10))*'Tariff Jul 2021'!S10/100),('Tariff Jul 2021'!T10*'Tariff Jul 2021'!S10/100))),0)</f>
        <v>0</v>
      </c>
      <c r="G18" s="188">
        <v>0</v>
      </c>
      <c r="H18" s="188">
        <v>0</v>
      </c>
      <c r="I18" s="189">
        <f>IF('Tariff Jul 2021'!T10&gt;0,IF(($F$5&lt;'Tariff Jul 2021'!T10),(0),($F$5-'Tariff Jul 2021'!T10)*'Tariff Jul 2021'!U10/100),IF(AND('Tariff Jul 2021'!R10&gt;0,'Tariff Jul 2021'!T10=""),IF(($F$5&lt;'Tariff Jul 2021'!R10),(0),($F$5-'Tariff Jul 2021'!R10)*'Tariff Jul 2021'!S10/100),IF(AND('Tariff Jul 2021'!P10&gt;0,'Tariff Jul 2021'!R10=""),IF(($F$5&lt;'Tariff Jul 2021'!P10),(0),($F$5-'Tariff Jul 2021'!P10)*'Tariff Jul 2021'!Q10/100),0)))</f>
        <v>0</v>
      </c>
      <c r="J18" s="188">
        <f t="shared" si="7"/>
        <v>324.40712363636362</v>
      </c>
      <c r="K18" s="283">
        <f t="shared" si="10"/>
        <v>1055.6346763636363</v>
      </c>
      <c r="L18" s="283">
        <f t="shared" si="8"/>
        <v>1297.6284945454545</v>
      </c>
      <c r="M18" s="191">
        <f t="shared" si="9"/>
        <v>1427.3913440000001</v>
      </c>
      <c r="N18" s="187">
        <f>'Tariff Jul 2021'!AZ10</f>
        <v>0</v>
      </c>
      <c r="O18" s="187">
        <f>'Tariff Jul 2021'!BA10</f>
        <v>0</v>
      </c>
      <c r="P18" s="187">
        <f>'Tariff Jul 2021'!BB10</f>
        <v>0</v>
      </c>
      <c r="Q18" s="187">
        <f>'Tariff Jul 2021'!BC10</f>
        <v>0</v>
      </c>
      <c r="R18" s="192">
        <f>($F$6*'Tariff Jul 2021'!AT10/100)*4</f>
        <v>208.85759999999999</v>
      </c>
      <c r="S18" s="193" t="str">
        <f t="shared" si="0"/>
        <v>No discount</v>
      </c>
      <c r="T18" s="193" t="str">
        <f t="shared" si="1"/>
        <v>Exclusive</v>
      </c>
      <c r="U18" s="304">
        <f t="shared" si="2"/>
        <v>1297.6284945454545</v>
      </c>
      <c r="V18" s="283">
        <f t="shared" si="3"/>
        <v>1297.6284945454545</v>
      </c>
      <c r="W18" s="283">
        <f t="shared" si="4"/>
        <v>1088.7708945454544</v>
      </c>
      <c r="X18" s="283">
        <f t="shared" si="5"/>
        <v>1088.7708945454544</v>
      </c>
      <c r="Y18" s="285">
        <f t="shared" si="6"/>
        <v>1197.647984</v>
      </c>
      <c r="Z18" s="285">
        <f t="shared" si="6"/>
        <v>1197.647984</v>
      </c>
      <c r="AA18" s="194">
        <f>'Tariff Jul 2021'!AT10</f>
        <v>8</v>
      </c>
      <c r="AB18" s="195">
        <f>'Tariff Jul 2021'!BL10</f>
        <v>0</v>
      </c>
      <c r="AC18" s="195" t="str">
        <f>'Tariff Jul 2021'!BM10</f>
        <v>n</v>
      </c>
      <c r="AD18" s="196">
        <f>'Tariff Jul 2021'!G10</f>
        <v>42922</v>
      </c>
      <c r="AE18" s="340"/>
      <c r="AF18" s="340"/>
      <c r="AG18" s="340"/>
      <c r="AH18" s="340"/>
      <c r="AI18" s="340"/>
      <c r="AJ18" s="340"/>
      <c r="AK18" s="340"/>
      <c r="AL18" s="340"/>
      <c r="AM18" s="340"/>
      <c r="AN18" s="340"/>
      <c r="AO18" s="340"/>
      <c r="AP18" s="340"/>
      <c r="AQ18" s="340"/>
      <c r="AR18" s="340"/>
      <c r="AS18" s="340"/>
      <c r="AT18" s="340"/>
      <c r="AU18" s="340"/>
      <c r="AV18" s="340"/>
    </row>
    <row r="19" spans="1:48" s="187" customFormat="1" x14ac:dyDescent="0.15">
      <c r="A19" s="186" t="str">
        <f>'Tariff Jul 2021'!K11</f>
        <v>Red Energy</v>
      </c>
      <c r="B19" s="187" t="str">
        <f>'Tariff Jul 2021'!L11</f>
        <v>Living Energy Saver</v>
      </c>
      <c r="C19" s="188">
        <f>IF('Tariff Jul 2021'!BP11=0,91*'Tariff Jul 2021'!M11/100,(91*'Tariff Jul 2021'!M11/100)+'Tariff Jul 2021'!BP11/4)</f>
        <v>74.62</v>
      </c>
      <c r="D19" s="188">
        <f>IF('Tariff Jul 2021'!O11="",$F$5*'Tariff Jul 2021'!N11/100,IF($F$5&gt;='Tariff Jul 2021'!P11,('Tariff Jul 2021'!P11*'Tariff Jul 2021'!N11/100),($F$5*'Tariff Jul 2021'!N11/100)))</f>
        <v>277.62347999999997</v>
      </c>
      <c r="E19" s="188">
        <f>IF(AND('Tariff Jul 2021'!P11&gt;0,'Tariff Jul 2021'!R11&gt;0),IF($F$5&lt;'Tariff Jul 2021'!P11,0,IF($F$5&lt;=('Tariff Jul 2021'!R11+'Tariff Jul 2021'!P11),(($F$5-'Tariff Jul 2021'!P11)*'Tariff Jul 2021'!Q11/100),(('Tariff Jul 2021'!R11)*'Tariff Jul 2021'!Q11/100))),0)</f>
        <v>0</v>
      </c>
      <c r="F19" s="189">
        <f>IF(AND('Tariff Jul 2021'!Q11&gt;0,'Tariff Jul 2021'!S11&gt;0),IF($F$5&lt;('Tariff Jul 2021'!R11+'Tariff Jul 2021'!P11),0,IF($F$5&lt;=('Tariff Jul 2021'!T11+'Tariff Jul 2021'!R11+'Tariff Jul 2021'!P11),(($F$5-('Tariff Jul 2021'!R11+'Tariff Jul 2021'!P11))*'Tariff Jul 2021'!S11/100),('Tariff Jul 2021'!T11*'Tariff Jul 2021'!S11/100))),0)</f>
        <v>0</v>
      </c>
      <c r="G19" s="188">
        <v>0</v>
      </c>
      <c r="H19" s="188">
        <v>0</v>
      </c>
      <c r="I19" s="189">
        <f>IF('Tariff Jul 2021'!T11&gt;0,IF(($F$5&lt;'Tariff Jul 2021'!T11),(0),($F$5-'Tariff Jul 2021'!T11)*'Tariff Jul 2021'!U11/100),IF(AND('Tariff Jul 2021'!R11&gt;0,'Tariff Jul 2021'!T11=""),IF(($F$5&lt;'Tariff Jul 2021'!R11),(0),($F$5-'Tariff Jul 2021'!R11)*'Tariff Jul 2021'!S11/100),IF(AND('Tariff Jul 2021'!P11&gt;0,'Tariff Jul 2021'!R11=""),IF(($F$5&lt;'Tariff Jul 2021'!P11),(0),($F$5-'Tariff Jul 2021'!P11)*'Tariff Jul 2021'!Q11/100),0)))</f>
        <v>0</v>
      </c>
      <c r="J19" s="188">
        <f t="shared" si="7"/>
        <v>352.24347999999998</v>
      </c>
      <c r="K19" s="283">
        <f t="shared" si="10"/>
        <v>1110.4939199999999</v>
      </c>
      <c r="L19" s="283">
        <f t="shared" si="8"/>
        <v>1408.9739199999999</v>
      </c>
      <c r="M19" s="191">
        <f t="shared" si="9"/>
        <v>1549.871312</v>
      </c>
      <c r="N19" s="187">
        <f>'Tariff Jul 2021'!AZ11</f>
        <v>0</v>
      </c>
      <c r="O19" s="187">
        <f>'Tariff Jul 2021'!BA11</f>
        <v>0</v>
      </c>
      <c r="P19" s="187">
        <f>'Tariff Jul 2021'!BB11</f>
        <v>0</v>
      </c>
      <c r="Q19" s="187">
        <f>'Tariff Jul 2021'!BC11</f>
        <v>0</v>
      </c>
      <c r="R19" s="192">
        <f>($F$6*'Tariff Jul 2021'!AT11/100)*4</f>
        <v>78.321600000000004</v>
      </c>
      <c r="S19" s="193" t="str">
        <f t="shared" si="0"/>
        <v>No discount</v>
      </c>
      <c r="T19" s="193" t="str">
        <f t="shared" si="1"/>
        <v>Inclusive</v>
      </c>
      <c r="U19" s="304">
        <f t="shared" si="2"/>
        <v>1408.9739199999999</v>
      </c>
      <c r="V19" s="283">
        <f t="shared" si="3"/>
        <v>1408.9739199999999</v>
      </c>
      <c r="W19" s="283">
        <f t="shared" si="4"/>
        <v>1330.6523199999999</v>
      </c>
      <c r="X19" s="283">
        <f t="shared" si="5"/>
        <v>1330.6523199999999</v>
      </c>
      <c r="Y19" s="285">
        <f t="shared" si="6"/>
        <v>1463.7175520000001</v>
      </c>
      <c r="Z19" s="285">
        <f t="shared" si="6"/>
        <v>1463.7175520000001</v>
      </c>
      <c r="AA19" s="194">
        <f>'Tariff Jul 2021'!AT11</f>
        <v>3</v>
      </c>
      <c r="AB19" s="195">
        <f>'Tariff Jul 2021'!BL11</f>
        <v>0</v>
      </c>
      <c r="AC19" s="195" t="str">
        <f>'Tariff Jul 2021'!BM11</f>
        <v>n</v>
      </c>
      <c r="AD19" s="196">
        <f>'Tariff Jul 2021'!G11</f>
        <v>42916</v>
      </c>
      <c r="AE19" s="340"/>
      <c r="AF19" s="340"/>
      <c r="AG19" s="340"/>
      <c r="AH19" s="340"/>
      <c r="AI19" s="340"/>
      <c r="AJ19" s="340"/>
      <c r="AK19" s="340"/>
      <c r="AL19" s="340"/>
      <c r="AM19" s="340"/>
      <c r="AN19" s="340"/>
      <c r="AO19" s="340"/>
      <c r="AP19" s="340"/>
      <c r="AQ19" s="340"/>
      <c r="AR19" s="340"/>
      <c r="AS19" s="340"/>
      <c r="AT19" s="340"/>
      <c r="AU19" s="340"/>
      <c r="AV19" s="340"/>
    </row>
    <row r="20" spans="1:48" s="187" customFormat="1" x14ac:dyDescent="0.15">
      <c r="A20" s="186" t="str">
        <f>'Tariff Jul 2021'!K12</f>
        <v>Energy Locals</v>
      </c>
      <c r="B20" s="187" t="str">
        <f>'Tariff Jul 2021'!L12</f>
        <v>Local Member</v>
      </c>
      <c r="C20" s="188">
        <f>IF('Tariff Jul 2021'!BP12=0,91*'Tariff Jul 2021'!M12/100,(91*'Tariff Jul 2021'!M12/100)+'Tariff Jul 2021'!BP12/4)</f>
        <v>84</v>
      </c>
      <c r="D20" s="188">
        <f>IF('Tariff Jul 2021'!O12="",$F$5*'Tariff Jul 2021'!N12/100,IF($F$5&gt;='Tariff Jul 2021'!P12,('Tariff Jul 2021'!P12*'Tariff Jul 2021'!N12/100),($F$5*'Tariff Jul 2021'!N12/100)))</f>
        <v>219.19351636363635</v>
      </c>
      <c r="E20" s="188">
        <f>IF(AND('Tariff Jul 2021'!P12&gt;0,'Tariff Jul 2021'!R12&gt;0),IF($F$5&lt;'Tariff Jul 2021'!P12,0,IF($F$5&lt;=('Tariff Jul 2021'!R12+'Tariff Jul 2021'!P12),(($F$5-'Tariff Jul 2021'!P12)*'Tariff Jul 2021'!Q12/100),(('Tariff Jul 2021'!R12)*'Tariff Jul 2021'!Q12/100))),0)</f>
        <v>0</v>
      </c>
      <c r="F20" s="189">
        <f>IF(AND('Tariff Jul 2021'!Q12&gt;0,'Tariff Jul 2021'!S12&gt;0),IF($F$5&lt;('Tariff Jul 2021'!R12+'Tariff Jul 2021'!P12),0,IF($F$5&lt;=('Tariff Jul 2021'!T12+'Tariff Jul 2021'!R12+'Tariff Jul 2021'!P12),(($F$5-('Tariff Jul 2021'!R12+'Tariff Jul 2021'!P12))*'Tariff Jul 2021'!S12/100),('Tariff Jul 2021'!T12*'Tariff Jul 2021'!S12/100))),0)</f>
        <v>0</v>
      </c>
      <c r="G20" s="188">
        <v>0</v>
      </c>
      <c r="H20" s="188">
        <v>0</v>
      </c>
      <c r="I20" s="189">
        <f>IF('Tariff Jul 2021'!T12&gt;0,IF(($F$5&lt;'Tariff Jul 2021'!T12),(0),($F$5-'Tariff Jul 2021'!T12)*'Tariff Jul 2021'!U12/100),IF(AND('Tariff Jul 2021'!R12&gt;0,'Tariff Jul 2021'!T12=""),IF(($F$5&lt;'Tariff Jul 2021'!R12),(0),($F$5-'Tariff Jul 2021'!R12)*'Tariff Jul 2021'!S12/100),IF(AND('Tariff Jul 2021'!P12&gt;0,'Tariff Jul 2021'!R12=""),IF(($F$5&lt;'Tariff Jul 2021'!P12),(0),($F$5-'Tariff Jul 2021'!P12)*'Tariff Jul 2021'!Q12/100),0)))</f>
        <v>0</v>
      </c>
      <c r="J20" s="188">
        <f t="shared" si="7"/>
        <v>303.19351636363638</v>
      </c>
      <c r="K20" s="283">
        <f t="shared" si="10"/>
        <v>876.77406545454551</v>
      </c>
      <c r="L20" s="283">
        <f t="shared" si="8"/>
        <v>1212.7740654545455</v>
      </c>
      <c r="M20" s="191">
        <f t="shared" si="9"/>
        <v>1334.0514720000001</v>
      </c>
      <c r="N20" s="187">
        <f>'Tariff Jul 2021'!AZ12</f>
        <v>0</v>
      </c>
      <c r="O20" s="187">
        <f>'Tariff Jul 2021'!BA12</f>
        <v>0</v>
      </c>
      <c r="P20" s="187">
        <f>'Tariff Jul 2021'!BB12</f>
        <v>0</v>
      </c>
      <c r="Q20" s="187">
        <f>'Tariff Jul 2021'!BC12</f>
        <v>0</v>
      </c>
      <c r="R20" s="192">
        <f>($F$6*'Tariff Jul 2021'!AT12/100)*4</f>
        <v>221.91119999999998</v>
      </c>
      <c r="S20" s="193" t="str">
        <f t="shared" si="0"/>
        <v>No discount</v>
      </c>
      <c r="T20" s="193" t="str">
        <f t="shared" si="1"/>
        <v>Exclusive</v>
      </c>
      <c r="U20" s="304">
        <f t="shared" si="2"/>
        <v>1212.7740654545455</v>
      </c>
      <c r="V20" s="283">
        <f t="shared" si="3"/>
        <v>1212.7740654545455</v>
      </c>
      <c r="W20" s="283">
        <f t="shared" si="4"/>
        <v>990.8628654545455</v>
      </c>
      <c r="X20" s="283">
        <f t="shared" si="5"/>
        <v>990.8628654545455</v>
      </c>
      <c r="Y20" s="285">
        <f t="shared" si="6"/>
        <v>1089.9491520000001</v>
      </c>
      <c r="Z20" s="285">
        <f t="shared" si="6"/>
        <v>1089.9491520000001</v>
      </c>
      <c r="AA20" s="194">
        <f>'Tariff Jul 2021'!AT12</f>
        <v>8.5</v>
      </c>
      <c r="AB20" s="195">
        <f>'Tariff Jul 2021'!BL12</f>
        <v>0</v>
      </c>
      <c r="AC20" s="195" t="str">
        <f>'Tariff Jul 2021'!BM12</f>
        <v>n</v>
      </c>
      <c r="AD20" s="196">
        <f>'Tariff Jul 2021'!G12</f>
        <v>42658</v>
      </c>
      <c r="AE20" s="340"/>
      <c r="AF20" s="340"/>
      <c r="AG20" s="340"/>
      <c r="AH20" s="340"/>
      <c r="AI20" s="340"/>
      <c r="AJ20" s="340"/>
      <c r="AK20" s="340"/>
      <c r="AL20" s="340"/>
      <c r="AM20" s="340"/>
      <c r="AN20" s="340"/>
      <c r="AO20" s="340"/>
      <c r="AP20" s="340"/>
      <c r="AQ20" s="340"/>
      <c r="AR20" s="340"/>
      <c r="AS20" s="340"/>
      <c r="AT20" s="340"/>
      <c r="AU20" s="340"/>
      <c r="AV20" s="340"/>
    </row>
    <row r="21" spans="1:48" s="187" customFormat="1" x14ac:dyDescent="0.15">
      <c r="A21" s="186" t="str">
        <f>'Tariff Jul 2021'!K13</f>
        <v>Simply Energy</v>
      </c>
      <c r="B21" s="187" t="str">
        <f>'Tariff Jul 2021'!L13</f>
        <v>Energy Saver</v>
      </c>
      <c r="C21" s="188">
        <f>IF('Tariff Jul 2021'!BP13=0,91*'Tariff Jul 2021'!M13/100,(91*'Tariff Jul 2021'!M13/100)+'Tariff Jul 2021'!BP13/4)</f>
        <v>88.27</v>
      </c>
      <c r="D21" s="188">
        <f>IF('Tariff Jul 2021'!O13="",$F$5*'Tariff Jul 2021'!N13/100,IF($F$5&gt;='Tariff Jul 2021'!P13,('Tariff Jul 2021'!P13*'Tariff Jul 2021'!N13/100),($F$5*'Tariff Jul 2021'!N13/100)))</f>
        <v>269.02129090909085</v>
      </c>
      <c r="E21" s="188">
        <f>IF(AND('Tariff Jul 2021'!P13&gt;0,'Tariff Jul 2021'!R13&gt;0),IF($F$5&lt;'Tariff Jul 2021'!P13,0,IF($F$5&lt;=('Tariff Jul 2021'!R13+'Tariff Jul 2021'!P13),(($F$5-'Tariff Jul 2021'!P13)*'Tariff Jul 2021'!Q13/100),(('Tariff Jul 2021'!R13)*'Tariff Jul 2021'!Q13/100))),0)</f>
        <v>0</v>
      </c>
      <c r="F21" s="189">
        <f>IF(AND('Tariff Jul 2021'!Q13&gt;0,'Tariff Jul 2021'!S13&gt;0),IF($F$5&lt;('Tariff Jul 2021'!R13+'Tariff Jul 2021'!P13),0,IF($F$5&lt;=('Tariff Jul 2021'!T13+'Tariff Jul 2021'!R13+'Tariff Jul 2021'!P13),(($F$5-('Tariff Jul 2021'!R13+'Tariff Jul 2021'!P13))*'Tariff Jul 2021'!S13/100),('Tariff Jul 2021'!T13*'Tariff Jul 2021'!S13/100))),0)</f>
        <v>0</v>
      </c>
      <c r="G21" s="188">
        <v>0</v>
      </c>
      <c r="H21" s="188">
        <v>0</v>
      </c>
      <c r="I21" s="189">
        <f>IF('Tariff Jul 2021'!T13&gt;0,IF(($F$5&lt;'Tariff Jul 2021'!T13),(0),($F$5-'Tariff Jul 2021'!T13)*'Tariff Jul 2021'!U13/100),IF(AND('Tariff Jul 2021'!R13&gt;0,'Tariff Jul 2021'!T13=""),IF(($F$5&lt;'Tariff Jul 2021'!R13),(0),($F$5-'Tariff Jul 2021'!R13)*'Tariff Jul 2021'!S13/100),IF(AND('Tariff Jul 2021'!P13&gt;0,'Tariff Jul 2021'!R13=""),IF(($F$5&lt;'Tariff Jul 2021'!P13),(0),($F$5-'Tariff Jul 2021'!P13)*'Tariff Jul 2021'!Q13/100),0)))</f>
        <v>0</v>
      </c>
      <c r="J21" s="188">
        <f t="shared" si="7"/>
        <v>357.29129090909083</v>
      </c>
      <c r="K21" s="283">
        <f>(J21-C21)*4</f>
        <v>1076.0851636363634</v>
      </c>
      <c r="L21" s="283">
        <f t="shared" si="8"/>
        <v>1429.1651636363633</v>
      </c>
      <c r="M21" s="191">
        <f t="shared" si="9"/>
        <v>1572.0816799999998</v>
      </c>
      <c r="N21" s="187">
        <f>'Tariff Jul 2021'!AZ13</f>
        <v>10</v>
      </c>
      <c r="O21" s="187">
        <f>'Tariff Jul 2021'!BA13</f>
        <v>0</v>
      </c>
      <c r="P21" s="187">
        <f>'Tariff Jul 2021'!BB13</f>
        <v>0</v>
      </c>
      <c r="Q21" s="187">
        <f>'Tariff Jul 2021'!BC13</f>
        <v>0</v>
      </c>
      <c r="R21" s="192">
        <f>($F$6*'Tariff Jul 2021'!AT13/100)*4</f>
        <v>117.4824</v>
      </c>
      <c r="S21" s="193" t="str">
        <f t="shared" si="0"/>
        <v>Guaranteed off bill</v>
      </c>
      <c r="T21" s="193" t="str">
        <f t="shared" si="1"/>
        <v>Exclusive</v>
      </c>
      <c r="U21" s="304">
        <f t="shared" si="2"/>
        <v>1286.2486472727269</v>
      </c>
      <c r="V21" s="283">
        <f t="shared" si="3"/>
        <v>1286.2486472727269</v>
      </c>
      <c r="W21" s="283">
        <f t="shared" si="4"/>
        <v>1168.7662472727268</v>
      </c>
      <c r="X21" s="283">
        <f t="shared" si="5"/>
        <v>1168.7662472727268</v>
      </c>
      <c r="Y21" s="285">
        <f t="shared" si="6"/>
        <v>1285.6428719999997</v>
      </c>
      <c r="Z21" s="285">
        <f t="shared" si="6"/>
        <v>1285.6428719999997</v>
      </c>
      <c r="AA21" s="194">
        <f>'Tariff Jul 2021'!AT13</f>
        <v>4.5</v>
      </c>
      <c r="AB21" s="195">
        <f>'Tariff Jul 2021'!BL13</f>
        <v>0</v>
      </c>
      <c r="AC21" s="195" t="str">
        <f>'Tariff Jul 2021'!BM13</f>
        <v>n</v>
      </c>
      <c r="AD21" s="196">
        <f>'Tariff Jul 2021'!G13</f>
        <v>42916</v>
      </c>
      <c r="AE21" s="340"/>
      <c r="AF21" s="340"/>
      <c r="AG21" s="340"/>
      <c r="AH21" s="340"/>
      <c r="AI21" s="340"/>
      <c r="AJ21" s="340"/>
      <c r="AK21" s="340"/>
      <c r="AL21" s="340"/>
      <c r="AM21" s="340"/>
      <c r="AN21" s="340"/>
      <c r="AO21" s="340"/>
      <c r="AP21" s="340"/>
      <c r="AQ21" s="340"/>
      <c r="AR21" s="340"/>
      <c r="AS21" s="340"/>
      <c r="AT21" s="340"/>
      <c r="AU21" s="340"/>
      <c r="AV21" s="340"/>
    </row>
    <row r="22" spans="1:48" s="187" customFormat="1" x14ac:dyDescent="0.15">
      <c r="A22" s="186" t="str">
        <f>'Tariff Jul 2021'!K14</f>
        <v>Powershop</v>
      </c>
      <c r="B22" s="187" t="str">
        <f>'Tariff Jul 2021'!L14</f>
        <v>Carbon neutral</v>
      </c>
      <c r="C22" s="188">
        <f>IF('Tariff Jul 2021'!BP14=0,91*'Tariff Jul 2021'!M14/100,(91*'Tariff Jul 2021'!M14/100)+'Tariff Jul 2021'!BP14/4)</f>
        <v>86.449999999999989</v>
      </c>
      <c r="D22" s="188">
        <f>IF('Tariff Jul 2021'!O14="",$F$5*'Tariff Jul 2021'!N14/100,IF($F$5&gt;='Tariff Jul 2021'!P14,('Tariff Jul 2021'!P14*'Tariff Jul 2021'!N14/100),($F$5*'Tariff Jul 2021'!N14/100)))</f>
        <v>218.70659999999995</v>
      </c>
      <c r="E22" s="188">
        <f>IF(AND('Tariff Jul 2021'!P14&gt;0,'Tariff Jul 2021'!R14&gt;0),IF($F$5&lt;'Tariff Jul 2021'!P14,0,IF($F$5&lt;=('Tariff Jul 2021'!R14+'Tariff Jul 2021'!P14),(($F$5-'Tariff Jul 2021'!P14)*'Tariff Jul 2021'!Q14/100),(('Tariff Jul 2021'!R14)*'Tariff Jul 2021'!Q14/100))),0)</f>
        <v>0</v>
      </c>
      <c r="F22" s="189">
        <f>IF(AND('Tariff Jul 2021'!Q14&gt;0,'Tariff Jul 2021'!S14&gt;0),IF($F$5&lt;('Tariff Jul 2021'!R14+'Tariff Jul 2021'!P14),0,IF($F$5&lt;=('Tariff Jul 2021'!T14+'Tariff Jul 2021'!R14+'Tariff Jul 2021'!P14),(($F$5-('Tariff Jul 2021'!R14+'Tariff Jul 2021'!P14))*'Tariff Jul 2021'!S14/100),('Tariff Jul 2021'!T14*'Tariff Jul 2021'!S14/100))),0)</f>
        <v>0</v>
      </c>
      <c r="G22" s="188">
        <v>0</v>
      </c>
      <c r="H22" s="188">
        <v>0</v>
      </c>
      <c r="I22" s="189">
        <f>IF('Tariff Jul 2021'!T14&gt;0,IF(($F$5&lt;'Tariff Jul 2021'!T14),(0),($F$5-'Tariff Jul 2021'!T14)*'Tariff Jul 2021'!U14/100),IF(AND('Tariff Jul 2021'!R14&gt;0,'Tariff Jul 2021'!T14=""),IF(($F$5&lt;'Tariff Jul 2021'!R14),(0),($F$5-'Tariff Jul 2021'!R14)*'Tariff Jul 2021'!S14/100),IF(AND('Tariff Jul 2021'!P14&gt;0,'Tariff Jul 2021'!R14=""),IF(($F$5&lt;'Tariff Jul 2021'!P14),(0),($F$5-'Tariff Jul 2021'!P14)*'Tariff Jul 2021'!Q14/100),0)))</f>
        <v>0</v>
      </c>
      <c r="J22" s="188">
        <f t="shared" si="7"/>
        <v>305.15659999999991</v>
      </c>
      <c r="K22" s="283">
        <f t="shared" si="10"/>
        <v>874.82639999999969</v>
      </c>
      <c r="L22" s="283">
        <f t="shared" si="8"/>
        <v>1220.6263999999996</v>
      </c>
      <c r="M22" s="191">
        <f t="shared" si="9"/>
        <v>1342.6890399999997</v>
      </c>
      <c r="N22" s="187">
        <f>'Tariff Jul 2021'!AZ14</f>
        <v>0</v>
      </c>
      <c r="O22" s="187">
        <f>'Tariff Jul 2021'!BA14</f>
        <v>0</v>
      </c>
      <c r="P22" s="187">
        <f>'Tariff Jul 2021'!BB14</f>
        <v>0</v>
      </c>
      <c r="Q22" s="187">
        <f>'Tariff Jul 2021'!BC14</f>
        <v>0</v>
      </c>
      <c r="R22" s="192">
        <f>($F$6*'Tariff Jul 2021'!AT14/100)*4</f>
        <v>78.321600000000004</v>
      </c>
      <c r="S22" s="193" t="str">
        <f t="shared" si="0"/>
        <v>No discount</v>
      </c>
      <c r="T22" s="193" t="str">
        <f t="shared" si="1"/>
        <v>Inclusive</v>
      </c>
      <c r="U22" s="304">
        <f t="shared" si="2"/>
        <v>1220.6263999999996</v>
      </c>
      <c r="V22" s="283">
        <f t="shared" si="3"/>
        <v>1220.6263999999996</v>
      </c>
      <c r="W22" s="283">
        <f t="shared" si="4"/>
        <v>1142.3047999999997</v>
      </c>
      <c r="X22" s="283">
        <f t="shared" si="5"/>
        <v>1142.3047999999997</v>
      </c>
      <c r="Y22" s="285">
        <f t="shared" si="6"/>
        <v>1256.5352799999998</v>
      </c>
      <c r="Z22" s="285">
        <f t="shared" si="6"/>
        <v>1256.5352799999998</v>
      </c>
      <c r="AA22" s="194">
        <f>'Tariff Jul 2021'!AT14</f>
        <v>3</v>
      </c>
      <c r="AB22" s="195">
        <f>'Tariff Jul 2021'!BL14</f>
        <v>0</v>
      </c>
      <c r="AC22" s="195" t="str">
        <f>'Tariff Jul 2021'!BM14</f>
        <v>n</v>
      </c>
      <c r="AD22" s="196">
        <f>'Tariff Jul 2021'!G14</f>
        <v>42900</v>
      </c>
      <c r="AE22" s="340"/>
      <c r="AF22" s="340"/>
      <c r="AG22" s="340"/>
      <c r="AH22" s="340"/>
      <c r="AI22" s="340"/>
      <c r="AJ22" s="340"/>
      <c r="AK22" s="340"/>
      <c r="AL22" s="340"/>
      <c r="AM22" s="340"/>
      <c r="AN22" s="340"/>
      <c r="AO22" s="340"/>
      <c r="AP22" s="340"/>
      <c r="AQ22" s="340"/>
      <c r="AR22" s="340"/>
      <c r="AS22" s="340"/>
      <c r="AT22" s="340"/>
      <c r="AU22" s="340"/>
      <c r="AV22" s="340"/>
    </row>
    <row r="23" spans="1:48" s="187" customFormat="1" x14ac:dyDescent="0.15">
      <c r="A23" s="186" t="str">
        <f>'Tariff Jul 2021'!K15</f>
        <v>Powerclub</v>
      </c>
      <c r="B23" s="187" t="str">
        <f>'Tariff Jul 2021'!L15</f>
        <v>Powerbank Home Solar</v>
      </c>
      <c r="C23" s="188">
        <f>IF('Tariff Jul 2021'!BP15=0,91*'Tariff Jul 2021'!M15/100,(91*'Tariff Jul 2021'!M15/100)+'Tariff Jul 2021'!BP15/4)</f>
        <v>108.50863636363636</v>
      </c>
      <c r="D23" s="188">
        <f>IF('Tariff Jul 2021'!O15="",$F$5*'Tariff Jul 2021'!N15/100,IF($F$5&gt;='Tariff Jul 2021'!P15,('Tariff Jul 2021'!P15*'Tariff Jul 2021'!N15/100),($F$5*'Tariff Jul 2021'!N15/100)))</f>
        <v>202.80066545454542</v>
      </c>
      <c r="E23" s="188">
        <f>IF(AND('Tariff Jul 2021'!P15&gt;0,'Tariff Jul 2021'!R15&gt;0),IF($F$5&lt;'Tariff Jul 2021'!P15,0,IF($F$5&lt;=('Tariff Jul 2021'!R15+'Tariff Jul 2021'!P15),(($F$5-'Tariff Jul 2021'!P15)*'Tariff Jul 2021'!Q15/100),(('Tariff Jul 2021'!R15)*'Tariff Jul 2021'!Q15/100))),0)</f>
        <v>0</v>
      </c>
      <c r="F23" s="189">
        <f>IF(AND('Tariff Jul 2021'!Q15&gt;0,'Tariff Jul 2021'!S15&gt;0),IF($F$5&lt;('Tariff Jul 2021'!R15+'Tariff Jul 2021'!P15),0,IF($F$5&lt;=('Tariff Jul 2021'!T15+'Tariff Jul 2021'!R15+'Tariff Jul 2021'!P15),(($F$5-('Tariff Jul 2021'!R15+'Tariff Jul 2021'!P15))*'Tariff Jul 2021'!S15/100),('Tariff Jul 2021'!T15*'Tariff Jul 2021'!S15/100))),0)</f>
        <v>0</v>
      </c>
      <c r="G23" s="188">
        <v>0</v>
      </c>
      <c r="H23" s="188">
        <v>0</v>
      </c>
      <c r="I23" s="189">
        <f>IF('Tariff Jul 2021'!T15&gt;0,IF(($F$5&lt;'Tariff Jul 2021'!T15),(0),($F$5-'Tariff Jul 2021'!T15)*'Tariff Jul 2021'!U15/100),IF(AND('Tariff Jul 2021'!R15&gt;0,'Tariff Jul 2021'!T15=""),IF(($F$5&lt;'Tariff Jul 2021'!R15),(0),($F$5-'Tariff Jul 2021'!R15)*'Tariff Jul 2021'!S15/100),IF(AND('Tariff Jul 2021'!P15&gt;0,'Tariff Jul 2021'!R15=""),IF(($F$5&lt;'Tariff Jul 2021'!P15),(0),($F$5-'Tariff Jul 2021'!P15)*'Tariff Jul 2021'!Q15/100),0)))</f>
        <v>0</v>
      </c>
      <c r="J23" s="188">
        <f t="shared" si="7"/>
        <v>311.30930181818178</v>
      </c>
      <c r="K23" s="283">
        <f t="shared" si="10"/>
        <v>811.2026618181817</v>
      </c>
      <c r="L23" s="283">
        <f t="shared" si="8"/>
        <v>1245.2372072727271</v>
      </c>
      <c r="M23" s="191">
        <f t="shared" si="9"/>
        <v>1369.7609279999999</v>
      </c>
      <c r="N23" s="187">
        <f>'Tariff Jul 2021'!AZ15</f>
        <v>0</v>
      </c>
      <c r="O23" s="187">
        <f>'Tariff Jul 2021'!BA15</f>
        <v>0</v>
      </c>
      <c r="P23" s="187">
        <f>'Tariff Jul 2021'!BB15</f>
        <v>0</v>
      </c>
      <c r="Q23" s="187">
        <f>'Tariff Jul 2021'!BC15</f>
        <v>0</v>
      </c>
      <c r="R23" s="192">
        <f>($F$6*'Tariff Jul 2021'!AT15/100)*4</f>
        <v>26.107199999999999</v>
      </c>
      <c r="S23" s="193" t="str">
        <f t="shared" si="0"/>
        <v>No discount</v>
      </c>
      <c r="T23" s="193" t="str">
        <f t="shared" si="1"/>
        <v>Exclusive</v>
      </c>
      <c r="U23" s="304">
        <f t="shared" si="2"/>
        <v>1245.2372072727271</v>
      </c>
      <c r="V23" s="283">
        <f t="shared" si="3"/>
        <v>1245.2372072727271</v>
      </c>
      <c r="W23" s="283">
        <f t="shared" si="4"/>
        <v>1219.1300072727272</v>
      </c>
      <c r="X23" s="283">
        <f t="shared" si="5"/>
        <v>1219.1300072727272</v>
      </c>
      <c r="Y23" s="285">
        <f t="shared" si="6"/>
        <v>1341.0430080000001</v>
      </c>
      <c r="Z23" s="285">
        <f t="shared" si="6"/>
        <v>1341.0430080000001</v>
      </c>
      <c r="AA23" s="194">
        <f>'Tariff Jul 2021'!AT15</f>
        <v>1</v>
      </c>
      <c r="AB23" s="195">
        <f>'Tariff Jul 2021'!BL15</f>
        <v>0</v>
      </c>
      <c r="AC23" s="195" t="str">
        <f>'Tariff Jul 2021'!BM15</f>
        <v>n</v>
      </c>
      <c r="AD23" s="196">
        <f>'Tariff Jul 2021'!G15</f>
        <v>42916</v>
      </c>
      <c r="AE23" s="340"/>
      <c r="AF23" s="340"/>
      <c r="AG23" s="340"/>
      <c r="AH23" s="340"/>
      <c r="AI23" s="340"/>
      <c r="AJ23" s="340"/>
      <c r="AK23" s="340"/>
      <c r="AL23" s="340"/>
      <c r="AM23" s="340"/>
      <c r="AN23" s="340"/>
      <c r="AO23" s="340"/>
      <c r="AP23" s="340"/>
      <c r="AQ23" s="340"/>
      <c r="AR23" s="340"/>
      <c r="AS23" s="340"/>
      <c r="AT23" s="340"/>
      <c r="AU23" s="340"/>
      <c r="AV23" s="340"/>
    </row>
    <row r="24" spans="1:48" s="187" customFormat="1" x14ac:dyDescent="0.15">
      <c r="A24" s="186" t="str">
        <f>'Tariff Jul 2021'!K16</f>
        <v>Amber Electric</v>
      </c>
      <c r="B24" s="187" t="str">
        <f>'Tariff Jul 2021'!L16</f>
        <v>Amber 15</v>
      </c>
      <c r="C24" s="188">
        <f>IF('Tariff Jul 2021'!BP16=0,91*'Tariff Jul 2021'!M16/100,(91*'Tariff Jul 2021'!M16/100)+'Tariff Jul 2021'!BP16/4)</f>
        <v>124.25522727272725</v>
      </c>
      <c r="D24" s="188">
        <f>IF('Tariff Jul 2021'!O16="",$F$5*'Tariff Jul 2021'!N16/100,IF($F$5&gt;='Tariff Jul 2021'!P16,('Tariff Jul 2021'!P16*'Tariff Jul 2021'!N16/100),($F$5*'Tariff Jul 2021'!N16/100)))</f>
        <v>237.04711636363635</v>
      </c>
      <c r="E24" s="188">
        <f>IF(AND('Tariff Jul 2021'!P16&gt;0,'Tariff Jul 2021'!R16&gt;0),IF($F$5&lt;'Tariff Jul 2021'!P16,0,IF($F$5&lt;=('Tariff Jul 2021'!R16+'Tariff Jul 2021'!P16),(($F$5-'Tariff Jul 2021'!P16)*'Tariff Jul 2021'!Q16/100),(('Tariff Jul 2021'!R16)*'Tariff Jul 2021'!Q16/100))),0)</f>
        <v>0</v>
      </c>
      <c r="F24" s="189">
        <f>IF(AND('Tariff Jul 2021'!Q16&gt;0,'Tariff Jul 2021'!S16&gt;0),IF($F$5&lt;('Tariff Jul 2021'!R16+'Tariff Jul 2021'!P16),0,IF($F$5&lt;=('Tariff Jul 2021'!T16+'Tariff Jul 2021'!R16+'Tariff Jul 2021'!P16),(($F$5-('Tariff Jul 2021'!R16+'Tariff Jul 2021'!P16))*'Tariff Jul 2021'!S16/100),('Tariff Jul 2021'!T16*'Tariff Jul 2021'!S16/100))),0)</f>
        <v>0</v>
      </c>
      <c r="G24" s="188">
        <v>0</v>
      </c>
      <c r="H24" s="188">
        <v>0</v>
      </c>
      <c r="I24" s="189">
        <f>IF('Tariff Jul 2021'!T16&gt;0,IF(($F$5&lt;'Tariff Jul 2021'!T16),(0),($F$5-'Tariff Jul 2021'!T16)*'Tariff Jul 2021'!U16/100),IF(AND('Tariff Jul 2021'!R16&gt;0,'Tariff Jul 2021'!T16=""),IF(($F$5&lt;'Tariff Jul 2021'!R16),(0),($F$5-'Tariff Jul 2021'!R16)*'Tariff Jul 2021'!S16/100),IF(AND('Tariff Jul 2021'!P16&gt;0,'Tariff Jul 2021'!R16=""),IF(($F$5&lt;'Tariff Jul 2021'!P16),(0),($F$5-'Tariff Jul 2021'!P16)*'Tariff Jul 2021'!Q16/100),0)))</f>
        <v>0</v>
      </c>
      <c r="J24" s="188">
        <f t="shared" si="7"/>
        <v>361.30234363636362</v>
      </c>
      <c r="K24" s="283">
        <f t="shared" si="10"/>
        <v>948.18846545454539</v>
      </c>
      <c r="L24" s="283">
        <f t="shared" si="8"/>
        <v>1445.2093745454545</v>
      </c>
      <c r="M24" s="191">
        <f t="shared" si="9"/>
        <v>1589.7303120000001</v>
      </c>
      <c r="N24" s="187">
        <f>'Tariff Jul 2021'!AZ16</f>
        <v>0</v>
      </c>
      <c r="O24" s="187">
        <f>'Tariff Jul 2021'!BA16</f>
        <v>0</v>
      </c>
      <c r="P24" s="187">
        <f>'Tariff Jul 2021'!BB16</f>
        <v>0</v>
      </c>
      <c r="Q24" s="187">
        <f>'Tariff Jul 2021'!BC16</f>
        <v>0</v>
      </c>
      <c r="R24" s="192">
        <f>($F$6*'Tariff Jul 2021'!AT16/100)*4</f>
        <v>208.85759999999999</v>
      </c>
      <c r="S24" s="193" t="str">
        <f t="shared" si="0"/>
        <v>No discount</v>
      </c>
      <c r="T24" s="193" t="str">
        <f t="shared" si="1"/>
        <v>Exclusive</v>
      </c>
      <c r="U24" s="304">
        <f t="shared" si="2"/>
        <v>1445.2093745454545</v>
      </c>
      <c r="V24" s="283">
        <f t="shared" si="3"/>
        <v>1445.2093745454545</v>
      </c>
      <c r="W24" s="283">
        <f t="shared" si="4"/>
        <v>1236.3517745454544</v>
      </c>
      <c r="X24" s="283">
        <f t="shared" si="5"/>
        <v>1236.3517745454544</v>
      </c>
      <c r="Y24" s="285">
        <f t="shared" si="6"/>
        <v>1359.986952</v>
      </c>
      <c r="Z24" s="285">
        <f t="shared" si="6"/>
        <v>1359.986952</v>
      </c>
      <c r="AA24" s="194">
        <f>'Tariff Jul 2021'!AT16</f>
        <v>8</v>
      </c>
      <c r="AB24" s="195">
        <f>'Tariff Jul 2021'!BL16</f>
        <v>0</v>
      </c>
      <c r="AC24" s="195" t="str">
        <f>'Tariff Jul 2021'!BM16</f>
        <v>n</v>
      </c>
      <c r="AD24" s="196">
        <f>'Tariff Jul 2021'!G16</f>
        <v>42917</v>
      </c>
      <c r="AE24" s="340"/>
      <c r="AF24" s="340"/>
      <c r="AG24" s="340"/>
      <c r="AH24" s="340"/>
      <c r="AI24" s="340"/>
      <c r="AJ24" s="340"/>
      <c r="AK24" s="340"/>
      <c r="AL24" s="340"/>
      <c r="AM24" s="340"/>
      <c r="AN24" s="340"/>
      <c r="AO24" s="340"/>
      <c r="AP24" s="340"/>
      <c r="AQ24" s="340"/>
      <c r="AR24" s="340"/>
      <c r="AS24" s="340"/>
      <c r="AT24" s="340"/>
      <c r="AU24" s="340"/>
      <c r="AV24" s="340"/>
    </row>
    <row r="25" spans="1:48" s="187" customFormat="1" x14ac:dyDescent="0.15">
      <c r="A25" s="186" t="str">
        <f>'Tariff Jul 2021'!K17</f>
        <v>Discover Energy</v>
      </c>
      <c r="B25" s="187" t="str">
        <f>'Tariff Jul 2021'!L17</f>
        <v>Solar Smart</v>
      </c>
      <c r="C25" s="188">
        <f>IF('Tariff Jul 2021'!BP17=0,91*'Tariff Jul 2021'!M17/100,(91*'Tariff Jul 2021'!M17/100)+'Tariff Jul 2021'!BP17/4)</f>
        <v>56.246272727272718</v>
      </c>
      <c r="D25" s="188">
        <f>IF('Tariff Jul 2021'!O17="",$F$5*'Tariff Jul 2021'!N17/100,IF($F$5&gt;='Tariff Jul 2021'!P17,('Tariff Jul 2021'!P17*'Tariff Jul 2021'!N17/100),($F$5*'Tariff Jul 2021'!N17/100)))</f>
        <v>277.21771636363627</v>
      </c>
      <c r="E25" s="188">
        <f>IF(AND('Tariff Jul 2021'!P17&gt;0,'Tariff Jul 2021'!R17&gt;0),IF($F$5&lt;'Tariff Jul 2021'!P17,0,IF($F$5&lt;=('Tariff Jul 2021'!R17+'Tariff Jul 2021'!P17),(($F$5-'Tariff Jul 2021'!P17)*'Tariff Jul 2021'!Q17/100),(('Tariff Jul 2021'!R17)*'Tariff Jul 2021'!Q17/100))),0)</f>
        <v>0</v>
      </c>
      <c r="F25" s="189">
        <f>IF(AND('Tariff Jul 2021'!Q17&gt;0,'Tariff Jul 2021'!S17&gt;0),IF($F$5&lt;('Tariff Jul 2021'!R17+'Tariff Jul 2021'!P17),0,IF($F$5&lt;=('Tariff Jul 2021'!T17+'Tariff Jul 2021'!R17+'Tariff Jul 2021'!P17),(($F$5-('Tariff Jul 2021'!R17+'Tariff Jul 2021'!P17))*'Tariff Jul 2021'!S17/100),('Tariff Jul 2021'!T17*'Tariff Jul 2021'!S17/100))),0)</f>
        <v>0</v>
      </c>
      <c r="G25" s="188">
        <v>0</v>
      </c>
      <c r="H25" s="188">
        <v>0</v>
      </c>
      <c r="I25" s="189">
        <f>IF('Tariff Jul 2021'!T17&gt;0,IF(($F$5&lt;'Tariff Jul 2021'!T17),(0),($F$5-'Tariff Jul 2021'!T17)*'Tariff Jul 2021'!U17/100),IF(AND('Tariff Jul 2021'!R17&gt;0,'Tariff Jul 2021'!T17=""),IF(($F$5&lt;'Tariff Jul 2021'!R17),(0),($F$5-'Tariff Jul 2021'!R17)*'Tariff Jul 2021'!S17/100),IF(AND('Tariff Jul 2021'!P17&gt;0,'Tariff Jul 2021'!R17=""),IF(($F$5&lt;'Tariff Jul 2021'!P17),(0),($F$5-'Tariff Jul 2021'!P17)*'Tariff Jul 2021'!Q17/100),0)))</f>
        <v>0</v>
      </c>
      <c r="J25" s="188">
        <f t="shared" si="7"/>
        <v>333.46398909090897</v>
      </c>
      <c r="K25" s="283">
        <f t="shared" si="10"/>
        <v>1108.8708654545451</v>
      </c>
      <c r="L25" s="283">
        <f t="shared" si="8"/>
        <v>1333.8559563636359</v>
      </c>
      <c r="M25" s="191">
        <f t="shared" si="9"/>
        <v>1467.2415519999995</v>
      </c>
      <c r="N25" s="187">
        <f>'Tariff Jul 2021'!AZ17</f>
        <v>0</v>
      </c>
      <c r="O25" s="187">
        <f>'Tariff Jul 2021'!BA17</f>
        <v>24</v>
      </c>
      <c r="P25" s="187">
        <f>'Tariff Jul 2021'!BB17</f>
        <v>0</v>
      </c>
      <c r="Q25" s="187">
        <f>'Tariff Jul 2021'!BC17</f>
        <v>0</v>
      </c>
      <c r="R25" s="192">
        <f>($F$6*'Tariff Jul 2021'!AT17/100)*4</f>
        <v>417.71519999999998</v>
      </c>
      <c r="S25" s="193" t="str">
        <f t="shared" si="0"/>
        <v>Guaranteed off usage</v>
      </c>
      <c r="T25" s="193" t="str">
        <f t="shared" si="1"/>
        <v>Exclusive</v>
      </c>
      <c r="U25" s="304">
        <f t="shared" si="2"/>
        <v>1067.7269486545451</v>
      </c>
      <c r="V25" s="283">
        <f t="shared" si="3"/>
        <v>1067.7269486545451</v>
      </c>
      <c r="W25" s="283">
        <f t="shared" si="4"/>
        <v>650.01174865454516</v>
      </c>
      <c r="X25" s="283">
        <f t="shared" si="5"/>
        <v>650.01174865454516</v>
      </c>
      <c r="Y25" s="285">
        <f t="shared" si="6"/>
        <v>715.01292351999973</v>
      </c>
      <c r="Z25" s="285">
        <f t="shared" si="6"/>
        <v>715.01292351999973</v>
      </c>
      <c r="AA25" s="194">
        <f>'Tariff Jul 2021'!AT17</f>
        <v>16</v>
      </c>
      <c r="AB25" s="195">
        <f>'Tariff Jul 2021'!BL17</f>
        <v>0</v>
      </c>
      <c r="AC25" s="195" t="str">
        <f>'Tariff Jul 2021'!BM17</f>
        <v>n</v>
      </c>
      <c r="AD25" s="196">
        <f>'Tariff Jul 2021'!G17</f>
        <v>42916</v>
      </c>
      <c r="AE25" s="340"/>
      <c r="AF25" s="340"/>
      <c r="AG25" s="340"/>
      <c r="AH25" s="340"/>
      <c r="AI25" s="340"/>
      <c r="AJ25" s="340"/>
      <c r="AK25" s="340"/>
      <c r="AL25" s="340"/>
      <c r="AM25" s="340"/>
      <c r="AN25" s="340"/>
      <c r="AO25" s="340"/>
      <c r="AP25" s="340"/>
      <c r="AQ25" s="340"/>
      <c r="AR25" s="340"/>
      <c r="AS25" s="340"/>
      <c r="AT25" s="340"/>
      <c r="AU25" s="340"/>
      <c r="AV25" s="340"/>
    </row>
    <row r="26" spans="1:48" s="187" customFormat="1" x14ac:dyDescent="0.15">
      <c r="A26" s="186" t="str">
        <f>'Tariff Jul 2021'!K18</f>
        <v>Future X Power</v>
      </c>
      <c r="B26" s="187" t="str">
        <f>'Tariff Jul 2021'!L18</f>
        <v>Flexi Saver</v>
      </c>
      <c r="C26" s="188">
        <f>IF('Tariff Jul 2021'!BP18=0,91*'Tariff Jul 2021'!M18/100,(91*'Tariff Jul 2021'!M18/100)+'Tariff Jul 2021'!BP18/4)</f>
        <v>78.077999999999989</v>
      </c>
      <c r="D26" s="188">
        <f>IF('Tariff Jul 2021'!O18="",$F$5*'Tariff Jul 2021'!N18/100,IF($F$5&gt;='Tariff Jul 2021'!P18,('Tariff Jul 2021'!P18*'Tariff Jul 2021'!N18/100),($F$5*'Tariff Jul 2021'!N18/100)))</f>
        <v>252.22267636363631</v>
      </c>
      <c r="E26" s="188">
        <f>IF(AND('Tariff Jul 2021'!P18&gt;0,'Tariff Jul 2021'!R18&gt;0),IF($F$5&lt;'Tariff Jul 2021'!P18,0,IF($F$5&lt;=('Tariff Jul 2021'!R18+'Tariff Jul 2021'!P18),(($F$5-'Tariff Jul 2021'!P18)*'Tariff Jul 2021'!Q18/100),(('Tariff Jul 2021'!R18)*'Tariff Jul 2021'!Q18/100))),0)</f>
        <v>0</v>
      </c>
      <c r="F26" s="189">
        <f>IF(AND('Tariff Jul 2021'!Q18&gt;0,'Tariff Jul 2021'!S18&gt;0),IF($F$5&lt;('Tariff Jul 2021'!R18+'Tariff Jul 2021'!P18),0,IF($F$5&lt;=('Tariff Jul 2021'!T18+'Tariff Jul 2021'!R18+'Tariff Jul 2021'!P18),(($F$5-('Tariff Jul 2021'!R18+'Tariff Jul 2021'!P18))*'Tariff Jul 2021'!S18/100),('Tariff Jul 2021'!T18*'Tariff Jul 2021'!S18/100))),0)</f>
        <v>0</v>
      </c>
      <c r="G26" s="188">
        <v>0</v>
      </c>
      <c r="H26" s="188">
        <v>0</v>
      </c>
      <c r="I26" s="189">
        <f>IF('Tariff Jul 2021'!T18&gt;0,IF(($F$5&lt;'Tariff Jul 2021'!T18),(0),($F$5-'Tariff Jul 2021'!T18)*'Tariff Jul 2021'!U18/100),IF(AND('Tariff Jul 2021'!R18&gt;0,'Tariff Jul 2021'!T18=""),IF(($F$5&lt;'Tariff Jul 2021'!R18),(0),($F$5-'Tariff Jul 2021'!R18)*'Tariff Jul 2021'!S18/100),IF(AND('Tariff Jul 2021'!P18&gt;0,'Tariff Jul 2021'!R18=""),IF(($F$5&lt;'Tariff Jul 2021'!P18),(0),($F$5-'Tariff Jul 2021'!P18)*'Tariff Jul 2021'!Q18/100),0)))</f>
        <v>0</v>
      </c>
      <c r="J26" s="188">
        <f t="shared" si="7"/>
        <v>330.30067636363628</v>
      </c>
      <c r="K26" s="283">
        <f t="shared" si="10"/>
        <v>1008.8907054545452</v>
      </c>
      <c r="L26" s="283">
        <f t="shared" si="8"/>
        <v>1321.2027054545451</v>
      </c>
      <c r="M26" s="191">
        <f t="shared" si="9"/>
        <v>1453.3229759999997</v>
      </c>
      <c r="N26" s="187">
        <f>'Tariff Jul 2021'!AZ18</f>
        <v>0</v>
      </c>
      <c r="O26" s="187">
        <f>'Tariff Jul 2021'!BA18</f>
        <v>0</v>
      </c>
      <c r="P26" s="187">
        <f>'Tariff Jul 2021'!BB18</f>
        <v>0</v>
      </c>
      <c r="Q26" s="187">
        <f>'Tariff Jul 2021'!BC18</f>
        <v>0</v>
      </c>
      <c r="R26" s="192">
        <f>($F$6*'Tariff Jul 2021'!AT18/100)*4</f>
        <v>104.4288</v>
      </c>
      <c r="S26" s="193" t="str">
        <f t="shared" si="0"/>
        <v>No discount</v>
      </c>
      <c r="T26" s="193" t="str">
        <f t="shared" si="1"/>
        <v>Exclusive</v>
      </c>
      <c r="U26" s="304">
        <f t="shared" si="2"/>
        <v>1321.2027054545451</v>
      </c>
      <c r="V26" s="283">
        <f t="shared" si="3"/>
        <v>1321.2027054545451</v>
      </c>
      <c r="W26" s="283">
        <f t="shared" si="4"/>
        <v>1216.7739054545452</v>
      </c>
      <c r="X26" s="283">
        <f t="shared" si="5"/>
        <v>1216.7739054545452</v>
      </c>
      <c r="Y26" s="285">
        <f t="shared" ref="Y26:Z33" si="11">W26*1.1</f>
        <v>1338.451296</v>
      </c>
      <c r="Z26" s="285">
        <f t="shared" si="11"/>
        <v>1338.451296</v>
      </c>
      <c r="AA26" s="194">
        <f>'Tariff Jul 2021'!AT18</f>
        <v>4</v>
      </c>
      <c r="AB26" s="195">
        <f>'Tariff Jul 2021'!BL18</f>
        <v>0</v>
      </c>
      <c r="AC26" s="195" t="str">
        <f>'Tariff Jul 2021'!BM18</f>
        <v>n</v>
      </c>
      <c r="AD26" s="196">
        <f>'Tariff Jul 2021'!G18</f>
        <v>42587</v>
      </c>
      <c r="AE26" s="340"/>
      <c r="AF26" s="340"/>
      <c r="AG26" s="340"/>
      <c r="AH26" s="340"/>
      <c r="AI26" s="340"/>
      <c r="AJ26" s="340"/>
      <c r="AK26" s="340"/>
      <c r="AL26" s="340"/>
      <c r="AM26" s="340"/>
      <c r="AN26" s="340"/>
      <c r="AO26" s="340"/>
      <c r="AP26" s="340"/>
      <c r="AQ26" s="340"/>
      <c r="AR26" s="340"/>
      <c r="AS26" s="340"/>
      <c r="AT26" s="340"/>
      <c r="AU26" s="340"/>
      <c r="AV26" s="340"/>
    </row>
    <row r="27" spans="1:48" s="187" customFormat="1" x14ac:dyDescent="0.15">
      <c r="A27" s="186" t="str">
        <f>'Tariff Jul 2021'!K19</f>
        <v>GloBird Energy</v>
      </c>
      <c r="B27" s="187" t="str">
        <f>'Tariff Jul 2021'!L19</f>
        <v>SureSave</v>
      </c>
      <c r="C27" s="188">
        <f>IF('Tariff Jul 2021'!BP19=0,91*'Tariff Jul 2021'!M19/100,(91*'Tariff Jul 2021'!M19/100)+'Tariff Jul 2021'!BP19/4)</f>
        <v>99.19</v>
      </c>
      <c r="D27" s="188">
        <f>IF('Tariff Jul 2021'!O19="",$F$5*'Tariff Jul 2021'!N19/100,IF($F$5&gt;='Tariff Jul 2021'!P19,('Tariff Jul 2021'!P19*'Tariff Jul 2021'!N19/100),($F$5*'Tariff Jul 2021'!N19/100)))</f>
        <v>258.87719999999996</v>
      </c>
      <c r="E27" s="188">
        <f>IF(AND('Tariff Jul 2021'!P19&gt;0,'Tariff Jul 2021'!R19&gt;0),IF($F$5&lt;'Tariff Jul 2021'!P19,0,IF($F$5&lt;=('Tariff Jul 2021'!R19+'Tariff Jul 2021'!P19),(($F$5-'Tariff Jul 2021'!P19)*'Tariff Jul 2021'!Q19/100),(('Tariff Jul 2021'!R19)*'Tariff Jul 2021'!Q19/100))),0)</f>
        <v>0</v>
      </c>
      <c r="F27" s="189">
        <f>IF(AND('Tariff Jul 2021'!Q19&gt;0,'Tariff Jul 2021'!S19&gt;0),IF($F$5&lt;('Tariff Jul 2021'!R19+'Tariff Jul 2021'!P19),0,IF($F$5&lt;=('Tariff Jul 2021'!T19+'Tariff Jul 2021'!R19+'Tariff Jul 2021'!P19),(($F$5-('Tariff Jul 2021'!R19+'Tariff Jul 2021'!P19))*'Tariff Jul 2021'!S19/100),('Tariff Jul 2021'!T19*'Tariff Jul 2021'!S19/100))),0)</f>
        <v>0</v>
      </c>
      <c r="G27" s="188">
        <v>0</v>
      </c>
      <c r="H27" s="188">
        <v>0</v>
      </c>
      <c r="I27" s="189">
        <f>IF('Tariff Jul 2021'!T19&gt;0,IF(($F$5&lt;'Tariff Jul 2021'!T19),(0),($F$5-'Tariff Jul 2021'!T19)*'Tariff Jul 2021'!U19/100),IF(AND('Tariff Jul 2021'!R19&gt;0,'Tariff Jul 2021'!T19=""),IF(($F$5&lt;'Tariff Jul 2021'!R19),(0),($F$5-'Tariff Jul 2021'!R19)*'Tariff Jul 2021'!S19/100),IF(AND('Tariff Jul 2021'!P19&gt;0,'Tariff Jul 2021'!R19=""),IF(($F$5&lt;'Tariff Jul 2021'!P19),(0),($F$5-'Tariff Jul 2021'!P19)*'Tariff Jul 2021'!Q19/100),0)))</f>
        <v>0</v>
      </c>
      <c r="J27" s="188">
        <f t="shared" si="7"/>
        <v>358.06719999999996</v>
      </c>
      <c r="K27" s="283">
        <f t="shared" si="10"/>
        <v>1035.5087999999998</v>
      </c>
      <c r="L27" s="283">
        <f t="shared" si="8"/>
        <v>1432.2687999999998</v>
      </c>
      <c r="M27" s="191">
        <f t="shared" si="9"/>
        <v>1575.49568</v>
      </c>
      <c r="N27" s="187">
        <f>'Tariff Jul 2021'!AZ19</f>
        <v>0</v>
      </c>
      <c r="O27" s="187">
        <f>'Tariff Jul 2021'!BA19</f>
        <v>0</v>
      </c>
      <c r="P27" s="187">
        <f>'Tariff Jul 2021'!BB19</f>
        <v>0</v>
      </c>
      <c r="Q27" s="187">
        <f>'Tariff Jul 2021'!BC19</f>
        <v>0</v>
      </c>
      <c r="R27" s="192">
        <f>($F$6*'Tariff Jul 2021'!AT19/100)*4</f>
        <v>78.321600000000004</v>
      </c>
      <c r="S27" s="193" t="str">
        <f t="shared" si="0"/>
        <v>No discount</v>
      </c>
      <c r="T27" s="193" t="str">
        <f t="shared" si="1"/>
        <v>Exclusive</v>
      </c>
      <c r="U27" s="304">
        <f t="shared" si="2"/>
        <v>1432.2687999999998</v>
      </c>
      <c r="V27" s="283">
        <f t="shared" si="3"/>
        <v>1432.2687999999998</v>
      </c>
      <c r="W27" s="283">
        <f t="shared" si="4"/>
        <v>1353.9471999999998</v>
      </c>
      <c r="X27" s="283">
        <f t="shared" si="5"/>
        <v>1353.9471999999998</v>
      </c>
      <c r="Y27" s="285">
        <f t="shared" si="11"/>
        <v>1489.3419199999998</v>
      </c>
      <c r="Z27" s="285">
        <f t="shared" si="11"/>
        <v>1489.3419199999998</v>
      </c>
      <c r="AA27" s="194">
        <f>'Tariff Jul 2021'!AT19</f>
        <v>3</v>
      </c>
      <c r="AB27" s="195">
        <f>'Tariff Jul 2021'!BL19</f>
        <v>0</v>
      </c>
      <c r="AC27" s="195" t="str">
        <f>'Tariff Jul 2021'!BM19</f>
        <v>n</v>
      </c>
      <c r="AD27" s="196">
        <f>'Tariff Jul 2021'!G19</f>
        <v>42916</v>
      </c>
      <c r="AE27" s="340"/>
      <c r="AF27" s="340"/>
      <c r="AG27" s="340"/>
      <c r="AH27" s="340"/>
      <c r="AI27" s="340"/>
      <c r="AJ27" s="340"/>
      <c r="AK27" s="340"/>
      <c r="AL27" s="340"/>
      <c r="AM27" s="340"/>
      <c r="AN27" s="340"/>
      <c r="AO27" s="340"/>
      <c r="AP27" s="340"/>
      <c r="AQ27" s="340"/>
      <c r="AR27" s="340"/>
      <c r="AS27" s="340"/>
      <c r="AT27" s="340"/>
      <c r="AU27" s="340"/>
      <c r="AV27" s="340"/>
    </row>
    <row r="28" spans="1:48" s="187" customFormat="1" x14ac:dyDescent="0.15">
      <c r="A28" s="186" t="str">
        <f>'Tariff Jul 2021'!K20</f>
        <v>Kogan Energy</v>
      </c>
      <c r="B28" s="187" t="str">
        <f>'Tariff Jul 2021'!L20</f>
        <v>Market offer</v>
      </c>
      <c r="C28" s="188">
        <f>IF('Tariff Jul 2021'!BP20=0,91*'Tariff Jul 2021'!M20/100,(91*'Tariff Jul 2021'!M20/100)+'Tariff Jul 2021'!BP20/4)</f>
        <v>96.766090909090906</v>
      </c>
      <c r="D28" s="188">
        <f>IF('Tariff Jul 2021'!O20="",$F$5*'Tariff Jul 2021'!N20/100,IF($F$5&gt;='Tariff Jul 2021'!P20,('Tariff Jul 2021'!P20*'Tariff Jul 2021'!N20/100),($F$5*'Tariff Jul 2021'!N20/100)))</f>
        <v>203.85565090909091</v>
      </c>
      <c r="E28" s="188">
        <f>IF(AND('Tariff Jul 2021'!P20&gt;0,'Tariff Jul 2021'!R20&gt;0),IF($F$5&lt;'Tariff Jul 2021'!P20,0,IF($F$5&lt;=('Tariff Jul 2021'!R20+'Tariff Jul 2021'!P20),(($F$5-'Tariff Jul 2021'!P20)*'Tariff Jul 2021'!Q20/100),(('Tariff Jul 2021'!R20)*'Tariff Jul 2021'!Q20/100))),0)</f>
        <v>0</v>
      </c>
      <c r="F28" s="189">
        <f>IF(AND('Tariff Jul 2021'!Q20&gt;0,'Tariff Jul 2021'!S20&gt;0),IF($F$5&lt;('Tariff Jul 2021'!R20+'Tariff Jul 2021'!P20),0,IF($F$5&lt;=('Tariff Jul 2021'!T20+'Tariff Jul 2021'!R20+'Tariff Jul 2021'!P20),(($F$5-('Tariff Jul 2021'!R20+'Tariff Jul 2021'!P20))*'Tariff Jul 2021'!S20/100),('Tariff Jul 2021'!T20*'Tariff Jul 2021'!S20/100))),0)</f>
        <v>0</v>
      </c>
      <c r="G28" s="188">
        <v>0</v>
      </c>
      <c r="H28" s="188">
        <v>0</v>
      </c>
      <c r="I28" s="189">
        <f>IF('Tariff Jul 2021'!T20&gt;0,IF(($F$5&lt;'Tariff Jul 2021'!T20),(0),($F$5-'Tariff Jul 2021'!T20)*'Tariff Jul 2021'!U20/100),IF(AND('Tariff Jul 2021'!R20&gt;0,'Tariff Jul 2021'!T20=""),IF(($F$5&lt;'Tariff Jul 2021'!R20),(0),($F$5-'Tariff Jul 2021'!R20)*'Tariff Jul 2021'!S20/100),IF(AND('Tariff Jul 2021'!P20&gt;0,'Tariff Jul 2021'!R20=""),IF(($F$5&lt;'Tariff Jul 2021'!P20),(0),($F$5-'Tariff Jul 2021'!P20)*'Tariff Jul 2021'!Q20/100),0)))</f>
        <v>0</v>
      </c>
      <c r="J28" s="188">
        <f t="shared" si="7"/>
        <v>300.62174181818182</v>
      </c>
      <c r="K28" s="283">
        <f t="shared" si="10"/>
        <v>815.42260363636365</v>
      </c>
      <c r="L28" s="283">
        <f t="shared" si="8"/>
        <v>1202.4869672727273</v>
      </c>
      <c r="M28" s="191">
        <f t="shared" si="9"/>
        <v>1322.735664</v>
      </c>
      <c r="N28" s="187">
        <f>'Tariff Jul 2021'!AZ20</f>
        <v>0</v>
      </c>
      <c r="O28" s="187">
        <f>'Tariff Jul 2021'!BA20</f>
        <v>0</v>
      </c>
      <c r="P28" s="187">
        <f>'Tariff Jul 2021'!BB20</f>
        <v>0</v>
      </c>
      <c r="Q28" s="187">
        <f>'Tariff Jul 2021'!BC20</f>
        <v>0</v>
      </c>
      <c r="R28" s="192">
        <f>($F$6*'Tariff Jul 2021'!AT20/100)*4</f>
        <v>53.780832000000004</v>
      </c>
      <c r="S28" s="193" t="str">
        <f t="shared" si="0"/>
        <v>No discount</v>
      </c>
      <c r="T28" s="193" t="str">
        <f t="shared" si="1"/>
        <v>Exclusive</v>
      </c>
      <c r="U28" s="304">
        <f t="shared" si="2"/>
        <v>1202.4869672727273</v>
      </c>
      <c r="V28" s="283">
        <f t="shared" si="3"/>
        <v>1202.4869672727273</v>
      </c>
      <c r="W28" s="283">
        <f t="shared" si="4"/>
        <v>1148.7061352727274</v>
      </c>
      <c r="X28" s="283">
        <f t="shared" si="5"/>
        <v>1148.7061352727274</v>
      </c>
      <c r="Y28" s="285">
        <f t="shared" si="11"/>
        <v>1263.5767488000001</v>
      </c>
      <c r="Z28" s="285">
        <f t="shared" si="11"/>
        <v>1263.5767488000001</v>
      </c>
      <c r="AA28" s="194">
        <f>'Tariff Jul 2021'!AT20</f>
        <v>2.06</v>
      </c>
      <c r="AB28" s="195">
        <f>'Tariff Jul 2021'!BL20</f>
        <v>0</v>
      </c>
      <c r="AC28" s="195" t="str">
        <f>'Tariff Jul 2021'!BM20</f>
        <v>n</v>
      </c>
      <c r="AD28" s="196">
        <f>'Tariff Jul 2021'!G20</f>
        <v>42900</v>
      </c>
      <c r="AE28" s="340"/>
      <c r="AF28" s="340"/>
      <c r="AG28" s="340"/>
      <c r="AH28" s="340"/>
      <c r="AI28" s="340"/>
      <c r="AJ28" s="340"/>
      <c r="AK28" s="340"/>
      <c r="AL28" s="340"/>
      <c r="AM28" s="340"/>
      <c r="AN28" s="340"/>
      <c r="AO28" s="340"/>
      <c r="AP28" s="340"/>
      <c r="AQ28" s="340"/>
      <c r="AR28" s="340"/>
      <c r="AS28" s="340"/>
      <c r="AT28" s="340"/>
      <c r="AU28" s="340"/>
      <c r="AV28" s="340"/>
    </row>
    <row r="29" spans="1:48" s="187" customFormat="1" x14ac:dyDescent="0.15">
      <c r="A29" s="186" t="str">
        <f>'Tariff Jul 2021'!K21</f>
        <v>OVO Energy</v>
      </c>
      <c r="B29" s="187" t="str">
        <f>'Tariff Jul 2021'!L21</f>
        <v>The One Plan</v>
      </c>
      <c r="C29" s="188">
        <f>IF('Tariff Jul 2021'!BP21=0,91*'Tariff Jul 2021'!M21/100,(91*'Tariff Jul 2021'!M21/100)+'Tariff Jul 2021'!BP21/4)</f>
        <v>70.069999999999993</v>
      </c>
      <c r="D29" s="188">
        <f>IF('Tariff Jul 2021'!O21="",$F$5*'Tariff Jul 2021'!N21/100,IF($F$5&gt;='Tariff Jul 2021'!P21,('Tariff Jul 2021'!P21*'Tariff Jul 2021'!N21/100),($F$5*'Tariff Jul 2021'!N21/100)))</f>
        <v>223.16999999999996</v>
      </c>
      <c r="E29" s="188">
        <f>IF(AND('Tariff Jul 2021'!P21&gt;0,'Tariff Jul 2021'!R21&gt;0),IF($F$5&lt;'Tariff Jul 2021'!P21,0,IF($F$5&lt;=('Tariff Jul 2021'!R21+'Tariff Jul 2021'!P21),(($F$5-'Tariff Jul 2021'!P21)*'Tariff Jul 2021'!Q21/100),(('Tariff Jul 2021'!R21)*'Tariff Jul 2021'!Q21/100))),0)</f>
        <v>0</v>
      </c>
      <c r="F29" s="189">
        <f>IF(AND('Tariff Jul 2021'!Q21&gt;0,'Tariff Jul 2021'!S21&gt;0),IF($F$5&lt;('Tariff Jul 2021'!R21+'Tariff Jul 2021'!P21),0,IF($F$5&lt;=('Tariff Jul 2021'!T21+'Tariff Jul 2021'!R21+'Tariff Jul 2021'!P21),(($F$5-('Tariff Jul 2021'!R21+'Tariff Jul 2021'!P21))*'Tariff Jul 2021'!S21/100),('Tariff Jul 2021'!T21*'Tariff Jul 2021'!S21/100))),0)</f>
        <v>0</v>
      </c>
      <c r="G29" s="188">
        <v>0</v>
      </c>
      <c r="H29" s="188">
        <v>0</v>
      </c>
      <c r="I29" s="189">
        <f>IF('Tariff Jul 2021'!T21&gt;0,IF(($F$5&lt;'Tariff Jul 2021'!T21),(0),($F$5-'Tariff Jul 2021'!T21)*'Tariff Jul 2021'!U21/100),IF(AND('Tariff Jul 2021'!R21&gt;0,'Tariff Jul 2021'!T21=""),IF(($F$5&lt;'Tariff Jul 2021'!R21),(0),($F$5-'Tariff Jul 2021'!R21)*'Tariff Jul 2021'!S21/100),IF(AND('Tariff Jul 2021'!P21&gt;0,'Tariff Jul 2021'!R21=""),IF(($F$5&lt;'Tariff Jul 2021'!P21),(0),($F$5-'Tariff Jul 2021'!P21)*'Tariff Jul 2021'!Q21/100),0)))</f>
        <v>0</v>
      </c>
      <c r="J29" s="188">
        <f t="shared" si="7"/>
        <v>293.23999999999995</v>
      </c>
      <c r="K29" s="283">
        <f t="shared" si="10"/>
        <v>892.67999999999984</v>
      </c>
      <c r="L29" s="283">
        <f t="shared" si="8"/>
        <v>1172.9599999999998</v>
      </c>
      <c r="M29" s="191">
        <f t="shared" si="9"/>
        <v>1290.2559999999999</v>
      </c>
      <c r="N29" s="187">
        <f>'Tariff Jul 2021'!AZ21</f>
        <v>0</v>
      </c>
      <c r="O29" s="187">
        <f>'Tariff Jul 2021'!BA21</f>
        <v>0</v>
      </c>
      <c r="P29" s="187">
        <f>'Tariff Jul 2021'!BB21</f>
        <v>0</v>
      </c>
      <c r="Q29" s="187">
        <f>'Tariff Jul 2021'!BC21</f>
        <v>0</v>
      </c>
      <c r="R29" s="192">
        <f>($F$6*'Tariff Jul 2021'!AT21/100)*4</f>
        <v>208.85759999999999</v>
      </c>
      <c r="S29" s="193" t="str">
        <f t="shared" si="0"/>
        <v>No discount</v>
      </c>
      <c r="T29" s="193" t="str">
        <f t="shared" si="1"/>
        <v>Exclusive</v>
      </c>
      <c r="U29" s="304">
        <f t="shared" si="2"/>
        <v>1172.9599999999998</v>
      </c>
      <c r="V29" s="283">
        <f t="shared" si="3"/>
        <v>1172.9599999999998</v>
      </c>
      <c r="W29" s="283">
        <f t="shared" si="4"/>
        <v>964.10239999999976</v>
      </c>
      <c r="X29" s="283">
        <f t="shared" si="5"/>
        <v>964.10239999999976</v>
      </c>
      <c r="Y29" s="285">
        <f t="shared" si="11"/>
        <v>1060.5126399999999</v>
      </c>
      <c r="Z29" s="285">
        <f t="shared" si="11"/>
        <v>1060.5126399999999</v>
      </c>
      <c r="AA29" s="194">
        <f>'Tariff Jul 2021'!AT21</f>
        <v>8</v>
      </c>
      <c r="AB29" s="195">
        <f>'Tariff Jul 2021'!BL21</f>
        <v>0</v>
      </c>
      <c r="AC29" s="195" t="str">
        <f>'Tariff Jul 2021'!BM21</f>
        <v>n</v>
      </c>
      <c r="AD29" s="196">
        <f>'Tariff Jul 2021'!G21</f>
        <v>42916</v>
      </c>
      <c r="AE29" s="340"/>
      <c r="AF29" s="340"/>
      <c r="AG29" s="340"/>
      <c r="AH29" s="340"/>
      <c r="AI29" s="340"/>
      <c r="AJ29" s="340"/>
      <c r="AK29" s="340"/>
      <c r="AL29" s="340"/>
      <c r="AM29" s="340"/>
      <c r="AN29" s="340"/>
      <c r="AO29" s="340"/>
      <c r="AP29" s="340"/>
      <c r="AQ29" s="340"/>
      <c r="AR29" s="340"/>
      <c r="AS29" s="340"/>
      <c r="AT29" s="340"/>
      <c r="AU29" s="340"/>
      <c r="AV29" s="340"/>
    </row>
    <row r="30" spans="1:48" s="187" customFormat="1" x14ac:dyDescent="0.15">
      <c r="A30" s="186" t="str">
        <f>'Tariff Jul 2021'!K22</f>
        <v>ReAmped Energy</v>
      </c>
      <c r="B30" s="187" t="str">
        <f>'Tariff Jul 2021'!L22</f>
        <v>Solar</v>
      </c>
      <c r="C30" s="188">
        <f>IF('Tariff Jul 2021'!BP22=0,91*'Tariff Jul 2021'!M22/100,(91*'Tariff Jul 2021'!M22/100)+'Tariff Jul 2021'!BP22/4)</f>
        <v>72.030636363636347</v>
      </c>
      <c r="D30" s="188">
        <f>IF('Tariff Jul 2021'!O22="",$F$5*'Tariff Jul 2021'!N22/100,IF($F$5&gt;='Tariff Jul 2021'!P22,('Tariff Jul 2021'!P22*'Tariff Jul 2021'!N22/100),($F$5*'Tariff Jul 2021'!N22/100)))</f>
        <v>307.16307272727272</v>
      </c>
      <c r="E30" s="188">
        <f>IF(AND('Tariff Jul 2021'!P22&gt;0,'Tariff Jul 2021'!R22&gt;0),IF($F$5&lt;'Tariff Jul 2021'!P22,0,IF($F$5&lt;=('Tariff Jul 2021'!R22+'Tariff Jul 2021'!P22),(($F$5-'Tariff Jul 2021'!P22)*'Tariff Jul 2021'!Q22/100),(('Tariff Jul 2021'!R22)*'Tariff Jul 2021'!Q22/100))),0)</f>
        <v>0</v>
      </c>
      <c r="F30" s="189">
        <f>IF(AND('Tariff Jul 2021'!Q22&gt;0,'Tariff Jul 2021'!S22&gt;0),IF($F$5&lt;('Tariff Jul 2021'!R22+'Tariff Jul 2021'!P22),0,IF($F$5&lt;=('Tariff Jul 2021'!T22+'Tariff Jul 2021'!R22+'Tariff Jul 2021'!P22),(($F$5-('Tariff Jul 2021'!R22+'Tariff Jul 2021'!P22))*'Tariff Jul 2021'!S22/100),('Tariff Jul 2021'!T22*'Tariff Jul 2021'!S22/100))),0)</f>
        <v>0</v>
      </c>
      <c r="G30" s="188">
        <v>0</v>
      </c>
      <c r="H30" s="188">
        <v>0</v>
      </c>
      <c r="I30" s="189">
        <f>IF('Tariff Jul 2021'!T22&gt;0,IF(($F$5&lt;'Tariff Jul 2021'!T22),(0),($F$5-'Tariff Jul 2021'!T22)*'Tariff Jul 2021'!U22/100),IF(AND('Tariff Jul 2021'!R22&gt;0,'Tariff Jul 2021'!T22=""),IF(($F$5&lt;'Tariff Jul 2021'!R22),(0),($F$5-'Tariff Jul 2021'!R22)*'Tariff Jul 2021'!S22/100),IF(AND('Tariff Jul 2021'!P22&gt;0,'Tariff Jul 2021'!R22=""),IF(($F$5&lt;'Tariff Jul 2021'!P22),(0),($F$5-'Tariff Jul 2021'!P22)*'Tariff Jul 2021'!Q22/100),0)))</f>
        <v>0</v>
      </c>
      <c r="J30" s="188">
        <f t="shared" si="7"/>
        <v>379.19370909090907</v>
      </c>
      <c r="K30" s="283">
        <f t="shared" si="10"/>
        <v>1228.6522909090909</v>
      </c>
      <c r="L30" s="283">
        <f t="shared" si="8"/>
        <v>1516.7748363636363</v>
      </c>
      <c r="M30" s="191">
        <f t="shared" si="9"/>
        <v>1668.4523200000001</v>
      </c>
      <c r="N30" s="187">
        <f>'Tariff Jul 2021'!AZ22</f>
        <v>0</v>
      </c>
      <c r="O30" s="187">
        <f>'Tariff Jul 2021'!BA22</f>
        <v>0</v>
      </c>
      <c r="P30" s="187">
        <f>'Tariff Jul 2021'!BB22</f>
        <v>0</v>
      </c>
      <c r="Q30" s="187">
        <f>'Tariff Jul 2021'!BC22</f>
        <v>0</v>
      </c>
      <c r="R30" s="192">
        <f>($F$6*'Tariff Jul 2021'!AT22/100)*4</f>
        <v>496.03679999999991</v>
      </c>
      <c r="S30" s="193" t="str">
        <f t="shared" si="0"/>
        <v>No discount</v>
      </c>
      <c r="T30" s="193" t="str">
        <f t="shared" si="1"/>
        <v>Exclusive</v>
      </c>
      <c r="U30" s="304">
        <f t="shared" si="2"/>
        <v>1516.7748363636363</v>
      </c>
      <c r="V30" s="283">
        <f t="shared" si="3"/>
        <v>1516.7748363636363</v>
      </c>
      <c r="W30" s="283">
        <f t="shared" si="4"/>
        <v>1020.7380363636364</v>
      </c>
      <c r="X30" s="283">
        <f t="shared" si="5"/>
        <v>1020.7380363636364</v>
      </c>
      <c r="Y30" s="285">
        <f t="shared" si="11"/>
        <v>1122.8118400000001</v>
      </c>
      <c r="Z30" s="285">
        <f t="shared" si="11"/>
        <v>1122.8118400000001</v>
      </c>
      <c r="AA30" s="194">
        <f>'Tariff Jul 2021'!AT22</f>
        <v>19</v>
      </c>
      <c r="AB30" s="195">
        <f>'Tariff Jul 2021'!BL22</f>
        <v>0</v>
      </c>
      <c r="AC30" s="195" t="str">
        <f>'Tariff Jul 2021'!BM22</f>
        <v>n</v>
      </c>
      <c r="AD30" s="196">
        <f>'Tariff Jul 2021'!G22</f>
        <v>42642</v>
      </c>
      <c r="AE30" s="340"/>
      <c r="AF30" s="340"/>
      <c r="AG30" s="340"/>
      <c r="AH30" s="340"/>
      <c r="AI30" s="340"/>
      <c r="AJ30" s="340"/>
      <c r="AK30" s="340"/>
      <c r="AL30" s="340"/>
      <c r="AM30" s="340"/>
      <c r="AN30" s="340"/>
      <c r="AO30" s="340"/>
      <c r="AP30" s="340"/>
      <c r="AQ30" s="340"/>
      <c r="AR30" s="340"/>
      <c r="AS30" s="340"/>
      <c r="AT30" s="340"/>
      <c r="AU30" s="340"/>
      <c r="AV30" s="340"/>
    </row>
    <row r="31" spans="1:48" s="187" customFormat="1" x14ac:dyDescent="0.15">
      <c r="A31" s="186" t="str">
        <f>'Tariff Jul 2021'!K23</f>
        <v>1st Energy</v>
      </c>
      <c r="B31" s="187" t="str">
        <f>'Tariff Jul 2021'!L23</f>
        <v>Solar Bonus</v>
      </c>
      <c r="C31" s="188">
        <f>IF('Tariff Jul 2021'!BP23=0,91*'Tariff Jul 2021'!M23/100,(91*'Tariff Jul 2021'!M23/100)+'Tariff Jul 2021'!BP23/4)</f>
        <v>73.668636363636352</v>
      </c>
      <c r="D31" s="188">
        <f>IF('Tariff Jul 2021'!O23="",$F$5*'Tariff Jul 2021'!N23/100,IF($F$5&gt;='Tariff Jul 2021'!P23,('Tariff Jul 2021'!P23*'Tariff Jul 2021'!N23/100),($F$5*'Tariff Jul 2021'!N23/100)))</f>
        <v>281.03189454545452</v>
      </c>
      <c r="E31" s="188">
        <f>IF(AND('Tariff Jul 2021'!P23&gt;0,'Tariff Jul 2021'!R23&gt;0),IF($F$5&lt;'Tariff Jul 2021'!P23,0,IF($F$5&lt;=('Tariff Jul 2021'!R23+'Tariff Jul 2021'!P23),(($F$5-'Tariff Jul 2021'!P23)*'Tariff Jul 2021'!Q23/100),(('Tariff Jul 2021'!R23)*'Tariff Jul 2021'!Q23/100))),0)</f>
        <v>0</v>
      </c>
      <c r="F31" s="189">
        <f>IF(AND('Tariff Jul 2021'!Q23&gt;0,'Tariff Jul 2021'!S23&gt;0),IF($F$5&lt;('Tariff Jul 2021'!R23+'Tariff Jul 2021'!P23),0,IF($F$5&lt;=('Tariff Jul 2021'!T23+'Tariff Jul 2021'!R23+'Tariff Jul 2021'!P23),(($F$5-('Tariff Jul 2021'!R23+'Tariff Jul 2021'!P23))*'Tariff Jul 2021'!S23/100),('Tariff Jul 2021'!T23*'Tariff Jul 2021'!S23/100))),0)</f>
        <v>0</v>
      </c>
      <c r="G31" s="188">
        <v>0</v>
      </c>
      <c r="H31" s="188">
        <v>0</v>
      </c>
      <c r="I31" s="189">
        <f>IF('Tariff Jul 2021'!T23&gt;0,IF(($F$5&lt;'Tariff Jul 2021'!T23),(0),($F$5-'Tariff Jul 2021'!T23)*'Tariff Jul 2021'!U23/100),IF(AND('Tariff Jul 2021'!R23&gt;0,'Tariff Jul 2021'!T23=""),IF(($F$5&lt;'Tariff Jul 2021'!R23),(0),($F$5-'Tariff Jul 2021'!R23)*'Tariff Jul 2021'!S23/100),IF(AND('Tariff Jul 2021'!P23&gt;0,'Tariff Jul 2021'!R23=""),IF(($F$5&lt;'Tariff Jul 2021'!P23),(0),($F$5-'Tariff Jul 2021'!P23)*'Tariff Jul 2021'!Q23/100),0)))</f>
        <v>0</v>
      </c>
      <c r="J31" s="188">
        <f t="shared" si="7"/>
        <v>354.70053090909084</v>
      </c>
      <c r="K31" s="283">
        <f t="shared" si="10"/>
        <v>1124.1275781818181</v>
      </c>
      <c r="L31" s="283">
        <f t="shared" si="8"/>
        <v>1418.8021236363634</v>
      </c>
      <c r="M31" s="191">
        <f t="shared" si="9"/>
        <v>1560.6823359999999</v>
      </c>
      <c r="N31" s="187">
        <f>'Tariff Jul 2021'!AZ23</f>
        <v>0</v>
      </c>
      <c r="O31" s="187">
        <f>'Tariff Jul 2021'!BA23</f>
        <v>0</v>
      </c>
      <c r="P31" s="187">
        <f>'Tariff Jul 2021'!BB23</f>
        <v>0</v>
      </c>
      <c r="Q31" s="187">
        <f>'Tariff Jul 2021'!BC23</f>
        <v>0</v>
      </c>
      <c r="R31" s="192">
        <f>($F$6*'Tariff Jul 2021'!AT23/100)*4</f>
        <v>339.39359999999999</v>
      </c>
      <c r="S31" s="193" t="str">
        <f t="shared" si="0"/>
        <v>No discount</v>
      </c>
      <c r="T31" s="193" t="str">
        <f t="shared" si="1"/>
        <v>Exclusive</v>
      </c>
      <c r="U31" s="304">
        <f t="shared" si="2"/>
        <v>1418.8021236363634</v>
      </c>
      <c r="V31" s="283">
        <f t="shared" si="3"/>
        <v>1418.8021236363634</v>
      </c>
      <c r="W31" s="283">
        <f t="shared" si="4"/>
        <v>1079.4085236363635</v>
      </c>
      <c r="X31" s="283">
        <f t="shared" si="5"/>
        <v>1079.4085236363635</v>
      </c>
      <c r="Y31" s="285">
        <f t="shared" si="11"/>
        <v>1187.3493759999999</v>
      </c>
      <c r="Z31" s="285">
        <f t="shared" si="11"/>
        <v>1187.3493759999999</v>
      </c>
      <c r="AA31" s="194">
        <f>'Tariff Jul 2021'!AT23</f>
        <v>13</v>
      </c>
      <c r="AB31" s="195">
        <f>'Tariff Jul 2021'!BL23</f>
        <v>0</v>
      </c>
      <c r="AC31" s="195" t="str">
        <f>'Tariff Jul 2021'!BM23</f>
        <v>n</v>
      </c>
      <c r="AD31" s="196">
        <f>'Tariff Jul 2021'!G23</f>
        <v>42916</v>
      </c>
      <c r="AE31" s="340"/>
      <c r="AF31" s="340"/>
      <c r="AG31" s="340"/>
      <c r="AH31" s="340"/>
      <c r="AI31" s="340"/>
      <c r="AJ31" s="340"/>
      <c r="AK31" s="340"/>
      <c r="AL31" s="340"/>
      <c r="AM31" s="340"/>
      <c r="AN31" s="340"/>
      <c r="AO31" s="340"/>
      <c r="AP31" s="340"/>
      <c r="AQ31" s="340"/>
      <c r="AR31" s="340"/>
      <c r="AS31" s="340"/>
      <c r="AT31" s="340"/>
      <c r="AU31" s="340"/>
      <c r="AV31" s="340"/>
    </row>
    <row r="32" spans="1:48" s="187" customFormat="1" x14ac:dyDescent="0.15">
      <c r="A32" s="186" t="str">
        <f>'Tariff Jul 2021'!K24</f>
        <v>IO Energy</v>
      </c>
      <c r="B32" s="187" t="str">
        <f>'Tariff Jul 2021'!L24</f>
        <v>Spark</v>
      </c>
      <c r="C32" s="188">
        <f>IF('Tariff Jul 2021'!BP24=0,91*'Tariff Jul 2021'!M24/100,(91*'Tariff Jul 2021'!M24/100)+'Tariff Jul 2021'!BP24/4)</f>
        <v>90.999999999999986</v>
      </c>
      <c r="D32" s="188">
        <f>IF('Tariff Jul 2021'!O24="",$F$5*'Tariff Jul 2021'!N24/100,IF($F$5&gt;='Tariff Jul 2021'!P24,('Tariff Jul 2021'!P24*'Tariff Jul 2021'!N24/100),($F$5*'Tariff Jul 2021'!N24/100)))</f>
        <v>243.45818181818177</v>
      </c>
      <c r="E32" s="188">
        <f>IF(AND('Tariff Jul 2021'!P24&gt;0,'Tariff Jul 2021'!R24&gt;0),IF($F$5&lt;'Tariff Jul 2021'!P24,0,IF($F$5&lt;=('Tariff Jul 2021'!R24+'Tariff Jul 2021'!P24),(($F$5-'Tariff Jul 2021'!P24)*'Tariff Jul 2021'!Q24/100),(('Tariff Jul 2021'!R24)*'Tariff Jul 2021'!Q24/100))),0)</f>
        <v>0</v>
      </c>
      <c r="F32" s="189">
        <f>IF(AND('Tariff Jul 2021'!Q24&gt;0,'Tariff Jul 2021'!S24&gt;0),IF($F$5&lt;('Tariff Jul 2021'!R24+'Tariff Jul 2021'!P24),0,IF($F$5&lt;=('Tariff Jul 2021'!T24+'Tariff Jul 2021'!R24+'Tariff Jul 2021'!P24),(($F$5-('Tariff Jul 2021'!R24+'Tariff Jul 2021'!P24))*'Tariff Jul 2021'!S24/100),('Tariff Jul 2021'!T24*'Tariff Jul 2021'!S24/100))),0)</f>
        <v>0</v>
      </c>
      <c r="G32" s="188">
        <v>0</v>
      </c>
      <c r="H32" s="188">
        <v>0</v>
      </c>
      <c r="I32" s="189">
        <f>IF('Tariff Jul 2021'!T24&gt;0,IF(($F$5&lt;'Tariff Jul 2021'!T24),(0),($F$5-'Tariff Jul 2021'!T24)*'Tariff Jul 2021'!U24/100),IF(AND('Tariff Jul 2021'!R24&gt;0,'Tariff Jul 2021'!T24=""),IF(($F$5&lt;'Tariff Jul 2021'!R24),(0),($F$5-'Tariff Jul 2021'!R24)*'Tariff Jul 2021'!S24/100),IF(AND('Tariff Jul 2021'!P24&gt;0,'Tariff Jul 2021'!R24=""),IF(($F$5&lt;'Tariff Jul 2021'!P24),(0),($F$5-'Tariff Jul 2021'!P24)*'Tariff Jul 2021'!Q24/100),0)))</f>
        <v>0</v>
      </c>
      <c r="J32" s="188">
        <f t="shared" si="7"/>
        <v>334.45818181818174</v>
      </c>
      <c r="K32" s="283">
        <f t="shared" si="10"/>
        <v>973.83272727272697</v>
      </c>
      <c r="L32" s="283">
        <f t="shared" si="8"/>
        <v>1337.832727272727</v>
      </c>
      <c r="M32" s="191">
        <f t="shared" si="9"/>
        <v>1471.6159999999998</v>
      </c>
      <c r="N32" s="187">
        <f>'Tariff Jul 2021'!AZ24</f>
        <v>0</v>
      </c>
      <c r="O32" s="187">
        <f>'Tariff Jul 2021'!BA24</f>
        <v>0</v>
      </c>
      <c r="P32" s="187">
        <f>'Tariff Jul 2021'!BB24</f>
        <v>0</v>
      </c>
      <c r="Q32" s="187">
        <f>'Tariff Jul 2021'!BC24</f>
        <v>0</v>
      </c>
      <c r="R32" s="192">
        <f>($F$6*'Tariff Jul 2021'!AT24/100)*4</f>
        <v>208.85759999999999</v>
      </c>
      <c r="S32" s="193" t="str">
        <f t="shared" si="0"/>
        <v>No discount</v>
      </c>
      <c r="T32" s="193" t="str">
        <f t="shared" si="1"/>
        <v>Exclusive</v>
      </c>
      <c r="U32" s="304">
        <f t="shared" si="2"/>
        <v>1337.832727272727</v>
      </c>
      <c r="V32" s="283">
        <f t="shared" si="3"/>
        <v>1337.832727272727</v>
      </c>
      <c r="W32" s="283">
        <f t="shared" si="4"/>
        <v>1128.9751272727269</v>
      </c>
      <c r="X32" s="283">
        <f t="shared" si="5"/>
        <v>1128.9751272727269</v>
      </c>
      <c r="Y32" s="285">
        <f t="shared" si="11"/>
        <v>1241.8726399999998</v>
      </c>
      <c r="Z32" s="285">
        <f t="shared" si="11"/>
        <v>1241.8726399999998</v>
      </c>
      <c r="AA32" s="194">
        <f>'Tariff Jul 2021'!AT24</f>
        <v>8</v>
      </c>
      <c r="AB32" s="195">
        <f>'Tariff Jul 2021'!BL24</f>
        <v>0</v>
      </c>
      <c r="AC32" s="195" t="str">
        <f>'Tariff Jul 2021'!BM24</f>
        <v>n</v>
      </c>
      <c r="AD32" s="196">
        <f>'Tariff Jul 2021'!G24</f>
        <v>42614</v>
      </c>
      <c r="AE32" s="340"/>
      <c r="AF32" s="340"/>
      <c r="AG32" s="340"/>
      <c r="AH32" s="340"/>
      <c r="AI32" s="340"/>
      <c r="AJ32" s="340"/>
      <c r="AK32" s="340"/>
      <c r="AL32" s="340"/>
      <c r="AM32" s="340"/>
      <c r="AN32" s="340"/>
      <c r="AO32" s="340"/>
      <c r="AP32" s="340"/>
      <c r="AQ32" s="340"/>
      <c r="AR32" s="340"/>
      <c r="AS32" s="340"/>
      <c r="AT32" s="340"/>
      <c r="AU32" s="340"/>
      <c r="AV32" s="340"/>
    </row>
    <row r="33" spans="1:48" s="187" customFormat="1" x14ac:dyDescent="0.15">
      <c r="A33" s="186" t="str">
        <f>'Tariff Jul 2021'!K25</f>
        <v>Nectr</v>
      </c>
      <c r="B33" s="187" t="str">
        <f>'Tariff Jul 2021'!L25</f>
        <v>Friends Clean</v>
      </c>
      <c r="C33" s="188">
        <f>IF('Tariff Jul 2021'!BP25=0,91*'Tariff Jul 2021'!M25/100,(91*'Tariff Jul 2021'!M25/100)+'Tariff Jul 2021'!BP25/4)</f>
        <v>93.274999999999977</v>
      </c>
      <c r="D33" s="188">
        <f>IF('Tariff Jul 2021'!O25="",$F$5*'Tariff Jul 2021'!N25/100,IF($F$5&gt;='Tariff Jul 2021'!P25,('Tariff Jul 2021'!P25*'Tariff Jul 2021'!N25/100),($F$5*'Tariff Jul 2021'!N25/100)))</f>
        <v>230.31143999999998</v>
      </c>
      <c r="E33" s="188">
        <f>IF(AND('Tariff Jul 2021'!P25&gt;0,'Tariff Jul 2021'!R25&gt;0),IF($F$5&lt;'Tariff Jul 2021'!P25,0,IF($F$5&lt;=('Tariff Jul 2021'!R25+'Tariff Jul 2021'!P25),(($F$5-'Tariff Jul 2021'!P25)*'Tariff Jul 2021'!Q25/100),(('Tariff Jul 2021'!R25)*'Tariff Jul 2021'!Q25/100))),0)</f>
        <v>0</v>
      </c>
      <c r="F33" s="189">
        <f>IF(AND('Tariff Jul 2021'!Q25&gt;0,'Tariff Jul 2021'!S25&gt;0),IF($F$5&lt;('Tariff Jul 2021'!R25+'Tariff Jul 2021'!P25),0,IF($F$5&lt;=('Tariff Jul 2021'!T25+'Tariff Jul 2021'!R25+'Tariff Jul 2021'!P25),(($F$5-('Tariff Jul 2021'!R25+'Tariff Jul 2021'!P25))*'Tariff Jul 2021'!S25/100),('Tariff Jul 2021'!T25*'Tariff Jul 2021'!S25/100))),0)</f>
        <v>0</v>
      </c>
      <c r="G33" s="188">
        <v>0</v>
      </c>
      <c r="H33" s="188">
        <v>0</v>
      </c>
      <c r="I33" s="189">
        <f>IF('Tariff Jul 2021'!T25&gt;0,IF(($F$5&lt;'Tariff Jul 2021'!T25),(0),($F$5-'Tariff Jul 2021'!T25)*'Tariff Jul 2021'!U25/100),IF(AND('Tariff Jul 2021'!R25&gt;0,'Tariff Jul 2021'!T25=""),IF(($F$5&lt;'Tariff Jul 2021'!R25),(0),($F$5-'Tariff Jul 2021'!R25)*'Tariff Jul 2021'!S25/100),IF(AND('Tariff Jul 2021'!P25&gt;0,'Tariff Jul 2021'!R25=""),IF(($F$5&lt;'Tariff Jul 2021'!P25),(0),($F$5-'Tariff Jul 2021'!P25)*'Tariff Jul 2021'!Q25/100),0)))</f>
        <v>0</v>
      </c>
      <c r="J33" s="188">
        <f t="shared" si="7"/>
        <v>323.58643999999993</v>
      </c>
      <c r="K33" s="283">
        <f t="shared" si="10"/>
        <v>921.24575999999979</v>
      </c>
      <c r="L33" s="283">
        <f t="shared" si="8"/>
        <v>1294.3457599999997</v>
      </c>
      <c r="M33" s="191">
        <f t="shared" si="9"/>
        <v>1423.7803359999998</v>
      </c>
      <c r="N33" s="187">
        <f>'Tariff Jul 2021'!AZ25</f>
        <v>0</v>
      </c>
      <c r="O33" s="187">
        <f>'Tariff Jul 2021'!BA25</f>
        <v>0</v>
      </c>
      <c r="P33" s="187">
        <f>'Tariff Jul 2021'!BB25</f>
        <v>0</v>
      </c>
      <c r="Q33" s="187">
        <f>'Tariff Jul 2021'!BC25</f>
        <v>0</v>
      </c>
      <c r="R33" s="192">
        <f>($F$6*'Tariff Jul 2021'!AT25/100)*4</f>
        <v>52.214399999999998</v>
      </c>
      <c r="S33" s="193" t="str">
        <f t="shared" si="0"/>
        <v>No discount</v>
      </c>
      <c r="T33" s="193" t="str">
        <f t="shared" si="1"/>
        <v>Exclusive</v>
      </c>
      <c r="U33" s="304">
        <f t="shared" si="2"/>
        <v>1294.3457599999997</v>
      </c>
      <c r="V33" s="283">
        <f t="shared" si="3"/>
        <v>1294.3457599999997</v>
      </c>
      <c r="W33" s="283">
        <f t="shared" si="4"/>
        <v>1242.1313599999996</v>
      </c>
      <c r="X33" s="283">
        <f t="shared" si="5"/>
        <v>1242.1313599999996</v>
      </c>
      <c r="Y33" s="285">
        <f t="shared" si="11"/>
        <v>1366.3444959999997</v>
      </c>
      <c r="Z33" s="285">
        <f t="shared" si="11"/>
        <v>1366.3444959999997</v>
      </c>
      <c r="AA33" s="194">
        <f>'Tariff Jul 2021'!AT25</f>
        <v>2</v>
      </c>
      <c r="AB33" s="195">
        <f>'Tariff Jul 2021'!BL25</f>
        <v>0</v>
      </c>
      <c r="AC33" s="195" t="str">
        <f>'Tariff Jul 2021'!BM25</f>
        <v>n</v>
      </c>
      <c r="AD33" s="196">
        <f>'Tariff Jul 2021'!G25</f>
        <v>42916</v>
      </c>
      <c r="AE33" s="340"/>
      <c r="AF33" s="340"/>
      <c r="AG33" s="340"/>
      <c r="AH33" s="340"/>
      <c r="AI33" s="340"/>
      <c r="AJ33" s="340"/>
      <c r="AK33" s="340"/>
      <c r="AL33" s="340"/>
      <c r="AM33" s="340"/>
      <c r="AN33" s="340"/>
      <c r="AO33" s="340"/>
      <c r="AP33" s="340"/>
      <c r="AQ33" s="340"/>
      <c r="AR33" s="340"/>
      <c r="AS33" s="340"/>
      <c r="AT33" s="340"/>
      <c r="AU33" s="340"/>
      <c r="AV33" s="340"/>
    </row>
    <row r="34" spans="1:48" s="187" customFormat="1" x14ac:dyDescent="0.15">
      <c r="A34" s="186" t="str">
        <f>'Tariff Jul 2021'!K26</f>
        <v>Tango Energy</v>
      </c>
      <c r="B34" s="187" t="str">
        <f>'Tariff Jul 2021'!L26</f>
        <v>Solar Plus</v>
      </c>
      <c r="C34" s="188">
        <f>IF('Tariff Jul 2021'!BP26=0,91*'Tariff Jul 2021'!M26/100,(91*'Tariff Jul 2021'!M26/100)+'Tariff Jul 2021'!BP26/4)</f>
        <v>93.729999999999976</v>
      </c>
      <c r="D34" s="188">
        <f>IF('Tariff Jul 2021'!O26="",$F$5*'Tariff Jul 2021'!N26/100,IF($F$5&gt;='Tariff Jul 2021'!P26,('Tariff Jul 2021'!P26*'Tariff Jul 2021'!N26/100),($F$5*'Tariff Jul 2021'!N26/100)))</f>
        <v>307.08191999999997</v>
      </c>
      <c r="E34" s="188">
        <f>IF(AND('Tariff Jul 2021'!P26&gt;0,'Tariff Jul 2021'!R26&gt;0),IF($F$5&lt;'Tariff Jul 2021'!P26,0,IF($F$5&lt;=('Tariff Jul 2021'!R26+'Tariff Jul 2021'!P26),(($F$5-'Tariff Jul 2021'!P26)*'Tariff Jul 2021'!Q26/100),(('Tariff Jul 2021'!R26)*'Tariff Jul 2021'!Q26/100))),0)</f>
        <v>0</v>
      </c>
      <c r="F34" s="189">
        <f>IF(AND('Tariff Jul 2021'!Q26&gt;0,'Tariff Jul 2021'!S26&gt;0),IF($F$5&lt;('Tariff Jul 2021'!R26+'Tariff Jul 2021'!P26),0,IF($F$5&lt;=('Tariff Jul 2021'!T26+'Tariff Jul 2021'!R26+'Tariff Jul 2021'!P26),(($F$5-('Tariff Jul 2021'!R26+'Tariff Jul 2021'!P26))*'Tariff Jul 2021'!S26/100),('Tariff Jul 2021'!T26*'Tariff Jul 2021'!S26/100))),0)</f>
        <v>0</v>
      </c>
      <c r="G34" s="188">
        <v>0</v>
      </c>
      <c r="H34" s="188">
        <v>0</v>
      </c>
      <c r="I34" s="189">
        <f>IF('Tariff Jul 2021'!T26&gt;0,IF(($F$5&lt;'Tariff Jul 2021'!T26),(0),($F$5-'Tariff Jul 2021'!T26)*'Tariff Jul 2021'!U26/100),IF(AND('Tariff Jul 2021'!R26&gt;0,'Tariff Jul 2021'!T26=""),IF(($F$5&lt;'Tariff Jul 2021'!R26),(0),($F$5-'Tariff Jul 2021'!R26)*'Tariff Jul 2021'!S26/100),IF(AND('Tariff Jul 2021'!P26&gt;0,'Tariff Jul 2021'!R26=""),IF(($F$5&lt;'Tariff Jul 2021'!P26),(0),($F$5-'Tariff Jul 2021'!P26)*'Tariff Jul 2021'!Q26/100),0)))</f>
        <v>0</v>
      </c>
      <c r="J34" s="188">
        <f t="shared" ref="J34:J35" si="12">SUM(C34:I34)</f>
        <v>400.81191999999993</v>
      </c>
      <c r="K34" s="283">
        <f t="shared" ref="K34:K35" si="13">(J34-C34)*4</f>
        <v>1228.3276799999999</v>
      </c>
      <c r="L34" s="283">
        <f t="shared" ref="L34:L35" si="14">J34*4</f>
        <v>1603.2476799999997</v>
      </c>
      <c r="M34" s="191">
        <f t="shared" ref="M34:M35" si="15">L34*1.1</f>
        <v>1763.5724479999999</v>
      </c>
      <c r="N34" s="187">
        <f>'Tariff Jul 2021'!AZ26</f>
        <v>0</v>
      </c>
      <c r="O34" s="187">
        <f>'Tariff Jul 2021'!BA26</f>
        <v>0</v>
      </c>
      <c r="P34" s="187">
        <f>'Tariff Jul 2021'!BB26</f>
        <v>0</v>
      </c>
      <c r="Q34" s="187">
        <f>'Tariff Jul 2021'!BC26</f>
        <v>0</v>
      </c>
      <c r="R34" s="192">
        <f>($F$6*'Tariff Jul 2021'!AT26/100)*4</f>
        <v>522.14399999999989</v>
      </c>
      <c r="S34" s="193" t="str">
        <f t="shared" si="0"/>
        <v>No discount</v>
      </c>
      <c r="T34" s="193" t="str">
        <f t="shared" si="1"/>
        <v>Exclusive</v>
      </c>
      <c r="U34" s="304">
        <f t="shared" si="2"/>
        <v>1603.2476799999997</v>
      </c>
      <c r="V34" s="283">
        <f t="shared" si="3"/>
        <v>1603.2476799999997</v>
      </c>
      <c r="W34" s="283">
        <f t="shared" ref="W34:W35" si="16">U34-R34</f>
        <v>1081.1036799999997</v>
      </c>
      <c r="X34" s="283">
        <f t="shared" ref="X34:X35" si="17">V34-R34</f>
        <v>1081.1036799999997</v>
      </c>
      <c r="Y34" s="285">
        <f t="shared" ref="Y34:Y35" si="18">W34*1.1</f>
        <v>1189.2140479999998</v>
      </c>
      <c r="Z34" s="285">
        <f t="shared" ref="Z34:Z35" si="19">X34*1.1</f>
        <v>1189.2140479999998</v>
      </c>
      <c r="AA34" s="194">
        <f>'Tariff Jul 2021'!AT26</f>
        <v>20</v>
      </c>
      <c r="AB34" s="195">
        <f>'Tariff Jul 2021'!BL26</f>
        <v>0</v>
      </c>
      <c r="AC34" s="195" t="str">
        <f>'Tariff Jul 2021'!BM26</f>
        <v>n</v>
      </c>
      <c r="AD34" s="196">
        <f>'Tariff Jul 2021'!G26</f>
        <v>42857</v>
      </c>
      <c r="AE34" s="340"/>
      <c r="AF34" s="340"/>
      <c r="AG34" s="340"/>
      <c r="AH34" s="340"/>
      <c r="AI34" s="340"/>
      <c r="AJ34" s="340"/>
      <c r="AK34" s="340"/>
      <c r="AL34" s="340"/>
      <c r="AM34" s="340"/>
      <c r="AN34" s="340"/>
      <c r="AO34" s="340"/>
      <c r="AP34" s="340"/>
      <c r="AQ34" s="340"/>
      <c r="AR34" s="340"/>
      <c r="AS34" s="340"/>
      <c r="AT34" s="340"/>
      <c r="AU34" s="340"/>
      <c r="AV34" s="340"/>
    </row>
    <row r="35" spans="1:48" s="187" customFormat="1" ht="15" thickBot="1" x14ac:dyDescent="0.2">
      <c r="A35" s="197" t="str">
        <f>'Tariff Jul 2021'!K27</f>
        <v>Covau</v>
      </c>
      <c r="B35" s="198" t="str">
        <f>'Tariff Jul 2021'!L27</f>
        <v>Freedom Solar</v>
      </c>
      <c r="C35" s="199">
        <f>IF('Tariff Jul 2021'!BP27=0,91*'Tariff Jul 2021'!M27/100,(91*'Tariff Jul 2021'!M27/100)+'Tariff Jul 2021'!BP27/4)</f>
        <v>60.515000000000001</v>
      </c>
      <c r="D35" s="199">
        <f>IF('Tariff Jul 2021'!O27="",$F$5*'Tariff Jul 2021'!N27/100,IF($F$5&gt;='Tariff Jul 2021'!P27,('Tariff Jul 2021'!P27*'Tariff Jul 2021'!N27/100),($F$5*'Tariff Jul 2021'!N27/100)))</f>
        <v>254.98186909090907</v>
      </c>
      <c r="E35" s="199">
        <f>IF(AND('Tariff Jul 2021'!P27&gt;0,'Tariff Jul 2021'!R27&gt;0),IF($F$5&lt;'Tariff Jul 2021'!P27,0,IF($F$5&lt;=('Tariff Jul 2021'!R27+'Tariff Jul 2021'!P27),(($F$5-'Tariff Jul 2021'!P27)*'Tariff Jul 2021'!Q27/100),(('Tariff Jul 2021'!R27)*'Tariff Jul 2021'!Q27/100))),0)</f>
        <v>0</v>
      </c>
      <c r="F35" s="200">
        <f>IF(AND('Tariff Jul 2021'!Q27&gt;0,'Tariff Jul 2021'!S27&gt;0),IF($F$5&lt;('Tariff Jul 2021'!R27+'Tariff Jul 2021'!P27),0,IF($F$5&lt;=('Tariff Jul 2021'!T27+'Tariff Jul 2021'!R27+'Tariff Jul 2021'!P27),(($F$5-('Tariff Jul 2021'!R27+'Tariff Jul 2021'!P27))*'Tariff Jul 2021'!S27/100),('Tariff Jul 2021'!T27*'Tariff Jul 2021'!S27/100))),0)</f>
        <v>0</v>
      </c>
      <c r="G35" s="199">
        <v>0</v>
      </c>
      <c r="H35" s="199">
        <v>0</v>
      </c>
      <c r="I35" s="200">
        <f>IF('Tariff Jul 2021'!T27&gt;0,IF(($F$5&lt;'Tariff Jul 2021'!T27),(0),($F$5-'Tariff Jul 2021'!T27)*'Tariff Jul 2021'!U27/100),IF(AND('Tariff Jul 2021'!R27&gt;0,'Tariff Jul 2021'!T27=""),IF(($F$5&lt;'Tariff Jul 2021'!R27),(0),($F$5-'Tariff Jul 2021'!R27)*'Tariff Jul 2021'!S27/100),IF(AND('Tariff Jul 2021'!P27&gt;0,'Tariff Jul 2021'!R27=""),IF(($F$5&lt;'Tariff Jul 2021'!P27),(0),($F$5-'Tariff Jul 2021'!P27)*'Tariff Jul 2021'!Q27/100),0)))</f>
        <v>0</v>
      </c>
      <c r="J35" s="199">
        <f t="shared" si="12"/>
        <v>315.49686909090906</v>
      </c>
      <c r="K35" s="284">
        <f t="shared" si="13"/>
        <v>1019.9274763636363</v>
      </c>
      <c r="L35" s="284">
        <f t="shared" si="14"/>
        <v>1261.9874763636362</v>
      </c>
      <c r="M35" s="202">
        <f t="shared" si="15"/>
        <v>1388.186224</v>
      </c>
      <c r="N35" s="198">
        <f>'Tariff Jul 2021'!AZ27</f>
        <v>0</v>
      </c>
      <c r="O35" s="198">
        <f>'Tariff Jul 2021'!BA27</f>
        <v>5</v>
      </c>
      <c r="P35" s="198">
        <f>'Tariff Jul 2021'!BB27</f>
        <v>0</v>
      </c>
      <c r="Q35" s="198">
        <f>'Tariff Jul 2021'!BC27</f>
        <v>0</v>
      </c>
      <c r="R35" s="203">
        <f>($F$6*'Tariff Jul 2021'!AT27/100)*4</f>
        <v>143.58959999999999</v>
      </c>
      <c r="S35" s="204" t="str">
        <f t="shared" si="0"/>
        <v>Guaranteed off usage</v>
      </c>
      <c r="T35" s="204" t="str">
        <f t="shared" si="1"/>
        <v>Exclusive</v>
      </c>
      <c r="U35" s="305">
        <f t="shared" si="2"/>
        <v>1210.9911025454544</v>
      </c>
      <c r="V35" s="284">
        <f t="shared" si="3"/>
        <v>1210.9911025454544</v>
      </c>
      <c r="W35" s="284">
        <f t="shared" si="16"/>
        <v>1067.4015025454544</v>
      </c>
      <c r="X35" s="284">
        <f t="shared" si="17"/>
        <v>1067.4015025454544</v>
      </c>
      <c r="Y35" s="286">
        <f t="shared" si="18"/>
        <v>1174.1416528</v>
      </c>
      <c r="Z35" s="286">
        <f t="shared" si="19"/>
        <v>1174.1416528</v>
      </c>
      <c r="AA35" s="205">
        <f>'Tariff Jul 2021'!AT27</f>
        <v>5.5</v>
      </c>
      <c r="AB35" s="206">
        <f>'Tariff Jul 2021'!BL27</f>
        <v>0</v>
      </c>
      <c r="AC35" s="206" t="str">
        <f>'Tariff Jul 2021'!BM27</f>
        <v>n</v>
      </c>
      <c r="AD35" s="207">
        <f>'Tariff Jul 2021'!G27</f>
        <v>42941</v>
      </c>
      <c r="AE35" s="340"/>
      <c r="AF35" s="340"/>
      <c r="AG35" s="340"/>
      <c r="AH35" s="340"/>
      <c r="AI35" s="340"/>
      <c r="AJ35" s="340"/>
      <c r="AK35" s="340"/>
      <c r="AL35" s="340"/>
      <c r="AM35" s="340"/>
      <c r="AN35" s="340"/>
      <c r="AO35" s="340"/>
      <c r="AP35" s="340"/>
      <c r="AQ35" s="340"/>
      <c r="AR35" s="340"/>
      <c r="AS35" s="340"/>
      <c r="AT35" s="340"/>
      <c r="AU35" s="340"/>
      <c r="AV35" s="340"/>
    </row>
    <row r="36" spans="1:48" s="187" customFormat="1" x14ac:dyDescent="0.15">
      <c r="A36" s="340"/>
      <c r="B36" s="340"/>
      <c r="C36" s="340"/>
      <c r="D36" s="340"/>
      <c r="E36" s="340"/>
      <c r="F36" s="340"/>
      <c r="G36" s="340"/>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row>
    <row r="37" spans="1:48" s="187" customFormat="1" ht="15" thickBot="1" x14ac:dyDescent="0.2">
      <c r="A37" s="340"/>
      <c r="B37" s="340"/>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row>
    <row r="38" spans="1:48" s="187" customFormat="1" x14ac:dyDescent="0.15">
      <c r="A38" s="336" t="s">
        <v>154</v>
      </c>
      <c r="B38" s="337"/>
      <c r="C38" s="338"/>
      <c r="D38" s="338"/>
      <c r="E38" s="338"/>
      <c r="F38" s="338"/>
      <c r="G38" s="339"/>
      <c r="H38" s="339"/>
      <c r="I38" s="337"/>
      <c r="J38" s="337"/>
      <c r="K38" s="339"/>
      <c r="L38" s="337"/>
      <c r="M38" s="337"/>
      <c r="N38" s="337"/>
      <c r="O38" s="337"/>
      <c r="P38" s="337"/>
      <c r="Q38" s="337"/>
      <c r="R38" s="337"/>
      <c r="S38" s="337"/>
      <c r="T38" s="337"/>
      <c r="U38" s="337"/>
      <c r="V38" s="337"/>
      <c r="W38" s="337"/>
      <c r="X38" s="337"/>
      <c r="Y38" s="337"/>
      <c r="Z38" s="337"/>
      <c r="AA38" s="337"/>
      <c r="AB38" s="337"/>
      <c r="AC38" s="337"/>
      <c r="AD38" s="268"/>
      <c r="AE38" s="340"/>
      <c r="AF38" s="340"/>
      <c r="AG38" s="340"/>
      <c r="AH38" s="340"/>
      <c r="AI38" s="340"/>
      <c r="AJ38" s="340"/>
      <c r="AK38" s="340"/>
      <c r="AL38" s="340"/>
      <c r="AM38" s="340"/>
      <c r="AN38" s="340"/>
      <c r="AO38" s="340"/>
      <c r="AP38" s="340"/>
      <c r="AQ38" s="340"/>
      <c r="AR38" s="340"/>
      <c r="AS38" s="340"/>
      <c r="AT38" s="340"/>
      <c r="AU38" s="340"/>
      <c r="AV38" s="340"/>
    </row>
    <row r="39" spans="1:48" s="187" customFormat="1" ht="90" x14ac:dyDescent="0.15">
      <c r="A39" s="271" t="s">
        <v>231</v>
      </c>
      <c r="B39" s="272" t="s">
        <v>243</v>
      </c>
      <c r="C39" s="279" t="s">
        <v>244</v>
      </c>
      <c r="D39" s="279" t="s">
        <v>227</v>
      </c>
      <c r="E39" s="279" t="s">
        <v>357</v>
      </c>
      <c r="F39" s="279" t="s">
        <v>358</v>
      </c>
      <c r="G39" s="279" t="s">
        <v>329</v>
      </c>
      <c r="H39" s="279" t="s">
        <v>222</v>
      </c>
      <c r="I39" s="279" t="s">
        <v>223</v>
      </c>
      <c r="J39" s="273" t="s">
        <v>799</v>
      </c>
      <c r="K39" s="280" t="s">
        <v>246</v>
      </c>
      <c r="L39" s="280" t="s">
        <v>247</v>
      </c>
      <c r="M39" s="274" t="s">
        <v>636</v>
      </c>
      <c r="N39" s="275" t="s">
        <v>249</v>
      </c>
      <c r="O39" s="275" t="s">
        <v>250</v>
      </c>
      <c r="P39" s="275" t="s">
        <v>251</v>
      </c>
      <c r="Q39" s="275" t="s">
        <v>365</v>
      </c>
      <c r="R39" s="276" t="s">
        <v>373</v>
      </c>
      <c r="S39" s="281" t="s">
        <v>637</v>
      </c>
      <c r="T39" s="281" t="s">
        <v>638</v>
      </c>
      <c r="U39" s="282" t="s">
        <v>255</v>
      </c>
      <c r="V39" s="282" t="s">
        <v>224</v>
      </c>
      <c r="W39" s="282" t="s">
        <v>374</v>
      </c>
      <c r="X39" s="282" t="s">
        <v>375</v>
      </c>
      <c r="Y39" s="276" t="s">
        <v>376</v>
      </c>
      <c r="Z39" s="276" t="s">
        <v>436</v>
      </c>
      <c r="AA39" s="275" t="s">
        <v>155</v>
      </c>
      <c r="AB39" s="275" t="s">
        <v>225</v>
      </c>
      <c r="AC39" s="275" t="s">
        <v>226</v>
      </c>
      <c r="AD39" s="277" t="s">
        <v>221</v>
      </c>
      <c r="AE39" s="340"/>
      <c r="AF39" s="340"/>
      <c r="AG39" s="340"/>
      <c r="AH39" s="340"/>
      <c r="AI39" s="340"/>
      <c r="AJ39" s="340"/>
      <c r="AK39" s="340"/>
      <c r="AL39" s="340"/>
      <c r="AM39" s="340"/>
      <c r="AN39" s="340"/>
      <c r="AO39" s="340"/>
      <c r="AP39" s="340"/>
      <c r="AQ39" s="340"/>
      <c r="AR39" s="340"/>
      <c r="AS39" s="340"/>
      <c r="AT39" s="340"/>
      <c r="AU39" s="340"/>
      <c r="AV39" s="340"/>
    </row>
    <row r="40" spans="1:48" s="187" customFormat="1" x14ac:dyDescent="0.15">
      <c r="A40" s="186" t="str">
        <f>'Tariff Jul 2021'!K28</f>
        <v>AGL</v>
      </c>
      <c r="B40" s="187" t="str">
        <f>'Tariff Jul 2021'!L28</f>
        <v>Solar Savers</v>
      </c>
      <c r="C40" s="208">
        <f>IF('Tariff Jul 2021'!BP28=0,91*'Tariff Jul 2021'!M28/100,(91*'Tariff Jul 2021'!M28/100)+'Tariff Jul 2021'!BP28/4)</f>
        <v>81.767636363636356</v>
      </c>
      <c r="D40" s="208">
        <f>IF('Tariff Jul 2021'!O28="",$H$5*'Tariff Jul 2021'!N28/100,IF($H$5&gt;='Tariff Jul 2021'!P28,('Tariff Jul 2021'!P28*'Tariff Jul 2021'!N28/100),($H$5*'Tariff Jul 2021'!N28/100)))</f>
        <v>219.95635199999998</v>
      </c>
      <c r="E40" s="208">
        <f>IF(AND('Tariff Jul 2021'!P28&gt;0,'Tariff Jul 2021'!R28&gt;0),IF($H$5&lt;'Tariff Jul 2021'!P28,0,IF($H$5&lt;=('Tariff Jul 2021'!R28+'Tariff Jul 2021'!P28),(($H$5-'Tariff Jul 2021'!P28)*'Tariff Jul 2021'!Q28/100),(('Tariff Jul 2021'!R28)*'Tariff Jul 2021'!Q28/100))),0)</f>
        <v>0</v>
      </c>
      <c r="F40" s="208">
        <f>IF(AND('Tariff Jul 2021'!Q28&gt;0,'Tariff Jul 2021'!S28&gt;0),IF($H$5&lt;('Tariff Jul 2021'!R28+'Tariff Jul 2021'!P28),0,IF($H$5&lt;=('Tariff Jul 2021'!T28+'Tariff Jul 2021'!R28+'Tariff Jul 2021'!P28),(($H$5-('Tariff Jul 2021'!R28+'Tariff Jul 2021'!P28))*'Tariff Jul 2021'!S28/100),('Tariff Jul 2021'!T28*'Tariff Jul 2021'!S28/100))),0)</f>
        <v>0</v>
      </c>
      <c r="G40" s="208">
        <f>IF('Tariff Jul 2021'!T28&gt;0,IF(($H$5&lt;'Tariff Jul 2021'!T28),(0),($H$5-'Tariff Jul 2021'!T28)*'Tariff Jul 2021'!U28/100),IF(AND('Tariff Jul 2021'!R28&gt;0,'Tariff Jul 2021'!T28=""),IF(($H$5&lt;'Tariff Jul 2021'!R28),(0),($H$5-'Tariff Jul 2021'!R28)*'Tariff Jul 2021'!S28/100),IF(AND('Tariff Jul 2021'!P28&gt;0,'Tariff Jul 2021'!R28=""),IF(($H$5&lt;'Tariff Jul 2021'!P28),(0),($H$5-'Tariff Jul 2021'!P28)*'Tariff Jul 2021'!Q28/100),0)))</f>
        <v>0</v>
      </c>
      <c r="H40" s="208">
        <f>($I$5)*'Tariff Jul 2021'!AE28/100</f>
        <v>26.439558545454538</v>
      </c>
      <c r="I40" s="208">
        <v>0</v>
      </c>
      <c r="J40" s="208">
        <f>SUM(C40:I40)</f>
        <v>328.16354690909088</v>
      </c>
      <c r="K40" s="283">
        <f>(J40-C40)*4</f>
        <v>985.58364218181805</v>
      </c>
      <c r="L40" s="283">
        <f>J40*4</f>
        <v>1312.6541876363635</v>
      </c>
      <c r="M40" s="191">
        <f>L40*1.1</f>
        <v>1443.9196064</v>
      </c>
      <c r="N40" s="187">
        <f>'Tariff Jul 2021'!AZ28</f>
        <v>0</v>
      </c>
      <c r="O40" s="187">
        <f>'Tariff Jul 2021'!BA28</f>
        <v>0</v>
      </c>
      <c r="P40" s="187">
        <f>'Tariff Jul 2021'!BB28</f>
        <v>0</v>
      </c>
      <c r="Q40" s="187">
        <f>'Tariff Jul 2021'!BC28</f>
        <v>0</v>
      </c>
      <c r="R40" s="192">
        <f>($F$6*'Tariff Jul 2021'!AT28/100)*4</f>
        <v>417.71519999999998</v>
      </c>
      <c r="S40" s="193" t="str">
        <f t="shared" ref="S40:S64" si="20">IF(SUM(N40:Q40)=0,"No discount",IF(N40&gt;0,"Guaranteed off bill",IF(O40&gt;0,"Guaranteed off usage",IF(P40&gt;0,"Pay-on-time off bill","Pay-on-time off usage"))))</f>
        <v>No discount</v>
      </c>
      <c r="T40" s="193" t="str">
        <f t="shared" ref="T40:T64" si="21">IF(OR(A40="Origin Energy",A40="Red Energy",A40="Powershop"),"Inclusive","Exclusive")</f>
        <v>Exclusive</v>
      </c>
      <c r="U40" s="304">
        <f t="shared" ref="U40:U64" si="22">IF(AND(S40="Guaranteed off bill",T40="Inclusive"),((L40*1.1)-((L40*1.1)*N40/100))/1.1,IF(AND(S40="Guaranteed off usage",T40="Inclusive"),((L40*1.1)-((K40*1.1)*O40/100))/1.1,IF(AND(S40="Guaranteed off bill",T40="Exclusive"),L40-(L40*N40/100),IF(AND(S40="Guaranteed off usage",T40="Exclusive"),L40-(K40*O40/100),IF(T40="Inclusive",((L40*1.1))/1.1,L40)))))</f>
        <v>1312.6541876363635</v>
      </c>
      <c r="V40" s="283">
        <f t="shared" ref="V40:V64" si="23">IF(AND(S40="Pay-on-time off bill",T40="Inclusive"),((U40*1.1)-((U40*1.1)*P40/100))/1.1,IF(AND(S40="Pay-on-time off usage",T40="Inclusive"),((U40*1.1)-((K40*1.1)*Q40/100))/1.1,IF(AND(S40="Pay-on-time off bill",T40="Exclusive"),U40-(U40*P40/100),IF(AND(S40="Pay-on-time off usage",T40="Exclusive"),U40-(K40*Q40/100),IF(T40="Inclusive",((U40*1.1))/1.1,U40)))))</f>
        <v>1312.6541876363635</v>
      </c>
      <c r="W40" s="283">
        <f t="shared" ref="W40:W62" si="24">U40-R40</f>
        <v>894.93898763636355</v>
      </c>
      <c r="X40" s="283">
        <f t="shared" ref="X40:X62" si="25">V40-R40</f>
        <v>894.93898763636355</v>
      </c>
      <c r="Y40" s="285">
        <f t="shared" ref="Y40:Z55" si="26">W40*1.1</f>
        <v>984.43288640000003</v>
      </c>
      <c r="Z40" s="285">
        <f t="shared" si="26"/>
        <v>984.43288640000003</v>
      </c>
      <c r="AA40" s="194">
        <f>'Tariff Jul 2021'!AT14</f>
        <v>3</v>
      </c>
      <c r="AB40" s="195">
        <f>'Tariff Jul 2021'!BL28</f>
        <v>0</v>
      </c>
      <c r="AC40" s="195" t="str">
        <f>'Tariff Jul 2021'!BM28</f>
        <v>n</v>
      </c>
      <c r="AD40" s="196">
        <f>'Tariff Jul 2021'!G28</f>
        <v>42922</v>
      </c>
      <c r="AE40" s="340"/>
      <c r="AF40" s="340"/>
      <c r="AG40" s="340"/>
      <c r="AH40" s="340"/>
      <c r="AI40" s="340"/>
      <c r="AJ40" s="340"/>
      <c r="AK40" s="340"/>
      <c r="AL40" s="340"/>
      <c r="AM40" s="340"/>
      <c r="AN40" s="340"/>
      <c r="AO40" s="340"/>
      <c r="AP40" s="340"/>
      <c r="AQ40" s="340"/>
      <c r="AR40" s="340"/>
      <c r="AS40" s="340"/>
      <c r="AT40" s="340"/>
      <c r="AU40" s="340"/>
      <c r="AV40" s="340"/>
    </row>
    <row r="41" spans="1:48" s="187" customFormat="1" x14ac:dyDescent="0.15">
      <c r="A41" s="186" t="str">
        <f>'Tariff Jul 2021'!K29</f>
        <v>Alinta Energy</v>
      </c>
      <c r="B41" s="187" t="str">
        <f>'Tariff Jul 2021'!L29</f>
        <v>Home Deal</v>
      </c>
      <c r="C41" s="208">
        <f>IF('Tariff Jul 2021'!BP29=0,91*'Tariff Jul 2021'!M29/100,(91*'Tariff Jul 2021'!M29/100)+'Tariff Jul 2021'!BP29/4)</f>
        <v>75.53</v>
      </c>
      <c r="D41" s="208">
        <f>IF('Tariff Jul 2021'!O29="",$H$5*'Tariff Jul 2021'!N29/100,IF($H$5&gt;='Tariff Jul 2021'!P29,('Tariff Jul 2021'!P29*'Tariff Jul 2021'!N29/100),($H$5*'Tariff Jul 2021'!N29/100)))</f>
        <v>72.190909090909088</v>
      </c>
      <c r="E41" s="208">
        <f>IF(AND('Tariff Jul 2021'!P29&gt;0,'Tariff Jul 2021'!R29&gt;0),IF($H$5&lt;'Tariff Jul 2021'!P29,0,IF($H$5&lt;=('Tariff Jul 2021'!R29+'Tariff Jul 2021'!P29),(($H$5-'Tariff Jul 2021'!P29)*'Tariff Jul 2021'!Q29/100),(('Tariff Jul 2021'!R29)*'Tariff Jul 2021'!Q29/100))),0)</f>
        <v>0</v>
      </c>
      <c r="F41" s="208">
        <f>IF(AND('Tariff Jul 2021'!Q29&gt;0,'Tariff Jul 2021'!S29&gt;0),IF($H$5&lt;('Tariff Jul 2021'!R29+'Tariff Jul 2021'!P29),0,IF($H$5&lt;=('Tariff Jul 2021'!T29+'Tariff Jul 2021'!R29+'Tariff Jul 2021'!P29),(($H$5-('Tariff Jul 2021'!R29+'Tariff Jul 2021'!P29))*'Tariff Jul 2021'!S29/100),('Tariff Jul 2021'!T29*'Tariff Jul 2021'!S29/100))),0)</f>
        <v>0</v>
      </c>
      <c r="G41" s="208">
        <f>IF('Tariff Jul 2021'!T29&gt;0,IF(($H$5&lt;'Tariff Jul 2021'!T29),(0),($H$5-'Tariff Jul 2021'!T29)*'Tariff Jul 2021'!U29/100),IF(AND('Tariff Jul 2021'!R29&gt;0,'Tariff Jul 2021'!T29=""),IF(($H$5&lt;'Tariff Jul 2021'!R29),(0),($H$5-'Tariff Jul 2021'!R29)*'Tariff Jul 2021'!S29/100),IF(AND('Tariff Jul 2021'!P29&gt;0,'Tariff Jul 2021'!R29=""),IF(($H$5&lt;'Tariff Jul 2021'!P29),(0),($H$5-'Tariff Jul 2021'!P29)*'Tariff Jul 2021'!Q29/100),0)))</f>
        <v>110.99059199999996</v>
      </c>
      <c r="H41" s="208">
        <f>($I$5)*'Tariff Jul 2021'!AE29/100</f>
        <v>23.680365818181812</v>
      </c>
      <c r="I41" s="208">
        <f>IF((I5&lt;'Tariff Jul 2021'!AF29),(0),(I5-'Tariff Jul 2021'!AF29)*'Tariff Jul 2021'!AG29/100)</f>
        <v>0</v>
      </c>
      <c r="J41" s="208">
        <f t="shared" ref="J41:J52" si="27">SUM(C41:I41)</f>
        <v>282.39186690909088</v>
      </c>
      <c r="K41" s="283">
        <f>(J41-C41)*4</f>
        <v>827.44746763636351</v>
      </c>
      <c r="L41" s="283">
        <f t="shared" ref="L41:L62" si="28">J41*4</f>
        <v>1129.5674676363635</v>
      </c>
      <c r="M41" s="191">
        <f t="shared" ref="M41:M62" si="29">L41*1.1</f>
        <v>1242.5242143999999</v>
      </c>
      <c r="N41" s="187">
        <f>'Tariff Jul 2021'!AZ29</f>
        <v>0</v>
      </c>
      <c r="O41" s="187">
        <f>'Tariff Jul 2021'!BA29</f>
        <v>0</v>
      </c>
      <c r="P41" s="187">
        <f>'Tariff Jul 2021'!BB29</f>
        <v>0</v>
      </c>
      <c r="Q41" s="187">
        <f>'Tariff Jul 2021'!BC29</f>
        <v>0</v>
      </c>
      <c r="R41" s="192">
        <f>($F$6*'Tariff Jul 2021'!AT29/100)*4</f>
        <v>248.01839999999996</v>
      </c>
      <c r="S41" s="193" t="str">
        <f t="shared" si="20"/>
        <v>No discount</v>
      </c>
      <c r="T41" s="193" t="str">
        <f t="shared" si="21"/>
        <v>Exclusive</v>
      </c>
      <c r="U41" s="304">
        <f t="shared" si="22"/>
        <v>1129.5674676363635</v>
      </c>
      <c r="V41" s="283">
        <f t="shared" si="23"/>
        <v>1129.5674676363635</v>
      </c>
      <c r="W41" s="283">
        <f t="shared" si="24"/>
        <v>881.54906763636359</v>
      </c>
      <c r="X41" s="283">
        <f t="shared" si="25"/>
        <v>881.54906763636359</v>
      </c>
      <c r="Y41" s="285">
        <f t="shared" si="26"/>
        <v>969.70397439999999</v>
      </c>
      <c r="Z41" s="285">
        <f t="shared" si="26"/>
        <v>969.70397439999999</v>
      </c>
      <c r="AA41" s="194">
        <f>'Tariff Jul 2021'!AT28</f>
        <v>16</v>
      </c>
      <c r="AB41" s="195">
        <f>'Tariff Jul 2021'!BL29</f>
        <v>0</v>
      </c>
      <c r="AC41" s="195" t="str">
        <f>'Tariff Jul 2021'!BM29</f>
        <v>n</v>
      </c>
      <c r="AD41" s="196">
        <f>'Tariff Jul 2021'!G29</f>
        <v>42916</v>
      </c>
      <c r="AE41" s="340"/>
      <c r="AF41" s="340"/>
      <c r="AG41" s="340"/>
      <c r="AH41" s="340"/>
      <c r="AI41" s="340"/>
      <c r="AJ41" s="340"/>
      <c r="AK41" s="340"/>
      <c r="AL41" s="340"/>
      <c r="AM41" s="340"/>
      <c r="AN41" s="340"/>
      <c r="AO41" s="340"/>
      <c r="AP41" s="340"/>
      <c r="AQ41" s="340"/>
      <c r="AR41" s="340"/>
      <c r="AS41" s="340"/>
      <c r="AT41" s="340"/>
      <c r="AU41" s="340"/>
      <c r="AV41" s="340"/>
    </row>
    <row r="42" spans="1:48" s="187" customFormat="1" x14ac:dyDescent="0.15">
      <c r="A42" s="186" t="str">
        <f>'Tariff Jul 2021'!K30</f>
        <v>Diamond Energy</v>
      </c>
      <c r="B42" s="187" t="str">
        <f>'Tariff Jul 2021'!L30</f>
        <v>Renewable Saver POT</v>
      </c>
      <c r="C42" s="208">
        <f>IF('Tariff Jul 2021'!BP30=0,91*'Tariff Jul 2021'!M30/100,(91*'Tariff Jul 2021'!M30/100)+'Tariff Jul 2021'!BP30/4)</f>
        <v>79.124499999999998</v>
      </c>
      <c r="D42" s="208">
        <f>IF('Tariff Jul 2021'!O30="",$H$5*'Tariff Jul 2021'!N30/100,IF($H$5&gt;='Tariff Jul 2021'!P30,('Tariff Jul 2021'!P30*'Tariff Jul 2021'!N30/100),($H$5*'Tariff Jul 2021'!N30/100)))</f>
        <v>99.78</v>
      </c>
      <c r="E42" s="208">
        <f>IF(AND('Tariff Jul 2021'!P30&gt;0,'Tariff Jul 2021'!R30&gt;0),IF($H$5&lt;'Tariff Jul 2021'!P30,0,IF($H$5&lt;=('Tariff Jul 2021'!R30+'Tariff Jul 2021'!P30),(($H$5-'Tariff Jul 2021'!P30)*'Tariff Jul 2021'!Q30/100),(('Tariff Jul 2021'!R30)*'Tariff Jul 2021'!Q30/100))),0)</f>
        <v>148.63628159999996</v>
      </c>
      <c r="F42" s="208">
        <f>IF(AND('Tariff Jul 2021'!Q30&gt;0,'Tariff Jul 2021'!S30&gt;0),IF($H$5&lt;('Tariff Jul 2021'!R30+'Tariff Jul 2021'!P30),0,IF($H$5&lt;=('Tariff Jul 2021'!T30+'Tariff Jul 2021'!R30+'Tariff Jul 2021'!P30),(($H$5-('Tariff Jul 2021'!R30+'Tariff Jul 2021'!P30))*'Tariff Jul 2021'!S30/100),('Tariff Jul 2021'!T30*'Tariff Jul 2021'!S30/100))),0)</f>
        <v>0</v>
      </c>
      <c r="G42" s="208">
        <f>IF('Tariff Jul 2021'!T30&gt;0,IF(($H$5&lt;'Tariff Jul 2021'!T30),(0),($H$5-'Tariff Jul 2021'!T30)*'Tariff Jul 2021'!U30/100),IF(AND('Tariff Jul 2021'!R30&gt;0,'Tariff Jul 2021'!T30=""),IF(($H$5&lt;'Tariff Jul 2021'!R30),(0),($H$5-'Tariff Jul 2021'!R30)*'Tariff Jul 2021'!S30/100),IF(AND('Tariff Jul 2021'!P30&gt;0,'Tariff Jul 2021'!R30=""),IF(($H$5&lt;'Tariff Jul 2021'!P30),(0),($H$5-'Tariff Jul 2021'!P30)*'Tariff Jul 2021'!Q30/100),0)))</f>
        <v>0</v>
      </c>
      <c r="H42" s="208">
        <f>($I$5)*'Tariff Jul 2021'!AE30/100</f>
        <v>35.626047272727263</v>
      </c>
      <c r="I42" s="208">
        <v>0</v>
      </c>
      <c r="J42" s="208">
        <f t="shared" si="27"/>
        <v>363.16682887272719</v>
      </c>
      <c r="K42" s="283">
        <f t="shared" ref="K42:K62" si="30">(J42-C42)*4</f>
        <v>1136.1693154909087</v>
      </c>
      <c r="L42" s="283">
        <f t="shared" si="28"/>
        <v>1452.6673154909088</v>
      </c>
      <c r="M42" s="191">
        <f t="shared" si="29"/>
        <v>1597.9340470399998</v>
      </c>
      <c r="N42" s="187">
        <f>'Tariff Jul 2021'!AZ30</f>
        <v>0</v>
      </c>
      <c r="O42" s="187">
        <f>'Tariff Jul 2021'!BA30</f>
        <v>0</v>
      </c>
      <c r="P42" s="187">
        <f>'Tariff Jul 2021'!BB30</f>
        <v>7</v>
      </c>
      <c r="Q42" s="187">
        <f>'Tariff Jul 2021'!BC30</f>
        <v>0</v>
      </c>
      <c r="R42" s="192">
        <f>($F$6*'Tariff Jul 2021'!AT30/100)*4</f>
        <v>266.29343999999998</v>
      </c>
      <c r="S42" s="193" t="str">
        <f t="shared" si="20"/>
        <v>Pay-on-time off bill</v>
      </c>
      <c r="T42" s="193" t="str">
        <f t="shared" si="21"/>
        <v>Exclusive</v>
      </c>
      <c r="U42" s="304">
        <f t="shared" si="22"/>
        <v>1452.6673154909088</v>
      </c>
      <c r="V42" s="283">
        <f t="shared" si="23"/>
        <v>1350.9806034065452</v>
      </c>
      <c r="W42" s="283">
        <f t="shared" si="24"/>
        <v>1186.3738754909089</v>
      </c>
      <c r="X42" s="283">
        <f t="shared" si="25"/>
        <v>1084.6871634065453</v>
      </c>
      <c r="Y42" s="285">
        <f t="shared" si="26"/>
        <v>1305.0112630399999</v>
      </c>
      <c r="Z42" s="285">
        <f t="shared" si="26"/>
        <v>1193.1558797472001</v>
      </c>
      <c r="AA42" s="194">
        <f>'Tariff Jul 2021'!AT29</f>
        <v>9.5</v>
      </c>
      <c r="AB42" s="195">
        <f>'Tariff Jul 2021'!BL30</f>
        <v>0</v>
      </c>
      <c r="AC42" s="195" t="str">
        <f>'Tariff Jul 2021'!BM30</f>
        <v>n</v>
      </c>
      <c r="AD42" s="196">
        <f>'Tariff Jul 2021'!G30</f>
        <v>42643</v>
      </c>
      <c r="AE42" s="340"/>
      <c r="AF42" s="340"/>
      <c r="AG42" s="340"/>
      <c r="AH42" s="340"/>
      <c r="AI42" s="340"/>
      <c r="AJ42" s="340"/>
      <c r="AK42" s="340"/>
      <c r="AL42" s="340"/>
      <c r="AM42" s="340"/>
      <c r="AN42" s="340"/>
      <c r="AO42" s="340"/>
      <c r="AP42" s="340"/>
      <c r="AQ42" s="340"/>
      <c r="AR42" s="340"/>
      <c r="AS42" s="340"/>
      <c r="AT42" s="340"/>
      <c r="AU42" s="340"/>
      <c r="AV42" s="340"/>
    </row>
    <row r="43" spans="1:48" s="187" customFormat="1" x14ac:dyDescent="0.15">
      <c r="A43" s="186" t="str">
        <f>'Tariff Jul 2021'!K31</f>
        <v>Dodo Power &amp; Gas</v>
      </c>
      <c r="B43" s="187" t="str">
        <f>'Tariff Jul 2021'!L31</f>
        <v>Market offer</v>
      </c>
      <c r="C43" s="208">
        <f>IF('Tariff Jul 2021'!BP31=0,91*'Tariff Jul 2021'!M31/100,(91*'Tariff Jul 2021'!M31/100)+'Tariff Jul 2021'!BP31/4)</f>
        <v>60.788000000000004</v>
      </c>
      <c r="D43" s="208">
        <f>IF('Tariff Jul 2021'!O31="",$H$5*'Tariff Jul 2021'!N31/100,IF($H$5&gt;='Tariff Jul 2021'!P31,('Tariff Jul 2021'!P31*'Tariff Jul 2021'!N31/100),($H$5*'Tariff Jul 2021'!N31/100)))</f>
        <v>209.56880290909089</v>
      </c>
      <c r="E43" s="208">
        <f>IF(AND('Tariff Jul 2021'!P31&gt;0,'Tariff Jul 2021'!R31&gt;0),IF($H$5&lt;'Tariff Jul 2021'!P31,0,IF($H$5&lt;=('Tariff Jul 2021'!R31+'Tariff Jul 2021'!P31),(($H$5-'Tariff Jul 2021'!P31)*'Tariff Jul 2021'!Q31/100),(('Tariff Jul 2021'!R31)*'Tariff Jul 2021'!Q31/100))),0)</f>
        <v>0</v>
      </c>
      <c r="F43" s="208">
        <f>IF(AND('Tariff Jul 2021'!Q31&gt;0,'Tariff Jul 2021'!S31&gt;0),IF($H$5&lt;('Tariff Jul 2021'!R31+'Tariff Jul 2021'!P31),0,IF($H$5&lt;=('Tariff Jul 2021'!T31+'Tariff Jul 2021'!R31+'Tariff Jul 2021'!P31),(($H$5-('Tariff Jul 2021'!R31+'Tariff Jul 2021'!P31))*'Tariff Jul 2021'!S31/100),('Tariff Jul 2021'!T31*'Tariff Jul 2021'!S31/100))),0)</f>
        <v>0</v>
      </c>
      <c r="G43" s="208">
        <f>IF('Tariff Jul 2021'!T31&gt;0,IF(($H$5&lt;'Tariff Jul 2021'!T31),(0),($H$5-'Tariff Jul 2021'!T31)*'Tariff Jul 2021'!U31/100),IF(AND('Tariff Jul 2021'!R31&gt;0,'Tariff Jul 2021'!T31=""),IF(($H$5&lt;'Tariff Jul 2021'!R31),(0),($H$5-'Tariff Jul 2021'!R31)*'Tariff Jul 2021'!S31/100),IF(AND('Tariff Jul 2021'!P31&gt;0,'Tariff Jul 2021'!R31=""),IF(($H$5&lt;'Tariff Jul 2021'!P31),(0),($H$5-'Tariff Jul 2021'!P31)*'Tariff Jul 2021'!Q31/100),0)))</f>
        <v>0</v>
      </c>
      <c r="H43" s="208">
        <f>($I$5)*'Tariff Jul 2021'!AE31/100</f>
        <v>32.266324363636357</v>
      </c>
      <c r="I43" s="208">
        <f>IF((I7&lt;'Tariff Jul 2021'!AF31),(0),(I7-'Tariff Jul 2021'!AF31)*'Tariff Jul 2021'!AG31/100)</f>
        <v>0</v>
      </c>
      <c r="J43" s="208">
        <f t="shared" si="27"/>
        <v>302.62312727272729</v>
      </c>
      <c r="K43" s="283">
        <f t="shared" si="30"/>
        <v>967.34050909090911</v>
      </c>
      <c r="L43" s="283">
        <f t="shared" si="28"/>
        <v>1210.4925090909092</v>
      </c>
      <c r="M43" s="191">
        <f t="shared" si="29"/>
        <v>1331.5417600000001</v>
      </c>
      <c r="N43" s="187">
        <f>'Tariff Jul 2021'!AZ31</f>
        <v>0</v>
      </c>
      <c r="O43" s="187">
        <f>'Tariff Jul 2021'!BA31</f>
        <v>0</v>
      </c>
      <c r="P43" s="187">
        <f>'Tariff Jul 2021'!BB31</f>
        <v>0</v>
      </c>
      <c r="Q43" s="187">
        <f>'Tariff Jul 2021'!BC31</f>
        <v>0</v>
      </c>
      <c r="R43" s="192">
        <f>($F$6*'Tariff Jul 2021'!AT31/100)*4</f>
        <v>302.84351999999996</v>
      </c>
      <c r="S43" s="193" t="str">
        <f t="shared" si="20"/>
        <v>No discount</v>
      </c>
      <c r="T43" s="193" t="str">
        <f t="shared" si="21"/>
        <v>Exclusive</v>
      </c>
      <c r="U43" s="304">
        <f t="shared" si="22"/>
        <v>1210.4925090909092</v>
      </c>
      <c r="V43" s="283">
        <f t="shared" si="23"/>
        <v>1210.4925090909092</v>
      </c>
      <c r="W43" s="283">
        <f t="shared" si="24"/>
        <v>907.64898909090925</v>
      </c>
      <c r="X43" s="283">
        <f t="shared" si="25"/>
        <v>907.64898909090925</v>
      </c>
      <c r="Y43" s="285">
        <f t="shared" si="26"/>
        <v>998.41388800000027</v>
      </c>
      <c r="Z43" s="285">
        <f t="shared" si="26"/>
        <v>998.41388800000027</v>
      </c>
      <c r="AA43" s="194">
        <f>'Tariff Jul 2021'!AT30</f>
        <v>10.199999999999999</v>
      </c>
      <c r="AB43" s="195">
        <f>'Tariff Jul 2021'!BL31</f>
        <v>0</v>
      </c>
      <c r="AC43" s="195" t="str">
        <f>'Tariff Jul 2021'!BM31</f>
        <v>n</v>
      </c>
      <c r="AD43" s="196">
        <f>'Tariff Jul 2021'!G31</f>
        <v>42916</v>
      </c>
      <c r="AE43" s="340"/>
      <c r="AF43" s="340"/>
      <c r="AG43" s="340"/>
      <c r="AH43" s="340"/>
      <c r="AI43" s="340"/>
      <c r="AJ43" s="340"/>
      <c r="AK43" s="340"/>
      <c r="AL43" s="340"/>
      <c r="AM43" s="340"/>
      <c r="AN43" s="340"/>
      <c r="AO43" s="340"/>
      <c r="AP43" s="340"/>
      <c r="AQ43" s="340"/>
      <c r="AR43" s="340"/>
      <c r="AS43" s="340"/>
      <c r="AT43" s="340"/>
      <c r="AU43" s="340"/>
      <c r="AV43" s="340"/>
    </row>
    <row r="44" spans="1:48" s="187" customFormat="1" x14ac:dyDescent="0.15">
      <c r="A44" s="186" t="str">
        <f>'Tariff Jul 2021'!K32</f>
        <v>EnergyAustralia</v>
      </c>
      <c r="B44" s="187" t="str">
        <f>'Tariff Jul 2021'!L32</f>
        <v>Total Plan Home</v>
      </c>
      <c r="C44" s="208">
        <f>IF('Tariff Jul 2021'!BP32=0,91*'Tariff Jul 2021'!M32/100,(91*'Tariff Jul 2021'!M32/100)+'Tariff Jul 2021'!BP32/4)</f>
        <v>73.254999999999995</v>
      </c>
      <c r="D44" s="208">
        <f>IF('Tariff Jul 2021'!O32="",$H$5*'Tariff Jul 2021'!N32/100,IF($H$5&gt;='Tariff Jul 2021'!P32,('Tariff Jul 2021'!P32*'Tariff Jul 2021'!N32/100),($H$5*'Tariff Jul 2021'!N32/100)))</f>
        <v>226.05903709090904</v>
      </c>
      <c r="E44" s="208">
        <f>IF(AND('Tariff Jul 2021'!P32&gt;0,'Tariff Jul 2021'!R32&gt;0),IF($H$5&lt;'Tariff Jul 2021'!P32,0,IF($H$5&lt;=('Tariff Jul 2021'!R32+'Tariff Jul 2021'!P32),(($H$5-'Tariff Jul 2021'!P32)*'Tariff Jul 2021'!Q32/100),(('Tariff Jul 2021'!R32)*'Tariff Jul 2021'!Q32/100))),0)</f>
        <v>0</v>
      </c>
      <c r="F44" s="208">
        <f>IF(AND('Tariff Jul 2021'!Q32&gt;0,'Tariff Jul 2021'!S32&gt;0),IF($H$5&lt;('Tariff Jul 2021'!R32+'Tariff Jul 2021'!P32),0,IF($H$5&lt;=('Tariff Jul 2021'!T32+'Tariff Jul 2021'!R32+'Tariff Jul 2021'!P32),(($H$5-('Tariff Jul 2021'!R32+'Tariff Jul 2021'!P32))*'Tariff Jul 2021'!S32/100),('Tariff Jul 2021'!T32*'Tariff Jul 2021'!S32/100))),0)</f>
        <v>0</v>
      </c>
      <c r="G44" s="208">
        <f>IF('Tariff Jul 2021'!T32&gt;0,IF(($H$5&lt;'Tariff Jul 2021'!T32),(0),($H$5-'Tariff Jul 2021'!T32)*'Tariff Jul 2021'!U32/100),IF(AND('Tariff Jul 2021'!R32&gt;0,'Tariff Jul 2021'!T32=""),IF(($H$5&lt;'Tariff Jul 2021'!R32),(0),($H$5-'Tariff Jul 2021'!R32)*'Tariff Jul 2021'!S32/100),IF(AND('Tariff Jul 2021'!P32&gt;0,'Tariff Jul 2021'!R32=""),IF(($H$5&lt;'Tariff Jul 2021'!P32),(0),($H$5-'Tariff Jul 2021'!P32)*'Tariff Jul 2021'!Q32/100),0)))</f>
        <v>0</v>
      </c>
      <c r="H44" s="208">
        <f>($I$5)*'Tariff Jul 2021'!AE32/100</f>
        <v>26.277253090909088</v>
      </c>
      <c r="I44" s="208">
        <v>0</v>
      </c>
      <c r="J44" s="208">
        <f t="shared" si="27"/>
        <v>325.59129018181812</v>
      </c>
      <c r="K44" s="283">
        <f t="shared" si="30"/>
        <v>1009.3451607272725</v>
      </c>
      <c r="L44" s="283">
        <f t="shared" si="28"/>
        <v>1302.3651607272725</v>
      </c>
      <c r="M44" s="191">
        <f t="shared" si="29"/>
        <v>1432.6016768</v>
      </c>
      <c r="N44" s="187">
        <f>'Tariff Jul 2021'!AZ32</f>
        <v>6</v>
      </c>
      <c r="O44" s="187">
        <f>'Tariff Jul 2021'!BA32</f>
        <v>0</v>
      </c>
      <c r="P44" s="187">
        <f>'Tariff Jul 2021'!BB32</f>
        <v>0</v>
      </c>
      <c r="Q44" s="187">
        <f>'Tariff Jul 2021'!BC32</f>
        <v>0</v>
      </c>
      <c r="R44" s="192">
        <f>($F$6*'Tariff Jul 2021'!AT32/100)*4</f>
        <v>274.12559999999996</v>
      </c>
      <c r="S44" s="193" t="str">
        <f t="shared" si="20"/>
        <v>Guaranteed off bill</v>
      </c>
      <c r="T44" s="193" t="str">
        <f t="shared" si="21"/>
        <v>Exclusive</v>
      </c>
      <c r="U44" s="304">
        <f t="shared" si="22"/>
        <v>1224.2232510836361</v>
      </c>
      <c r="V44" s="283">
        <f t="shared" si="23"/>
        <v>1224.2232510836361</v>
      </c>
      <c r="W44" s="283">
        <f t="shared" si="24"/>
        <v>950.09765108363615</v>
      </c>
      <c r="X44" s="283">
        <f t="shared" si="25"/>
        <v>950.09765108363615</v>
      </c>
      <c r="Y44" s="285">
        <f t="shared" si="26"/>
        <v>1045.1074161919998</v>
      </c>
      <c r="Z44" s="285">
        <f t="shared" si="26"/>
        <v>1045.1074161919998</v>
      </c>
      <c r="AA44" s="194">
        <f>'Tariff Jul 2021'!AT31</f>
        <v>11.6</v>
      </c>
      <c r="AB44" s="195">
        <f>'Tariff Jul 2021'!BL32</f>
        <v>0</v>
      </c>
      <c r="AC44" s="195" t="str">
        <f>'Tariff Jul 2021'!BM32</f>
        <v>n</v>
      </c>
      <c r="AD44" s="196">
        <f>'Tariff Jul 2021'!G32</f>
        <v>42916</v>
      </c>
      <c r="AE44" s="340"/>
      <c r="AF44" s="340"/>
      <c r="AG44" s="340"/>
      <c r="AH44" s="340"/>
      <c r="AI44" s="340"/>
      <c r="AJ44" s="340"/>
      <c r="AK44" s="340"/>
      <c r="AL44" s="340"/>
      <c r="AM44" s="340"/>
      <c r="AN44" s="340"/>
      <c r="AO44" s="340"/>
      <c r="AP44" s="340"/>
      <c r="AQ44" s="340"/>
      <c r="AR44" s="340"/>
      <c r="AS44" s="340"/>
      <c r="AT44" s="340"/>
      <c r="AU44" s="340"/>
      <c r="AV44" s="340"/>
    </row>
    <row r="45" spans="1:48" s="187" customFormat="1" x14ac:dyDescent="0.15">
      <c r="A45" s="186" t="str">
        <f>'Tariff Jul 2021'!K33</f>
        <v>Lumo Energy</v>
      </c>
      <c r="B45" s="187" t="str">
        <f>'Tariff Jul 2021'!L33</f>
        <v>Plus</v>
      </c>
      <c r="C45" s="208">
        <f>IF('Tariff Jul 2021'!BP33=0,91*'Tariff Jul 2021'!M33/100,(91*'Tariff Jul 2021'!M33/100)+'Tariff Jul 2021'!BP33/4)</f>
        <v>72.709000000000003</v>
      </c>
      <c r="D45" s="208">
        <f>IF('Tariff Jul 2021'!O33="",$H$5*'Tariff Jul 2021'!N33/100,IF($H$5&gt;='Tariff Jul 2021'!P33,('Tariff Jul 2021'!P33*'Tariff Jul 2021'!N33/100),($H$5*'Tariff Jul 2021'!N33/100)))</f>
        <v>221.06002909090901</v>
      </c>
      <c r="E45" s="208">
        <f>IF(AND('Tariff Jul 2021'!P33&gt;0,'Tariff Jul 2021'!R33&gt;0),IF($H$5&lt;'Tariff Jul 2021'!P33,0,IF($H$5&lt;=('Tariff Jul 2021'!R33+'Tariff Jul 2021'!P33),(($H$5-'Tariff Jul 2021'!P33)*'Tariff Jul 2021'!Q33/100),(('Tariff Jul 2021'!R33)*'Tariff Jul 2021'!Q33/100))),0)</f>
        <v>0</v>
      </c>
      <c r="F45" s="208">
        <f>IF(AND('Tariff Jul 2021'!Q33&gt;0,'Tariff Jul 2021'!S33&gt;0),IF($H$5&lt;('Tariff Jul 2021'!R33+'Tariff Jul 2021'!P33),0,IF($H$5&lt;=('Tariff Jul 2021'!T33+'Tariff Jul 2021'!R33+'Tariff Jul 2021'!P33),(($H$5-('Tariff Jul 2021'!R33+'Tariff Jul 2021'!P33))*'Tariff Jul 2021'!S33/100),('Tariff Jul 2021'!T33*'Tariff Jul 2021'!S33/100))),0)</f>
        <v>0</v>
      </c>
      <c r="G45" s="208">
        <f>IF('Tariff Jul 2021'!T33&gt;0,IF(($H$5&lt;'Tariff Jul 2021'!T33),(0),($H$5-'Tariff Jul 2021'!T33)*'Tariff Jul 2021'!U33/100),IF(AND('Tariff Jul 2021'!R33&gt;0,'Tariff Jul 2021'!T33=""),IF(($H$5&lt;'Tariff Jul 2021'!R33),(0),($H$5-'Tariff Jul 2021'!R33)*'Tariff Jul 2021'!S33/100),IF(AND('Tariff Jul 2021'!P33&gt;0,'Tariff Jul 2021'!R33=""),IF(($H$5&lt;'Tariff Jul 2021'!P33),(0),($H$5-'Tariff Jul 2021'!P33)*'Tariff Jul 2021'!Q33/100),0)))</f>
        <v>0</v>
      </c>
      <c r="H45" s="208">
        <f>($I$5)*'Tariff Jul 2021'!AE33/100</f>
        <v>27.705541090909087</v>
      </c>
      <c r="I45" s="208">
        <v>0</v>
      </c>
      <c r="J45" s="208">
        <f t="shared" si="27"/>
        <v>321.47457018181814</v>
      </c>
      <c r="K45" s="283">
        <f t="shared" si="30"/>
        <v>995.06228072727254</v>
      </c>
      <c r="L45" s="283">
        <f t="shared" si="28"/>
        <v>1285.8982807272725</v>
      </c>
      <c r="M45" s="191">
        <f t="shared" si="29"/>
        <v>1414.4881088</v>
      </c>
      <c r="N45" s="187">
        <f>'Tariff Jul 2021'!AZ33</f>
        <v>0</v>
      </c>
      <c r="O45" s="187">
        <f>'Tariff Jul 2021'!BA33</f>
        <v>0</v>
      </c>
      <c r="P45" s="187">
        <f>'Tariff Jul 2021'!BB33</f>
        <v>0</v>
      </c>
      <c r="Q45" s="187">
        <f>'Tariff Jul 2021'!BC33</f>
        <v>0</v>
      </c>
      <c r="R45" s="192">
        <f>($F$6*'Tariff Jul 2021'!AT33/100)*4</f>
        <v>78.321600000000004</v>
      </c>
      <c r="S45" s="193" t="str">
        <f t="shared" si="20"/>
        <v>No discount</v>
      </c>
      <c r="T45" s="193" t="str">
        <f t="shared" si="21"/>
        <v>Exclusive</v>
      </c>
      <c r="U45" s="304">
        <f t="shared" si="22"/>
        <v>1285.8982807272725</v>
      </c>
      <c r="V45" s="283">
        <f t="shared" si="23"/>
        <v>1285.8982807272725</v>
      </c>
      <c r="W45" s="283">
        <f t="shared" si="24"/>
        <v>1207.5766807272726</v>
      </c>
      <c r="X45" s="283">
        <f t="shared" si="25"/>
        <v>1207.5766807272726</v>
      </c>
      <c r="Y45" s="285">
        <f t="shared" si="26"/>
        <v>1328.3343487999998</v>
      </c>
      <c r="Z45" s="285">
        <f t="shared" si="26"/>
        <v>1328.3343487999998</v>
      </c>
      <c r="AA45" s="194">
        <f>'Tariff Jul 2021'!AT32</f>
        <v>10.5</v>
      </c>
      <c r="AB45" s="195">
        <f>'Tariff Jul 2021'!BL33</f>
        <v>0</v>
      </c>
      <c r="AC45" s="195" t="str">
        <f>'Tariff Jul 2021'!BM33</f>
        <v>n</v>
      </c>
      <c r="AD45" s="196">
        <f>'Tariff Jul 2021'!G33</f>
        <v>42916</v>
      </c>
      <c r="AE45" s="340"/>
      <c r="AF45" s="340"/>
      <c r="AG45" s="340"/>
      <c r="AH45" s="340"/>
      <c r="AI45" s="340"/>
      <c r="AJ45" s="340"/>
      <c r="AK45" s="340"/>
      <c r="AL45" s="340"/>
      <c r="AM45" s="340"/>
      <c r="AN45" s="340"/>
      <c r="AO45" s="340"/>
      <c r="AP45" s="340"/>
      <c r="AQ45" s="340"/>
      <c r="AR45" s="340"/>
      <c r="AS45" s="340"/>
      <c r="AT45" s="340"/>
      <c r="AU45" s="340"/>
      <c r="AV45" s="340"/>
    </row>
    <row r="46" spans="1:48" s="187" customFormat="1" x14ac:dyDescent="0.15">
      <c r="A46" s="186" t="str">
        <f>'Tariff Jul 2021'!K34</f>
        <v>Momentum Energy</v>
      </c>
      <c r="B46" s="187" t="str">
        <f>'Tariff Jul 2021'!L34</f>
        <v>Solar Step Up</v>
      </c>
      <c r="C46" s="208">
        <f>IF('Tariff Jul 2021'!BP34=0,91*'Tariff Jul 2021'!M34/100,(91*'Tariff Jul 2021'!M34/100)+'Tariff Jul 2021'!BP34/4)</f>
        <v>92.464272727272714</v>
      </c>
      <c r="D46" s="208">
        <f>IF('Tariff Jul 2021'!O34="",$H$5*'Tariff Jul 2021'!N34/100,IF($H$5&gt;='Tariff Jul 2021'!P34,('Tariff Jul 2021'!P34*'Tariff Jul 2021'!N34/100),($H$5*'Tariff Jul 2021'!N34/100)))</f>
        <v>212.36045672727269</v>
      </c>
      <c r="E46" s="208">
        <f>IF(AND('Tariff Jul 2021'!P34&gt;0,'Tariff Jul 2021'!R34&gt;0),IF($H$5&lt;'Tariff Jul 2021'!P34,0,IF($H$5&lt;=('Tariff Jul 2021'!R34+'Tariff Jul 2021'!P34),(($H$5-'Tariff Jul 2021'!P34)*'Tariff Jul 2021'!Q34/100),(('Tariff Jul 2021'!R34)*'Tariff Jul 2021'!Q34/100))),0)</f>
        <v>0</v>
      </c>
      <c r="F46" s="208">
        <f>IF(AND('Tariff Jul 2021'!Q34&gt;0,'Tariff Jul 2021'!S34&gt;0),IF($H$5&lt;('Tariff Jul 2021'!R34+'Tariff Jul 2021'!P34),0,IF($H$5&lt;=('Tariff Jul 2021'!T34+'Tariff Jul 2021'!R34+'Tariff Jul 2021'!P34),(($H$5-('Tariff Jul 2021'!R34+'Tariff Jul 2021'!P34))*'Tariff Jul 2021'!S34/100),('Tariff Jul 2021'!T34*'Tariff Jul 2021'!S34/100))),0)</f>
        <v>0</v>
      </c>
      <c r="G46" s="208">
        <f>IF('Tariff Jul 2021'!T34&gt;0,IF(($H$5&lt;'Tariff Jul 2021'!T34),(0),($H$5-'Tariff Jul 2021'!T34)*'Tariff Jul 2021'!U34/100),IF(AND('Tariff Jul 2021'!R34&gt;0,'Tariff Jul 2021'!T34=""),IF(($H$5&lt;'Tariff Jul 2021'!R34),(0),($H$5-'Tariff Jul 2021'!R34)*'Tariff Jul 2021'!S34/100),IF(AND('Tariff Jul 2021'!P34&gt;0,'Tariff Jul 2021'!R34=""),IF(($H$5&lt;'Tariff Jul 2021'!P34),(0),($H$5-'Tariff Jul 2021'!P34)*'Tariff Jul 2021'!Q34/100),0)))</f>
        <v>0</v>
      </c>
      <c r="H46" s="208">
        <f>($I$5)*'Tariff Jul 2021'!AE34/100</f>
        <v>26.585633454545444</v>
      </c>
      <c r="I46" s="208">
        <v>0</v>
      </c>
      <c r="J46" s="208">
        <f t="shared" si="27"/>
        <v>331.41036290909085</v>
      </c>
      <c r="K46" s="283">
        <f t="shared" si="30"/>
        <v>955.78436072727254</v>
      </c>
      <c r="L46" s="283">
        <f t="shared" si="28"/>
        <v>1325.6414516363634</v>
      </c>
      <c r="M46" s="191">
        <f t="shared" si="29"/>
        <v>1458.2055968</v>
      </c>
      <c r="N46" s="187">
        <f>'Tariff Jul 2021'!AZ34</f>
        <v>0</v>
      </c>
      <c r="O46" s="187">
        <f>'Tariff Jul 2021'!BA34</f>
        <v>0</v>
      </c>
      <c r="P46" s="187">
        <f>'Tariff Jul 2021'!BB34</f>
        <v>0</v>
      </c>
      <c r="Q46" s="187">
        <f>'Tariff Jul 2021'!BC34</f>
        <v>0</v>
      </c>
      <c r="R46" s="192">
        <f>($F$6*'Tariff Jul 2021'!AT34/100)*4</f>
        <v>261.07199999999995</v>
      </c>
      <c r="S46" s="193" t="str">
        <f t="shared" si="20"/>
        <v>No discount</v>
      </c>
      <c r="T46" s="193" t="str">
        <f t="shared" si="21"/>
        <v>Exclusive</v>
      </c>
      <c r="U46" s="304">
        <f t="shared" si="22"/>
        <v>1325.6414516363634</v>
      </c>
      <c r="V46" s="283">
        <f t="shared" si="23"/>
        <v>1325.6414516363634</v>
      </c>
      <c r="W46" s="283">
        <f t="shared" si="24"/>
        <v>1064.5694516363635</v>
      </c>
      <c r="X46" s="283">
        <f t="shared" si="25"/>
        <v>1064.5694516363635</v>
      </c>
      <c r="Y46" s="285">
        <f t="shared" si="26"/>
        <v>1171.0263967999999</v>
      </c>
      <c r="Z46" s="285">
        <f t="shared" si="26"/>
        <v>1171.0263967999999</v>
      </c>
      <c r="AA46" s="194">
        <f>'Tariff Jul 2021'!AT33</f>
        <v>3</v>
      </c>
      <c r="AB46" s="195">
        <f>'Tariff Jul 2021'!BL34</f>
        <v>0</v>
      </c>
      <c r="AC46" s="195" t="str">
        <f>'Tariff Jul 2021'!BM34</f>
        <v>n</v>
      </c>
      <c r="AD46" s="196">
        <f>'Tariff Jul 2021'!G34</f>
        <v>42916</v>
      </c>
      <c r="AE46" s="340"/>
      <c r="AF46" s="340"/>
      <c r="AG46" s="340"/>
      <c r="AH46" s="340"/>
      <c r="AI46" s="340"/>
      <c r="AJ46" s="340"/>
      <c r="AK46" s="340"/>
      <c r="AL46" s="340"/>
      <c r="AM46" s="340"/>
      <c r="AN46" s="340"/>
      <c r="AO46" s="340"/>
      <c r="AP46" s="340"/>
      <c r="AQ46" s="340"/>
      <c r="AR46" s="340"/>
      <c r="AS46" s="340"/>
      <c r="AT46" s="340"/>
      <c r="AU46" s="340"/>
      <c r="AV46" s="340"/>
    </row>
    <row r="47" spans="1:48" s="187" customFormat="1" x14ac:dyDescent="0.15">
      <c r="A47" s="186" t="str">
        <f>'Tariff Jul 2021'!K35</f>
        <v>Origin Energy</v>
      </c>
      <c r="B47" s="187" t="str">
        <f>'Tariff Jul 2021'!L35</f>
        <v>Solar Boost</v>
      </c>
      <c r="C47" s="208">
        <f>IF('Tariff Jul 2021'!BP35=0,91*'Tariff Jul 2021'!M35/100,(91*'Tariff Jul 2021'!M35/100)+'Tariff Jul 2021'!BP35/4)</f>
        <v>74.371818181818171</v>
      </c>
      <c r="D47" s="208">
        <f>IF('Tariff Jul 2021'!O35="",$H$5*'Tariff Jul 2021'!N35/100,IF($H$5&gt;='Tariff Jul 2021'!P35,('Tariff Jul 2021'!P35*'Tariff Jul 2021'!N35/100),($H$5*'Tariff Jul 2021'!N35/100)))</f>
        <v>225.21504872727266</v>
      </c>
      <c r="E47" s="208">
        <f>IF(AND('Tariff Jul 2021'!P35&gt;0,'Tariff Jul 2021'!R35&gt;0),IF($H$5&lt;'Tariff Jul 2021'!P35,0,IF($H$5&lt;=('Tariff Jul 2021'!R35+'Tariff Jul 2021'!P35),(($H$5-'Tariff Jul 2021'!P35)*'Tariff Jul 2021'!Q35/100),(('Tariff Jul 2021'!R35)*'Tariff Jul 2021'!Q35/100))),0)</f>
        <v>0</v>
      </c>
      <c r="F47" s="208">
        <f>IF(AND('Tariff Jul 2021'!Q35&gt;0,'Tariff Jul 2021'!S35&gt;0),IF($H$5&lt;('Tariff Jul 2021'!R35+'Tariff Jul 2021'!P35),0,IF($H$5&lt;=('Tariff Jul 2021'!T35+'Tariff Jul 2021'!R35+'Tariff Jul 2021'!P35),(($H$5-('Tariff Jul 2021'!R35+'Tariff Jul 2021'!P35))*'Tariff Jul 2021'!S35/100),('Tariff Jul 2021'!T35*'Tariff Jul 2021'!S35/100))),0)</f>
        <v>0</v>
      </c>
      <c r="G47" s="208">
        <f>IF('Tariff Jul 2021'!T35&gt;0,IF(($H$5&lt;'Tariff Jul 2021'!T35),(0),($H$5-'Tariff Jul 2021'!T35)*'Tariff Jul 2021'!U35/100),IF(AND('Tariff Jul 2021'!R35&gt;0,'Tariff Jul 2021'!T35=""),IF(($H$5&lt;'Tariff Jul 2021'!R35),(0),($H$5-'Tariff Jul 2021'!R35)*'Tariff Jul 2021'!S35/100),IF(AND('Tariff Jul 2021'!P35&gt;0,'Tariff Jul 2021'!R35=""),IF(($H$5&lt;'Tariff Jul 2021'!P35),(0),($H$5-'Tariff Jul 2021'!P35)*'Tariff Jul 2021'!Q35/100),0)))</f>
        <v>0</v>
      </c>
      <c r="H47" s="208">
        <f>($I$5)*'Tariff Jul 2021'!AE35/100</f>
        <v>25.839028363636359</v>
      </c>
      <c r="I47" s="208">
        <v>0</v>
      </c>
      <c r="J47" s="208">
        <f t="shared" si="27"/>
        <v>325.42589527272719</v>
      </c>
      <c r="K47" s="283">
        <f t="shared" si="30"/>
        <v>1004.216308363636</v>
      </c>
      <c r="L47" s="283">
        <f t="shared" si="28"/>
        <v>1301.7035810909088</v>
      </c>
      <c r="M47" s="191">
        <f t="shared" si="29"/>
        <v>1431.8739391999998</v>
      </c>
      <c r="N47" s="187">
        <f>'Tariff Jul 2021'!AZ35</f>
        <v>0</v>
      </c>
      <c r="O47" s="187">
        <f>'Tariff Jul 2021'!BA35</f>
        <v>0</v>
      </c>
      <c r="P47" s="187">
        <f>'Tariff Jul 2021'!BB35</f>
        <v>0</v>
      </c>
      <c r="Q47" s="187">
        <f>'Tariff Jul 2021'!BC35</f>
        <v>0</v>
      </c>
      <c r="R47" s="192">
        <f>($F$6*'Tariff Jul 2021'!AT35/100)*4</f>
        <v>339.39359999999999</v>
      </c>
      <c r="S47" s="193" t="str">
        <f t="shared" si="20"/>
        <v>No discount</v>
      </c>
      <c r="T47" s="193" t="str">
        <f t="shared" si="21"/>
        <v>Inclusive</v>
      </c>
      <c r="U47" s="304">
        <f t="shared" si="22"/>
        <v>1301.7035810909088</v>
      </c>
      <c r="V47" s="283">
        <f t="shared" si="23"/>
        <v>1301.7035810909088</v>
      </c>
      <c r="W47" s="283">
        <f t="shared" si="24"/>
        <v>962.30998109090876</v>
      </c>
      <c r="X47" s="283">
        <f t="shared" si="25"/>
        <v>962.30998109090876</v>
      </c>
      <c r="Y47" s="285">
        <f t="shared" si="26"/>
        <v>1058.5409791999998</v>
      </c>
      <c r="Z47" s="285">
        <f t="shared" si="26"/>
        <v>1058.5409791999998</v>
      </c>
      <c r="AA47" s="194">
        <f>'Tariff Jul 2021'!AT34</f>
        <v>10</v>
      </c>
      <c r="AB47" s="195">
        <f>'Tariff Jul 2021'!BL35</f>
        <v>0</v>
      </c>
      <c r="AC47" s="195" t="str">
        <f>'Tariff Jul 2021'!BM35</f>
        <v>n</v>
      </c>
      <c r="AD47" s="196">
        <f>'Tariff Jul 2021'!G35</f>
        <v>42916</v>
      </c>
      <c r="AE47" s="340"/>
      <c r="AF47" s="340"/>
      <c r="AG47" s="340"/>
      <c r="AH47" s="340"/>
      <c r="AI47" s="340"/>
      <c r="AJ47" s="340"/>
      <c r="AK47" s="340"/>
      <c r="AL47" s="340"/>
      <c r="AM47" s="340"/>
      <c r="AN47" s="340"/>
      <c r="AO47" s="340"/>
      <c r="AP47" s="340"/>
      <c r="AQ47" s="340"/>
      <c r="AR47" s="340"/>
      <c r="AS47" s="340"/>
      <c r="AT47" s="340"/>
      <c r="AU47" s="340"/>
      <c r="AV47" s="340"/>
    </row>
    <row r="48" spans="1:48" s="187" customFormat="1" x14ac:dyDescent="0.15">
      <c r="A48" s="186" t="str">
        <f>'Tariff Jul 2021'!K36</f>
        <v>Powerdirect</v>
      </c>
      <c r="B48" s="187" t="str">
        <f>'Tariff Jul 2021'!L36</f>
        <v>Rate Saver</v>
      </c>
      <c r="C48" s="208">
        <f>IF('Tariff Jul 2021'!BP36=0,91*'Tariff Jul 2021'!M36/100,(91*'Tariff Jul 2021'!M36/100)+'Tariff Jul 2021'!BP36/4)</f>
        <v>60.498454545454535</v>
      </c>
      <c r="D48" s="208">
        <f>IF('Tariff Jul 2021'!O36="",$H$5*'Tariff Jul 2021'!N36/100,IF($H$5&gt;='Tariff Jul 2021'!P36,('Tariff Jul 2021'!P36*'Tariff Jul 2021'!N36/100),($H$5*'Tariff Jul 2021'!N36/100)))</f>
        <v>211.12693527272725</v>
      </c>
      <c r="E48" s="208">
        <f>IF(AND('Tariff Jul 2021'!P36&gt;0,'Tariff Jul 2021'!R36&gt;0),IF($H$5&lt;'Tariff Jul 2021'!P36,0,IF($H$5&lt;=('Tariff Jul 2021'!R36+'Tariff Jul 2021'!P36),(($H$5-'Tariff Jul 2021'!P36)*'Tariff Jul 2021'!Q36/100),(('Tariff Jul 2021'!R36)*'Tariff Jul 2021'!Q36/100))),0)</f>
        <v>0</v>
      </c>
      <c r="F48" s="208">
        <f>IF(AND('Tariff Jul 2021'!Q36&gt;0,'Tariff Jul 2021'!S36&gt;0),IF($H$5&lt;('Tariff Jul 2021'!R36+'Tariff Jul 2021'!P36),0,IF($H$5&lt;=('Tariff Jul 2021'!T36+'Tariff Jul 2021'!R36+'Tariff Jul 2021'!P36),(($H$5-('Tariff Jul 2021'!R36+'Tariff Jul 2021'!P36))*'Tariff Jul 2021'!S36/100),('Tariff Jul 2021'!T36*'Tariff Jul 2021'!S36/100))),0)</f>
        <v>0</v>
      </c>
      <c r="G48" s="208">
        <f>IF('Tariff Jul 2021'!T36&gt;0,IF(($H$5&lt;'Tariff Jul 2021'!T36),(0),($H$5-'Tariff Jul 2021'!T36)*'Tariff Jul 2021'!U36/100),IF(AND('Tariff Jul 2021'!R36&gt;0,'Tariff Jul 2021'!T36=""),IF(($H$5&lt;'Tariff Jul 2021'!R36),(0),($H$5-'Tariff Jul 2021'!R36)*'Tariff Jul 2021'!S36/100),IF(AND('Tariff Jul 2021'!P36&gt;0,'Tariff Jul 2021'!R36=""),IF(($H$5&lt;'Tariff Jul 2021'!P36),(0),($H$5-'Tariff Jul 2021'!P36)*'Tariff Jul 2021'!Q36/100),0)))</f>
        <v>0</v>
      </c>
      <c r="H48" s="208">
        <f>($I$5)*'Tariff Jul 2021'!AE36/100</f>
        <v>25.368342545454542</v>
      </c>
      <c r="I48" s="208">
        <v>0</v>
      </c>
      <c r="J48" s="208">
        <f t="shared" si="27"/>
        <v>296.99373236363635</v>
      </c>
      <c r="K48" s="283">
        <f t="shared" si="30"/>
        <v>945.98111127272728</v>
      </c>
      <c r="L48" s="283">
        <f t="shared" si="28"/>
        <v>1187.9749294545454</v>
      </c>
      <c r="M48" s="191">
        <f t="shared" si="29"/>
        <v>1306.7724224000001</v>
      </c>
      <c r="N48" s="187">
        <f>'Tariff Jul 2021'!AZ36</f>
        <v>0</v>
      </c>
      <c r="O48" s="187">
        <f>'Tariff Jul 2021'!BA36</f>
        <v>0</v>
      </c>
      <c r="P48" s="187">
        <f>'Tariff Jul 2021'!BB36</f>
        <v>0</v>
      </c>
      <c r="Q48" s="187">
        <f>'Tariff Jul 2021'!BC36</f>
        <v>0</v>
      </c>
      <c r="R48" s="192">
        <f>($F$6*'Tariff Jul 2021'!AT36/100)*4</f>
        <v>208.85759999999999</v>
      </c>
      <c r="S48" s="193" t="str">
        <f t="shared" si="20"/>
        <v>No discount</v>
      </c>
      <c r="T48" s="193" t="str">
        <f t="shared" si="21"/>
        <v>Exclusive</v>
      </c>
      <c r="U48" s="304">
        <f t="shared" si="22"/>
        <v>1187.9749294545454</v>
      </c>
      <c r="V48" s="283">
        <f t="shared" si="23"/>
        <v>1187.9749294545454</v>
      </c>
      <c r="W48" s="283">
        <f t="shared" si="24"/>
        <v>979.11732945454537</v>
      </c>
      <c r="X48" s="283">
        <f t="shared" si="25"/>
        <v>979.11732945454537</v>
      </c>
      <c r="Y48" s="285">
        <f t="shared" si="26"/>
        <v>1077.0290623999999</v>
      </c>
      <c r="Z48" s="285">
        <f t="shared" si="26"/>
        <v>1077.0290623999999</v>
      </c>
      <c r="AA48" s="194">
        <f>'Tariff Jul 2021'!AT35</f>
        <v>13</v>
      </c>
      <c r="AB48" s="195">
        <f>'Tariff Jul 2021'!BL36</f>
        <v>0</v>
      </c>
      <c r="AC48" s="195" t="str">
        <f>'Tariff Jul 2021'!BM36</f>
        <v>n</v>
      </c>
      <c r="AD48" s="196">
        <f>'Tariff Jul 2021'!G36</f>
        <v>42922</v>
      </c>
      <c r="AE48" s="340"/>
      <c r="AF48" s="340"/>
      <c r="AG48" s="340"/>
      <c r="AH48" s="340"/>
      <c r="AI48" s="340"/>
      <c r="AJ48" s="340"/>
      <c r="AK48" s="340"/>
      <c r="AL48" s="340"/>
      <c r="AM48" s="340"/>
      <c r="AN48" s="340"/>
      <c r="AO48" s="340"/>
      <c r="AP48" s="340"/>
      <c r="AQ48" s="340"/>
      <c r="AR48" s="340"/>
      <c r="AS48" s="340"/>
      <c r="AT48" s="340"/>
      <c r="AU48" s="340"/>
      <c r="AV48" s="340"/>
    </row>
    <row r="49" spans="1:48" s="187" customFormat="1" x14ac:dyDescent="0.15">
      <c r="A49" s="186" t="str">
        <f>'Tariff Jul 2021'!K37</f>
        <v>Red Energy</v>
      </c>
      <c r="B49" s="187" t="str">
        <f>'Tariff Jul 2021'!L37</f>
        <v>Living Energy Saver</v>
      </c>
      <c r="C49" s="208">
        <f>IF('Tariff Jul 2021'!BP37=0,91*'Tariff Jul 2021'!M37/100,(91*'Tariff Jul 2021'!M37/100)+'Tariff Jul 2021'!BP37/4)</f>
        <v>74.62</v>
      </c>
      <c r="D49" s="208">
        <f>IF('Tariff Jul 2021'!O37="",$H$5*'Tariff Jul 2021'!N37/100,IF($H$5&gt;='Tariff Jul 2021'!P37,('Tariff Jul 2021'!P37*'Tariff Jul 2021'!N37/100),($H$5*'Tariff Jul 2021'!N37/100)))</f>
        <v>222.09878399999994</v>
      </c>
      <c r="E49" s="208">
        <f>IF(AND('Tariff Jul 2021'!P37&gt;0,'Tariff Jul 2021'!R37&gt;0),IF($H$5&lt;'Tariff Jul 2021'!P37,0,IF($H$5&lt;=('Tariff Jul 2021'!R37+'Tariff Jul 2021'!P37),(($H$5-'Tariff Jul 2021'!P37)*'Tariff Jul 2021'!Q37/100),(('Tariff Jul 2021'!R37)*'Tariff Jul 2021'!Q37/100))),0)</f>
        <v>0</v>
      </c>
      <c r="F49" s="208">
        <f>IF(AND('Tariff Jul 2021'!Q37&gt;0,'Tariff Jul 2021'!S37&gt;0),IF($H$5&lt;('Tariff Jul 2021'!R37+'Tariff Jul 2021'!P37),0,IF($H$5&lt;=('Tariff Jul 2021'!T37+'Tariff Jul 2021'!R37+'Tariff Jul 2021'!P37),(($H$5-('Tariff Jul 2021'!R37+'Tariff Jul 2021'!P37))*'Tariff Jul 2021'!S37/100),('Tariff Jul 2021'!T37*'Tariff Jul 2021'!S37/100))),0)</f>
        <v>0</v>
      </c>
      <c r="G49" s="208">
        <f>IF('Tariff Jul 2021'!T37&gt;0,IF(($H$5&lt;'Tariff Jul 2021'!T37),(0),($H$5-'Tariff Jul 2021'!T37)*'Tariff Jul 2021'!U37/100),IF(AND('Tariff Jul 2021'!R37&gt;0,'Tariff Jul 2021'!T37=""),IF(($H$5&lt;'Tariff Jul 2021'!R37),(0),($H$5-'Tariff Jul 2021'!R37)*'Tariff Jul 2021'!S37/100),IF(AND('Tariff Jul 2021'!P37&gt;0,'Tariff Jul 2021'!R37=""),IF(($H$5&lt;'Tariff Jul 2021'!P37),(0),($H$5-'Tariff Jul 2021'!P37)*'Tariff Jul 2021'!Q37/100),0)))</f>
        <v>0</v>
      </c>
      <c r="H49" s="208">
        <f>($I$5)*'Tariff Jul 2021'!AE37/100</f>
        <v>27.705541090909087</v>
      </c>
      <c r="I49" s="208">
        <v>0</v>
      </c>
      <c r="J49" s="208">
        <f t="shared" si="27"/>
        <v>324.42432509090901</v>
      </c>
      <c r="K49" s="283">
        <f t="shared" si="30"/>
        <v>999.21730036363601</v>
      </c>
      <c r="L49" s="283">
        <f t="shared" si="28"/>
        <v>1297.697300363636</v>
      </c>
      <c r="M49" s="191">
        <f t="shared" si="29"/>
        <v>1427.4670303999997</v>
      </c>
      <c r="N49" s="187">
        <f>'Tariff Jul 2021'!AZ37</f>
        <v>0</v>
      </c>
      <c r="O49" s="187">
        <f>'Tariff Jul 2021'!BA37</f>
        <v>0</v>
      </c>
      <c r="P49" s="187">
        <f>'Tariff Jul 2021'!BB37</f>
        <v>0</v>
      </c>
      <c r="Q49" s="187">
        <f>'Tariff Jul 2021'!BC37</f>
        <v>0</v>
      </c>
      <c r="R49" s="192">
        <f>($F$6*'Tariff Jul 2021'!AT37/100)*4</f>
        <v>78.321600000000004</v>
      </c>
      <c r="S49" s="193" t="str">
        <f t="shared" si="20"/>
        <v>No discount</v>
      </c>
      <c r="T49" s="193" t="str">
        <f t="shared" si="21"/>
        <v>Inclusive</v>
      </c>
      <c r="U49" s="304">
        <f t="shared" si="22"/>
        <v>1297.697300363636</v>
      </c>
      <c r="V49" s="283">
        <f t="shared" si="23"/>
        <v>1297.697300363636</v>
      </c>
      <c r="W49" s="283">
        <f t="shared" si="24"/>
        <v>1219.375700363636</v>
      </c>
      <c r="X49" s="283">
        <f t="shared" si="25"/>
        <v>1219.375700363636</v>
      </c>
      <c r="Y49" s="285">
        <f t="shared" si="26"/>
        <v>1341.3132703999997</v>
      </c>
      <c r="Z49" s="285">
        <f t="shared" si="26"/>
        <v>1341.3132703999997</v>
      </c>
      <c r="AA49" s="194">
        <f>'Tariff Jul 2021'!AT36</f>
        <v>8</v>
      </c>
      <c r="AB49" s="195">
        <f>'Tariff Jul 2021'!BL37</f>
        <v>0</v>
      </c>
      <c r="AC49" s="195" t="str">
        <f>'Tariff Jul 2021'!BM37</f>
        <v>n</v>
      </c>
      <c r="AD49" s="196">
        <f>'Tariff Jul 2021'!G37</f>
        <v>42916</v>
      </c>
      <c r="AE49" s="340"/>
      <c r="AF49" s="340"/>
      <c r="AG49" s="340"/>
      <c r="AH49" s="340"/>
      <c r="AI49" s="340"/>
      <c r="AJ49" s="340"/>
      <c r="AK49" s="340"/>
      <c r="AL49" s="340"/>
      <c r="AM49" s="340"/>
      <c r="AN49" s="340"/>
      <c r="AO49" s="340"/>
      <c r="AP49" s="340"/>
      <c r="AQ49" s="340"/>
      <c r="AR49" s="340"/>
      <c r="AS49" s="340"/>
      <c r="AT49" s="340"/>
      <c r="AU49" s="340"/>
      <c r="AV49" s="340"/>
    </row>
    <row r="50" spans="1:48" s="187" customFormat="1" x14ac:dyDescent="0.15">
      <c r="A50" s="186" t="str">
        <f>'Tariff Jul 2021'!K38</f>
        <v>Energy Locals</v>
      </c>
      <c r="B50" s="187" t="str">
        <f>'Tariff Jul 2021'!L38</f>
        <v>Local Member</v>
      </c>
      <c r="C50" s="208">
        <f>IF('Tariff Jul 2021'!BP38=0,91*'Tariff Jul 2021'!M38/100,(91*'Tariff Jul 2021'!M38/100)+'Tariff Jul 2021'!BP38/4)</f>
        <v>84</v>
      </c>
      <c r="D50" s="208">
        <f>IF('Tariff Jul 2021'!O38="",$H$5*'Tariff Jul 2021'!N38/100,IF($H$5&gt;='Tariff Jul 2021'!P38,('Tariff Jul 2021'!P38*'Tariff Jul 2021'!N38/100),($H$5*'Tariff Jul 2021'!N38/100)))</f>
        <v>175.35481309090909</v>
      </c>
      <c r="E50" s="208">
        <f>IF(AND('Tariff Jul 2021'!P38&gt;0,'Tariff Jul 2021'!R38&gt;0),IF($H$5&lt;'Tariff Jul 2021'!P38,0,IF($H$5&lt;=('Tariff Jul 2021'!R38+'Tariff Jul 2021'!P38),(($H$5-'Tariff Jul 2021'!P38)*'Tariff Jul 2021'!Q38/100),(('Tariff Jul 2021'!R38)*'Tariff Jul 2021'!Q38/100))),0)</f>
        <v>0</v>
      </c>
      <c r="F50" s="208">
        <f>IF(AND('Tariff Jul 2021'!Q38&gt;0,'Tariff Jul 2021'!S38&gt;0),IF($H$5&lt;('Tariff Jul 2021'!R38+'Tariff Jul 2021'!P38),0,IF($H$5&lt;=('Tariff Jul 2021'!T38+'Tariff Jul 2021'!R38+'Tariff Jul 2021'!P38),(($H$5-('Tariff Jul 2021'!R38+'Tariff Jul 2021'!P38))*'Tariff Jul 2021'!S38/100),('Tariff Jul 2021'!T38*'Tariff Jul 2021'!S38/100))),0)</f>
        <v>0</v>
      </c>
      <c r="G50" s="208">
        <f>IF('Tariff Jul 2021'!T38&gt;0,IF(($H$5&lt;'Tariff Jul 2021'!T38),(0),($H$5-'Tariff Jul 2021'!T38)*'Tariff Jul 2021'!U38/100),IF(AND('Tariff Jul 2021'!R38&gt;0,'Tariff Jul 2021'!T38=""),IF(($H$5&lt;'Tariff Jul 2021'!R38),(0),($H$5-'Tariff Jul 2021'!R38)*'Tariff Jul 2021'!S38/100),IF(AND('Tariff Jul 2021'!P38&gt;0,'Tariff Jul 2021'!R38=""),IF(($H$5&lt;'Tariff Jul 2021'!P38),(0),($H$5-'Tariff Jul 2021'!P38)*'Tariff Jul 2021'!Q38/100),0)))</f>
        <v>0</v>
      </c>
      <c r="H50" s="208">
        <f>($I$5)*'Tariff Jul 2021'!AE38/100</f>
        <v>27.591927272727265</v>
      </c>
      <c r="I50" s="208">
        <v>0</v>
      </c>
      <c r="J50" s="208">
        <f t="shared" si="27"/>
        <v>286.94674036363637</v>
      </c>
      <c r="K50" s="283">
        <f t="shared" si="30"/>
        <v>811.78696145454546</v>
      </c>
      <c r="L50" s="283">
        <f t="shared" si="28"/>
        <v>1147.7869614545455</v>
      </c>
      <c r="M50" s="191">
        <f t="shared" si="29"/>
        <v>1262.5656576000001</v>
      </c>
      <c r="N50" s="187">
        <f>'Tariff Jul 2021'!AZ38</f>
        <v>0</v>
      </c>
      <c r="O50" s="187">
        <f>'Tariff Jul 2021'!BA38</f>
        <v>0</v>
      </c>
      <c r="P50" s="187">
        <f>'Tariff Jul 2021'!BB38</f>
        <v>0</v>
      </c>
      <c r="Q50" s="187">
        <f>'Tariff Jul 2021'!BC38</f>
        <v>0</v>
      </c>
      <c r="R50" s="192">
        <f>($F$6*'Tariff Jul 2021'!AT38/100)*4</f>
        <v>221.91119999999998</v>
      </c>
      <c r="S50" s="193" t="str">
        <f t="shared" si="20"/>
        <v>No discount</v>
      </c>
      <c r="T50" s="193" t="str">
        <f t="shared" si="21"/>
        <v>Exclusive</v>
      </c>
      <c r="U50" s="304">
        <f t="shared" si="22"/>
        <v>1147.7869614545455</v>
      </c>
      <c r="V50" s="283">
        <f t="shared" si="23"/>
        <v>1147.7869614545455</v>
      </c>
      <c r="W50" s="283">
        <f t="shared" si="24"/>
        <v>925.87576145454545</v>
      </c>
      <c r="X50" s="283">
        <f t="shared" si="25"/>
        <v>925.87576145454545</v>
      </c>
      <c r="Y50" s="285">
        <f t="shared" si="26"/>
        <v>1018.4633376</v>
      </c>
      <c r="Z50" s="285">
        <f t="shared" si="26"/>
        <v>1018.4633376</v>
      </c>
      <c r="AA50" s="194">
        <f>'Tariff Jul 2021'!AT37</f>
        <v>3</v>
      </c>
      <c r="AB50" s="195">
        <f>'Tariff Jul 2021'!BL38</f>
        <v>0</v>
      </c>
      <c r="AC50" s="195" t="str">
        <f>'Tariff Jul 2021'!BM38</f>
        <v>n</v>
      </c>
      <c r="AD50" s="196">
        <f>'Tariff Jul 2021'!G38</f>
        <v>42658</v>
      </c>
      <c r="AE50" s="340"/>
      <c r="AF50" s="340"/>
      <c r="AG50" s="340"/>
      <c r="AH50" s="340"/>
      <c r="AI50" s="340"/>
      <c r="AJ50" s="340"/>
      <c r="AK50" s="340"/>
      <c r="AL50" s="340"/>
      <c r="AM50" s="340"/>
      <c r="AN50" s="340"/>
      <c r="AO50" s="340"/>
      <c r="AP50" s="340"/>
      <c r="AQ50" s="340"/>
      <c r="AR50" s="340"/>
      <c r="AS50" s="340"/>
      <c r="AT50" s="340"/>
      <c r="AU50" s="340"/>
      <c r="AV50" s="340"/>
    </row>
    <row r="51" spans="1:48" s="187" customFormat="1" x14ac:dyDescent="0.15">
      <c r="A51" s="186" t="str">
        <f>'Tariff Jul 2021'!K39</f>
        <v>Simply Energy</v>
      </c>
      <c r="B51" s="187" t="str">
        <f>'Tariff Jul 2021'!L39</f>
        <v>Energy Saver</v>
      </c>
      <c r="C51" s="208">
        <f>IF('Tariff Jul 2021'!BP39=0,91*'Tariff Jul 2021'!M39/100,(91*'Tariff Jul 2021'!M39/100)+'Tariff Jul 2021'!BP39/4)</f>
        <v>88.27</v>
      </c>
      <c r="D51" s="208">
        <f>IF('Tariff Jul 2021'!O39="",$H$5*'Tariff Jul 2021'!N39/100,IF($H$5&gt;='Tariff Jul 2021'!P39,('Tariff Jul 2021'!P39*'Tariff Jul 2021'!N39/100),($H$5*'Tariff Jul 2021'!N39/100)))</f>
        <v>215.21703272727268</v>
      </c>
      <c r="E51" s="208">
        <f>IF(AND('Tariff Jul 2021'!P39&gt;0,'Tariff Jul 2021'!R39&gt;0),IF($H$5&lt;'Tariff Jul 2021'!P39,0,IF($H$5&lt;=('Tariff Jul 2021'!R39+'Tariff Jul 2021'!P39),(($H$5-'Tariff Jul 2021'!P39)*'Tariff Jul 2021'!Q39/100),(('Tariff Jul 2021'!R39)*'Tariff Jul 2021'!Q39/100))),0)</f>
        <v>0</v>
      </c>
      <c r="F51" s="208">
        <f>IF(AND('Tariff Jul 2021'!Q39&gt;0,'Tariff Jul 2021'!S39&gt;0),IF($H$5&lt;('Tariff Jul 2021'!R39+'Tariff Jul 2021'!P39),0,IF($H$5&lt;=('Tariff Jul 2021'!T39+'Tariff Jul 2021'!R39+'Tariff Jul 2021'!P39),(($H$5-('Tariff Jul 2021'!R39+'Tariff Jul 2021'!P39))*'Tariff Jul 2021'!S39/100),('Tariff Jul 2021'!T39*'Tariff Jul 2021'!S39/100))),0)</f>
        <v>0</v>
      </c>
      <c r="G51" s="208">
        <f>IF('Tariff Jul 2021'!T39&gt;0,IF(($H$5&lt;'Tariff Jul 2021'!T39),(0),($H$5-'Tariff Jul 2021'!T39)*'Tariff Jul 2021'!U39/100),IF(AND('Tariff Jul 2021'!R39&gt;0,'Tariff Jul 2021'!T39=""),IF(($H$5&lt;'Tariff Jul 2021'!R39),(0),($H$5-'Tariff Jul 2021'!R39)*'Tariff Jul 2021'!S39/100),IF(AND('Tariff Jul 2021'!P39&gt;0,'Tariff Jul 2021'!R39=""),IF(($H$5&lt;'Tariff Jul 2021'!P39),(0),($H$5-'Tariff Jul 2021'!P39)*'Tariff Jul 2021'!Q39/100),0)))</f>
        <v>0</v>
      </c>
      <c r="H51" s="208">
        <f>($I$5)*'Tariff Jul 2021'!AE39/100</f>
        <v>26.050025454545448</v>
      </c>
      <c r="I51" s="208">
        <v>0</v>
      </c>
      <c r="J51" s="208">
        <f t="shared" si="27"/>
        <v>329.53705818181811</v>
      </c>
      <c r="K51" s="283">
        <f t="shared" si="30"/>
        <v>965.06823272727252</v>
      </c>
      <c r="L51" s="283">
        <f t="shared" si="28"/>
        <v>1318.1482327272724</v>
      </c>
      <c r="M51" s="191">
        <f t="shared" si="29"/>
        <v>1449.9630559999998</v>
      </c>
      <c r="N51" s="187">
        <f>'Tariff Jul 2021'!AZ39</f>
        <v>10</v>
      </c>
      <c r="O51" s="187">
        <f>'Tariff Jul 2021'!BA39</f>
        <v>0</v>
      </c>
      <c r="P51" s="187">
        <f>'Tariff Jul 2021'!BB39</f>
        <v>0</v>
      </c>
      <c r="Q51" s="187">
        <f>'Tariff Jul 2021'!BC39</f>
        <v>0</v>
      </c>
      <c r="R51" s="192">
        <f>($F$6*'Tariff Jul 2021'!AT39/100)*4</f>
        <v>117.4824</v>
      </c>
      <c r="S51" s="193" t="str">
        <f t="shared" si="20"/>
        <v>Guaranteed off bill</v>
      </c>
      <c r="T51" s="193" t="str">
        <f t="shared" si="21"/>
        <v>Exclusive</v>
      </c>
      <c r="U51" s="304">
        <f t="shared" si="22"/>
        <v>1186.3334094545453</v>
      </c>
      <c r="V51" s="283">
        <f t="shared" si="23"/>
        <v>1186.3334094545453</v>
      </c>
      <c r="W51" s="283">
        <f t="shared" si="24"/>
        <v>1068.8510094545452</v>
      </c>
      <c r="X51" s="283">
        <f t="shared" si="25"/>
        <v>1068.8510094545452</v>
      </c>
      <c r="Y51" s="285">
        <f t="shared" si="26"/>
        <v>1175.7361103999999</v>
      </c>
      <c r="Z51" s="285">
        <f t="shared" si="26"/>
        <v>1175.7361103999999</v>
      </c>
      <c r="AA51" s="194">
        <f>'Tariff Jul 2021'!AT38</f>
        <v>8.5</v>
      </c>
      <c r="AB51" s="195">
        <f>'Tariff Jul 2021'!BL39</f>
        <v>0</v>
      </c>
      <c r="AC51" s="195" t="str">
        <f>'Tariff Jul 2021'!BM39</f>
        <v>n</v>
      </c>
      <c r="AD51" s="196">
        <f>'Tariff Jul 2021'!G39</f>
        <v>42916</v>
      </c>
      <c r="AE51" s="340"/>
      <c r="AF51" s="340"/>
      <c r="AG51" s="340"/>
      <c r="AH51" s="340"/>
      <c r="AI51" s="340"/>
      <c r="AJ51" s="340"/>
      <c r="AK51" s="340"/>
      <c r="AL51" s="340"/>
      <c r="AM51" s="340"/>
      <c r="AN51" s="340"/>
      <c r="AO51" s="340"/>
      <c r="AP51" s="340"/>
      <c r="AQ51" s="340"/>
      <c r="AR51" s="340"/>
      <c r="AS51" s="340"/>
      <c r="AT51" s="340"/>
      <c r="AU51" s="340"/>
      <c r="AV51" s="340"/>
    </row>
    <row r="52" spans="1:48" s="187" customFormat="1" x14ac:dyDescent="0.15">
      <c r="A52" s="186" t="str">
        <f>'Tariff Jul 2021'!K40</f>
        <v>Powershop</v>
      </c>
      <c r="B52" s="187" t="str">
        <f>'Tariff Jul 2021'!L40</f>
        <v>Carbon neutral</v>
      </c>
      <c r="C52" s="208">
        <f>IF('Tariff Jul 2021'!BP40=0,91*'Tariff Jul 2021'!M40/100,(91*'Tariff Jul 2021'!M40/100)+'Tariff Jul 2021'!BP40/4)</f>
        <v>86.449999999999989</v>
      </c>
      <c r="D52" s="208">
        <f>IF('Tariff Jul 2021'!O40="",$H$5*'Tariff Jul 2021'!N40/100,IF($H$5&gt;='Tariff Jul 2021'!P40,('Tariff Jul 2021'!P40*'Tariff Jul 2021'!N40/100),($H$5*'Tariff Jul 2021'!N40/100)))</f>
        <v>174.96527999999995</v>
      </c>
      <c r="E52" s="208">
        <f>IF(AND('Tariff Jul 2021'!P40&gt;0,'Tariff Jul 2021'!R40&gt;0),IF($H$5&lt;'Tariff Jul 2021'!P40,0,IF($H$5&lt;=('Tariff Jul 2021'!R40+'Tariff Jul 2021'!P40),(($H$5-'Tariff Jul 2021'!P40)*'Tariff Jul 2021'!Q40/100),(('Tariff Jul 2021'!R40)*'Tariff Jul 2021'!Q40/100))),0)</f>
        <v>0</v>
      </c>
      <c r="F52" s="208">
        <f>IF(AND('Tariff Jul 2021'!Q40&gt;0,'Tariff Jul 2021'!S40&gt;0),IF($H$5&lt;('Tariff Jul 2021'!R40+'Tariff Jul 2021'!P40),0,IF($H$5&lt;=('Tariff Jul 2021'!T40+'Tariff Jul 2021'!R40+'Tariff Jul 2021'!P40),(($H$5-('Tariff Jul 2021'!R40+'Tariff Jul 2021'!P40))*'Tariff Jul 2021'!S40/100),('Tariff Jul 2021'!T40*'Tariff Jul 2021'!S40/100))),0)</f>
        <v>0</v>
      </c>
      <c r="G52" s="208">
        <f>IF('Tariff Jul 2021'!T40&gt;0,IF(($H$5&lt;'Tariff Jul 2021'!T40),(0),($H$5-'Tariff Jul 2021'!T40)*'Tariff Jul 2021'!U40/100),IF(AND('Tariff Jul 2021'!R40&gt;0,'Tariff Jul 2021'!T40=""),IF(($H$5&lt;'Tariff Jul 2021'!R40),(0),($H$5-'Tariff Jul 2021'!R40)*'Tariff Jul 2021'!S40/100),IF(AND('Tariff Jul 2021'!P40&gt;0,'Tariff Jul 2021'!R40=""),IF(($H$5&lt;'Tariff Jul 2021'!P40),(0),($H$5-'Tariff Jul 2021'!P40)*'Tariff Jul 2021'!Q40/100),0)))</f>
        <v>0</v>
      </c>
      <c r="H52" s="208">
        <f>($I$5)*'Tariff Jul 2021'!AE40/100</f>
        <v>27.673079999999995</v>
      </c>
      <c r="I52" s="208">
        <v>0</v>
      </c>
      <c r="J52" s="208">
        <f t="shared" si="27"/>
        <v>289.08835999999991</v>
      </c>
      <c r="K52" s="283">
        <f t="shared" si="30"/>
        <v>810.55343999999968</v>
      </c>
      <c r="L52" s="283">
        <f t="shared" si="28"/>
        <v>1156.3534399999996</v>
      </c>
      <c r="M52" s="191">
        <f t="shared" si="29"/>
        <v>1271.9887839999997</v>
      </c>
      <c r="N52" s="187">
        <f>'Tariff Jul 2021'!AZ40</f>
        <v>0</v>
      </c>
      <c r="O52" s="187">
        <f>'Tariff Jul 2021'!BA40</f>
        <v>0</v>
      </c>
      <c r="P52" s="187">
        <f>'Tariff Jul 2021'!BB40</f>
        <v>0</v>
      </c>
      <c r="Q52" s="187">
        <f>'Tariff Jul 2021'!BC40</f>
        <v>0</v>
      </c>
      <c r="R52" s="192">
        <f>($F$6*'Tariff Jul 2021'!AT40/100)*4</f>
        <v>78.321600000000004</v>
      </c>
      <c r="S52" s="193" t="str">
        <f t="shared" si="20"/>
        <v>No discount</v>
      </c>
      <c r="T52" s="193" t="str">
        <f t="shared" si="21"/>
        <v>Inclusive</v>
      </c>
      <c r="U52" s="304">
        <f t="shared" si="22"/>
        <v>1156.3534399999996</v>
      </c>
      <c r="V52" s="283">
        <f t="shared" si="23"/>
        <v>1156.3534399999996</v>
      </c>
      <c r="W52" s="283">
        <f t="shared" si="24"/>
        <v>1078.0318399999996</v>
      </c>
      <c r="X52" s="283">
        <f t="shared" si="25"/>
        <v>1078.0318399999996</v>
      </c>
      <c r="Y52" s="285">
        <f t="shared" si="26"/>
        <v>1185.8350239999997</v>
      </c>
      <c r="Z52" s="285">
        <f t="shared" si="26"/>
        <v>1185.8350239999997</v>
      </c>
      <c r="AA52" s="194">
        <f>'Tariff Jul 2021'!AT39</f>
        <v>4.5</v>
      </c>
      <c r="AB52" s="195">
        <f>'Tariff Jul 2021'!BL40</f>
        <v>0</v>
      </c>
      <c r="AC52" s="195" t="str">
        <f>'Tariff Jul 2021'!BM40</f>
        <v>n</v>
      </c>
      <c r="AD52" s="196">
        <f>'Tariff Jul 2021'!G40</f>
        <v>42900</v>
      </c>
      <c r="AE52" s="340"/>
      <c r="AF52" s="340"/>
      <c r="AG52" s="340"/>
      <c r="AH52" s="340"/>
      <c r="AI52" s="340"/>
      <c r="AJ52" s="340"/>
      <c r="AK52" s="340"/>
      <c r="AL52" s="340"/>
      <c r="AM52" s="340"/>
      <c r="AN52" s="340"/>
      <c r="AO52" s="340"/>
      <c r="AP52" s="340"/>
      <c r="AQ52" s="340"/>
      <c r="AR52" s="340"/>
      <c r="AS52" s="340"/>
      <c r="AT52" s="340"/>
      <c r="AU52" s="340"/>
      <c r="AV52" s="340"/>
    </row>
    <row r="53" spans="1:48" s="187" customFormat="1" x14ac:dyDescent="0.15">
      <c r="A53" s="186" t="str">
        <f>'Tariff Jul 2021'!K41</f>
        <v>Amber Electric</v>
      </c>
      <c r="B53" s="187" t="str">
        <f>'Tariff Jul 2021'!L41</f>
        <v>Amber 15</v>
      </c>
      <c r="C53" s="208">
        <f>IF('Tariff Jul 2021'!BP41=0,91*'Tariff Jul 2021'!M41/100,(91*'Tariff Jul 2021'!M41/100)+'Tariff Jul 2021'!BP41/4)</f>
        <v>124.25522727272725</v>
      </c>
      <c r="D53" s="208">
        <f>IF('Tariff Jul 2021'!O41="",$H$5*'Tariff Jul 2021'!N41/100,IF($H$5&gt;='Tariff Jul 2021'!P41,('Tariff Jul 2021'!P41*'Tariff Jul 2021'!N41/100),($H$5*'Tariff Jul 2021'!N41/100)))</f>
        <v>189.63769309090904</v>
      </c>
      <c r="E53" s="208">
        <f>IF(AND('Tariff Jul 2021'!P41&gt;0,'Tariff Jul 2021'!R41&gt;0),IF($H$5&lt;'Tariff Jul 2021'!P41,0,IF($H$5&lt;=('Tariff Jul 2021'!R41+'Tariff Jul 2021'!P41),(($H$5-'Tariff Jul 2021'!P41)*'Tariff Jul 2021'!Q41/100),(('Tariff Jul 2021'!R41)*'Tariff Jul 2021'!Q41/100))),0)</f>
        <v>0</v>
      </c>
      <c r="F53" s="208">
        <f>IF(AND('Tariff Jul 2021'!Q41&gt;0,'Tariff Jul 2021'!S41&gt;0),IF($H$5&lt;('Tariff Jul 2021'!R41+'Tariff Jul 2021'!P41),0,IF($H$5&lt;=('Tariff Jul 2021'!T41+'Tariff Jul 2021'!R41+'Tariff Jul 2021'!P41),(($H$5-('Tariff Jul 2021'!R41+'Tariff Jul 2021'!P41))*'Tariff Jul 2021'!S41/100),('Tariff Jul 2021'!T41*'Tariff Jul 2021'!S41/100))),0)</f>
        <v>0</v>
      </c>
      <c r="G53" s="208">
        <f>IF('Tariff Jul 2021'!T41&gt;0,IF(($H$5&lt;'Tariff Jul 2021'!T41),(0),($H$5-'Tariff Jul 2021'!T41)*'Tariff Jul 2021'!U41/100),IF(AND('Tariff Jul 2021'!R41&gt;0,'Tariff Jul 2021'!T41=""),IF(($H$5&lt;'Tariff Jul 2021'!R41),(0),($H$5-'Tariff Jul 2021'!R41)*'Tariff Jul 2021'!S41/100),IF(AND('Tariff Jul 2021'!P41&gt;0,'Tariff Jul 2021'!R41=""),IF(($H$5&lt;'Tariff Jul 2021'!P41),(0),($H$5-'Tariff Jul 2021'!P41)*'Tariff Jul 2021'!Q41/100),0)))</f>
        <v>0</v>
      </c>
      <c r="H53" s="208">
        <f>($I$5)*'Tariff Jul 2021'!AE41/100</f>
        <v>27.283546909090902</v>
      </c>
      <c r="I53" s="208">
        <v>0</v>
      </c>
      <c r="J53" s="208">
        <f t="shared" ref="J53:J62" si="31">SUM(C53:I53)</f>
        <v>341.17646727272717</v>
      </c>
      <c r="K53" s="283">
        <f t="shared" si="30"/>
        <v>867.68495999999959</v>
      </c>
      <c r="L53" s="283">
        <f t="shared" si="28"/>
        <v>1364.7058690909087</v>
      </c>
      <c r="M53" s="191">
        <f t="shared" si="29"/>
        <v>1501.1764559999997</v>
      </c>
      <c r="N53" s="187">
        <f>'Tariff Jul 2021'!AZ41</f>
        <v>0</v>
      </c>
      <c r="O53" s="187">
        <f>'Tariff Jul 2021'!BA41</f>
        <v>0</v>
      </c>
      <c r="P53" s="187">
        <f>'Tariff Jul 2021'!BB41</f>
        <v>0</v>
      </c>
      <c r="Q53" s="187">
        <f>'Tariff Jul 2021'!BC41</f>
        <v>0</v>
      </c>
      <c r="R53" s="192">
        <f>($F$6*'Tariff Jul 2021'!AT41/100)*4</f>
        <v>208.85759999999999</v>
      </c>
      <c r="S53" s="193" t="str">
        <f t="shared" si="20"/>
        <v>No discount</v>
      </c>
      <c r="T53" s="193" t="str">
        <f t="shared" si="21"/>
        <v>Exclusive</v>
      </c>
      <c r="U53" s="304">
        <f t="shared" si="22"/>
        <v>1364.7058690909087</v>
      </c>
      <c r="V53" s="283">
        <f t="shared" si="23"/>
        <v>1364.7058690909087</v>
      </c>
      <c r="W53" s="283">
        <f t="shared" si="24"/>
        <v>1155.8482690909086</v>
      </c>
      <c r="X53" s="283">
        <f t="shared" si="25"/>
        <v>1155.8482690909086</v>
      </c>
      <c r="Y53" s="285">
        <f t="shared" si="26"/>
        <v>1271.4330959999995</v>
      </c>
      <c r="Z53" s="285">
        <f t="shared" si="26"/>
        <v>1271.4330959999995</v>
      </c>
      <c r="AA53" s="194">
        <f>'Tariff Jul 2021'!AT40</f>
        <v>3</v>
      </c>
      <c r="AB53" s="195">
        <f>'Tariff Jul 2021'!BL41</f>
        <v>0</v>
      </c>
      <c r="AC53" s="195" t="str">
        <f>'Tariff Jul 2021'!BM41</f>
        <v>n</v>
      </c>
      <c r="AD53" s="196">
        <f>'Tariff Jul 2021'!G41</f>
        <v>42918</v>
      </c>
      <c r="AE53" s="340"/>
      <c r="AF53" s="340"/>
      <c r="AG53" s="340"/>
      <c r="AH53" s="340"/>
      <c r="AI53" s="340"/>
      <c r="AJ53" s="340"/>
      <c r="AK53" s="340"/>
      <c r="AL53" s="340"/>
      <c r="AM53" s="340"/>
      <c r="AN53" s="340"/>
      <c r="AO53" s="340"/>
      <c r="AP53" s="340"/>
      <c r="AQ53" s="340"/>
      <c r="AR53" s="340"/>
      <c r="AS53" s="340"/>
      <c r="AT53" s="340"/>
      <c r="AU53" s="340"/>
      <c r="AV53" s="340"/>
    </row>
    <row r="54" spans="1:48" s="187" customFormat="1" x14ac:dyDescent="0.15">
      <c r="A54" s="186" t="str">
        <f>'Tariff Jul 2021'!K42</f>
        <v>Discover Energy</v>
      </c>
      <c r="B54" s="187" t="str">
        <f>'Tariff Jul 2021'!L42</f>
        <v>Solar Smart</v>
      </c>
      <c r="C54" s="208">
        <f>IF('Tariff Jul 2021'!BP42=0,91*'Tariff Jul 2021'!M42/100,(91*'Tariff Jul 2021'!M42/100)+'Tariff Jul 2021'!BP42/4)</f>
        <v>56.246272727272718</v>
      </c>
      <c r="D54" s="208">
        <f>IF('Tariff Jul 2021'!O42="",$H$5*'Tariff Jul 2021'!N42/100,IF($H$5&gt;='Tariff Jul 2021'!P42,('Tariff Jul 2021'!P42*'Tariff Jul 2021'!N42/100),($H$5*'Tariff Jul 2021'!N42/100)))</f>
        <v>221.77417309090902</v>
      </c>
      <c r="E54" s="208">
        <f>IF(AND('Tariff Jul 2021'!P42&gt;0,'Tariff Jul 2021'!R42&gt;0),IF($H$5&lt;'Tariff Jul 2021'!P42,0,IF($H$5&lt;=('Tariff Jul 2021'!R42+'Tariff Jul 2021'!P42),(($H$5-'Tariff Jul 2021'!P42)*'Tariff Jul 2021'!Q42/100),(('Tariff Jul 2021'!R42)*'Tariff Jul 2021'!Q42/100))),0)</f>
        <v>0</v>
      </c>
      <c r="F54" s="208">
        <f>IF(AND('Tariff Jul 2021'!Q42&gt;0,'Tariff Jul 2021'!S42&gt;0),IF($H$5&lt;('Tariff Jul 2021'!R42+'Tariff Jul 2021'!P42),0,IF($H$5&lt;=('Tariff Jul 2021'!T42+'Tariff Jul 2021'!R42+'Tariff Jul 2021'!P42),(($H$5-('Tariff Jul 2021'!R42+'Tariff Jul 2021'!P42))*'Tariff Jul 2021'!S42/100),('Tariff Jul 2021'!T42*'Tariff Jul 2021'!S42/100))),0)</f>
        <v>0</v>
      </c>
      <c r="G54" s="208">
        <f>IF('Tariff Jul 2021'!T42&gt;0,IF(($H$5&lt;'Tariff Jul 2021'!T42),(0),($H$5-'Tariff Jul 2021'!T42)*'Tariff Jul 2021'!U42/100),IF(AND('Tariff Jul 2021'!R42&gt;0,'Tariff Jul 2021'!T42=""),IF(($H$5&lt;'Tariff Jul 2021'!R42),(0),($H$5-'Tariff Jul 2021'!R42)*'Tariff Jul 2021'!S42/100),IF(AND('Tariff Jul 2021'!P42&gt;0,'Tariff Jul 2021'!R42=""),IF(($H$5&lt;'Tariff Jul 2021'!P42),(0),($H$5-'Tariff Jul 2021'!P42)*'Tariff Jul 2021'!Q42/100),0)))</f>
        <v>0</v>
      </c>
      <c r="H54" s="208">
        <f>($I$5)*'Tariff Jul 2021'!AE42/100</f>
        <v>28.565759999999997</v>
      </c>
      <c r="I54" s="208">
        <v>0</v>
      </c>
      <c r="J54" s="208">
        <f t="shared" si="31"/>
        <v>306.58620581818172</v>
      </c>
      <c r="K54" s="283">
        <f t="shared" si="30"/>
        <v>1001.359732363636</v>
      </c>
      <c r="L54" s="283">
        <f t="shared" si="28"/>
        <v>1226.3448232727269</v>
      </c>
      <c r="M54" s="191">
        <f t="shared" si="29"/>
        <v>1348.9793055999996</v>
      </c>
      <c r="N54" s="187">
        <f>'Tariff Jul 2021'!AZ42</f>
        <v>0</v>
      </c>
      <c r="O54" s="187">
        <f>'Tariff Jul 2021'!BA42</f>
        <v>24</v>
      </c>
      <c r="P54" s="187">
        <f>'Tariff Jul 2021'!BB42</f>
        <v>0</v>
      </c>
      <c r="Q54" s="187">
        <f>'Tariff Jul 2021'!BC42</f>
        <v>0</v>
      </c>
      <c r="R54" s="192">
        <f>($F$6*'Tariff Jul 2021'!AT42/100)*4</f>
        <v>417.71519999999998</v>
      </c>
      <c r="S54" s="193" t="str">
        <f t="shared" si="20"/>
        <v>Guaranteed off usage</v>
      </c>
      <c r="T54" s="193" t="str">
        <f t="shared" si="21"/>
        <v>Exclusive</v>
      </c>
      <c r="U54" s="304">
        <f t="shared" si="22"/>
        <v>986.01848750545423</v>
      </c>
      <c r="V54" s="283">
        <f t="shared" si="23"/>
        <v>986.01848750545423</v>
      </c>
      <c r="W54" s="283">
        <f t="shared" si="24"/>
        <v>568.30328750545425</v>
      </c>
      <c r="X54" s="283">
        <f t="shared" si="25"/>
        <v>568.30328750545425</v>
      </c>
      <c r="Y54" s="285">
        <f t="shared" si="26"/>
        <v>625.13361625599975</v>
      </c>
      <c r="Z54" s="285">
        <f t="shared" si="26"/>
        <v>625.13361625599975</v>
      </c>
      <c r="AA54" s="194">
        <f>'Tariff Jul 2021'!AT41</f>
        <v>8</v>
      </c>
      <c r="AB54" s="195">
        <f>'Tariff Jul 2021'!BL42</f>
        <v>0</v>
      </c>
      <c r="AC54" s="195" t="str">
        <f>'Tariff Jul 2021'!BM42</f>
        <v>n</v>
      </c>
      <c r="AD54" s="196">
        <f>'Tariff Jul 2021'!G42</f>
        <v>42916</v>
      </c>
      <c r="AE54" s="340"/>
      <c r="AF54" s="340"/>
      <c r="AG54" s="340"/>
      <c r="AH54" s="340"/>
      <c r="AI54" s="340"/>
      <c r="AJ54" s="340"/>
      <c r="AK54" s="340"/>
      <c r="AL54" s="340"/>
      <c r="AM54" s="340"/>
      <c r="AN54" s="340"/>
      <c r="AO54" s="340"/>
      <c r="AP54" s="340"/>
      <c r="AQ54" s="340"/>
      <c r="AR54" s="340"/>
      <c r="AS54" s="340"/>
      <c r="AT54" s="340"/>
      <c r="AU54" s="340"/>
      <c r="AV54" s="340"/>
    </row>
    <row r="55" spans="1:48" s="187" customFormat="1" x14ac:dyDescent="0.15">
      <c r="A55" s="186" t="str">
        <f>'Tariff Jul 2021'!K43</f>
        <v>Future X Power</v>
      </c>
      <c r="B55" s="187" t="str">
        <f>'Tariff Jul 2021'!L43</f>
        <v>Flexi Saver</v>
      </c>
      <c r="C55" s="208">
        <f>IF('Tariff Jul 2021'!BP43=0,91*'Tariff Jul 2021'!M43/100,(91*'Tariff Jul 2021'!M43/100)+'Tariff Jul 2021'!BP43/4)</f>
        <v>78.077999999999989</v>
      </c>
      <c r="D55" s="208">
        <f>IF('Tariff Jul 2021'!O43="",$H$5*'Tariff Jul 2021'!N43/100,IF($H$5&gt;='Tariff Jul 2021'!P43,('Tariff Jul 2021'!P43*'Tariff Jul 2021'!N43/100),($H$5*'Tariff Jul 2021'!N43/100)))</f>
        <v>201.77814109090906</v>
      </c>
      <c r="E55" s="208">
        <f>IF(AND('Tariff Jul 2021'!P43&gt;0,'Tariff Jul 2021'!R43&gt;0),IF($H$5&lt;'Tariff Jul 2021'!P43,0,IF($H$5&lt;=('Tariff Jul 2021'!R43+'Tariff Jul 2021'!P43),(($H$5-'Tariff Jul 2021'!P43)*'Tariff Jul 2021'!Q43/100),(('Tariff Jul 2021'!R43)*'Tariff Jul 2021'!Q43/100))),0)</f>
        <v>0</v>
      </c>
      <c r="F55" s="208">
        <f>IF(AND('Tariff Jul 2021'!Q43&gt;0,'Tariff Jul 2021'!S43&gt;0),IF($H$5&lt;('Tariff Jul 2021'!R43+'Tariff Jul 2021'!P43),0,IF($H$5&lt;=('Tariff Jul 2021'!T43+'Tariff Jul 2021'!R43+'Tariff Jul 2021'!P43),(($H$5-('Tariff Jul 2021'!R43+'Tariff Jul 2021'!P43))*'Tariff Jul 2021'!S43/100),('Tariff Jul 2021'!T43*'Tariff Jul 2021'!S43/100))),0)</f>
        <v>0</v>
      </c>
      <c r="G55" s="208">
        <f>IF('Tariff Jul 2021'!T43&gt;0,IF(($H$5&lt;'Tariff Jul 2021'!T43),(0),($H$5-'Tariff Jul 2021'!T43)*'Tariff Jul 2021'!U43/100),IF(AND('Tariff Jul 2021'!R43&gt;0,'Tariff Jul 2021'!T43=""),IF(($H$5&lt;'Tariff Jul 2021'!R43),(0),($H$5-'Tariff Jul 2021'!R43)*'Tariff Jul 2021'!S43/100),IF(AND('Tariff Jul 2021'!P43&gt;0,'Tariff Jul 2021'!R43=""),IF(($H$5&lt;'Tariff Jul 2021'!P43),(0),($H$5-'Tariff Jul 2021'!P43)*'Tariff Jul 2021'!Q43/100),0)))</f>
        <v>0</v>
      </c>
      <c r="H55" s="208">
        <f>($I$5)*'Tariff Jul 2021'!AE43/100</f>
        <v>27.884077090909088</v>
      </c>
      <c r="I55" s="208">
        <v>0</v>
      </c>
      <c r="J55" s="208">
        <f t="shared" si="31"/>
        <v>307.74021818181814</v>
      </c>
      <c r="K55" s="283">
        <f t="shared" si="30"/>
        <v>918.64887272727265</v>
      </c>
      <c r="L55" s="283">
        <f t="shared" si="28"/>
        <v>1230.9608727272725</v>
      </c>
      <c r="M55" s="191">
        <f t="shared" si="29"/>
        <v>1354.0569599999999</v>
      </c>
      <c r="N55" s="187">
        <f>'Tariff Jul 2021'!AZ43</f>
        <v>0</v>
      </c>
      <c r="O55" s="187">
        <f>'Tariff Jul 2021'!BA43</f>
        <v>0</v>
      </c>
      <c r="P55" s="187">
        <f>'Tariff Jul 2021'!BB43</f>
        <v>0</v>
      </c>
      <c r="Q55" s="187">
        <f>'Tariff Jul 2021'!BC43</f>
        <v>0</v>
      </c>
      <c r="R55" s="192">
        <f>($F$6*'Tariff Jul 2021'!AT43/100)*4</f>
        <v>104.4288</v>
      </c>
      <c r="S55" s="193" t="str">
        <f t="shared" si="20"/>
        <v>No discount</v>
      </c>
      <c r="T55" s="193" t="str">
        <f t="shared" si="21"/>
        <v>Exclusive</v>
      </c>
      <c r="U55" s="304">
        <f t="shared" si="22"/>
        <v>1230.9608727272725</v>
      </c>
      <c r="V55" s="283">
        <f t="shared" si="23"/>
        <v>1230.9608727272725</v>
      </c>
      <c r="W55" s="283">
        <f t="shared" si="24"/>
        <v>1126.5320727272726</v>
      </c>
      <c r="X55" s="283">
        <f t="shared" si="25"/>
        <v>1126.5320727272726</v>
      </c>
      <c r="Y55" s="285">
        <f t="shared" si="26"/>
        <v>1239.1852799999999</v>
      </c>
      <c r="Z55" s="285">
        <f t="shared" si="26"/>
        <v>1239.1852799999999</v>
      </c>
      <c r="AA55" s="194">
        <f>'Tariff Jul 2021'!AT42</f>
        <v>16</v>
      </c>
      <c r="AB55" s="195">
        <f>'Tariff Jul 2021'!BL43</f>
        <v>0</v>
      </c>
      <c r="AC55" s="195" t="str">
        <f>'Tariff Jul 2021'!BM43</f>
        <v>n</v>
      </c>
      <c r="AD55" s="196">
        <f>'Tariff Jul 2021'!G43</f>
        <v>42587</v>
      </c>
      <c r="AE55" s="340"/>
      <c r="AF55" s="340"/>
      <c r="AG55" s="340"/>
      <c r="AH55" s="340"/>
      <c r="AI55" s="340"/>
      <c r="AJ55" s="340"/>
      <c r="AK55" s="340"/>
      <c r="AL55" s="340"/>
      <c r="AM55" s="340"/>
      <c r="AN55" s="340"/>
      <c r="AO55" s="340"/>
      <c r="AP55" s="340"/>
      <c r="AQ55" s="340"/>
      <c r="AR55" s="340"/>
      <c r="AS55" s="340"/>
      <c r="AT55" s="340"/>
      <c r="AU55" s="340"/>
      <c r="AV55" s="340"/>
    </row>
    <row r="56" spans="1:48" s="187" customFormat="1" x14ac:dyDescent="0.15">
      <c r="A56" s="186" t="str">
        <f>'Tariff Jul 2021'!K44</f>
        <v>GloBird Energy</v>
      </c>
      <c r="B56" s="187" t="str">
        <f>'Tariff Jul 2021'!L44</f>
        <v>SureSave</v>
      </c>
      <c r="C56" s="208">
        <f>IF('Tariff Jul 2021'!BP44=0,91*'Tariff Jul 2021'!M44/100,(91*'Tariff Jul 2021'!M44/100)+'Tariff Jul 2021'!BP44/4)</f>
        <v>99.19</v>
      </c>
      <c r="D56" s="208">
        <f>IF('Tariff Jul 2021'!O44="",$H$5*'Tariff Jul 2021'!N44/100,IF($H$5&gt;='Tariff Jul 2021'!P44,('Tariff Jul 2021'!P44*'Tariff Jul 2021'!N44/100),($H$5*'Tariff Jul 2021'!N44/100)))</f>
        <v>207.10175999999996</v>
      </c>
      <c r="E56" s="208">
        <f>IF(AND('Tariff Jul 2021'!P44&gt;0,'Tariff Jul 2021'!R44&gt;0),IF($H$5&lt;'Tariff Jul 2021'!P44,0,IF($H$5&lt;=('Tariff Jul 2021'!R44+'Tariff Jul 2021'!P44),(($H$5-'Tariff Jul 2021'!P44)*'Tariff Jul 2021'!Q44/100),(('Tariff Jul 2021'!R44)*'Tariff Jul 2021'!Q44/100))),0)</f>
        <v>0</v>
      </c>
      <c r="F56" s="208">
        <f>IF(AND('Tariff Jul 2021'!Q44&gt;0,'Tariff Jul 2021'!S44&gt;0),IF($H$5&lt;('Tariff Jul 2021'!R44+'Tariff Jul 2021'!P44),0,IF($H$5&lt;=('Tariff Jul 2021'!T44+'Tariff Jul 2021'!R44+'Tariff Jul 2021'!P44),(($H$5-('Tariff Jul 2021'!R44+'Tariff Jul 2021'!P44))*'Tariff Jul 2021'!S44/100),('Tariff Jul 2021'!T44*'Tariff Jul 2021'!S44/100))),0)</f>
        <v>0</v>
      </c>
      <c r="G56" s="208">
        <f>IF('Tariff Jul 2021'!T44&gt;0,IF(($H$5&lt;'Tariff Jul 2021'!T44),(0),($H$5-'Tariff Jul 2021'!T44)*'Tariff Jul 2021'!U44/100),IF(AND('Tariff Jul 2021'!R44&gt;0,'Tariff Jul 2021'!T44=""),IF(($H$5&lt;'Tariff Jul 2021'!R44),(0),($H$5-'Tariff Jul 2021'!R44)*'Tariff Jul 2021'!S44/100),IF(AND('Tariff Jul 2021'!P44&gt;0,'Tariff Jul 2021'!R44=""),IF(($H$5&lt;'Tariff Jul 2021'!P44),(0),($H$5-'Tariff Jul 2021'!P44)*'Tariff Jul 2021'!Q44/100),0)))</f>
        <v>0</v>
      </c>
      <c r="H56" s="208">
        <f>($I$5)*'Tariff Jul 2021'!AE44/100</f>
        <v>26.958935999999994</v>
      </c>
      <c r="I56" s="208">
        <v>1</v>
      </c>
      <c r="J56" s="208">
        <f t="shared" si="31"/>
        <v>334.25069599999995</v>
      </c>
      <c r="K56" s="283">
        <f t="shared" si="30"/>
        <v>940.2427839999998</v>
      </c>
      <c r="L56" s="283">
        <f t="shared" si="28"/>
        <v>1337.0027839999998</v>
      </c>
      <c r="M56" s="191">
        <f t="shared" si="29"/>
        <v>1470.7030623999999</v>
      </c>
      <c r="N56" s="187">
        <f>'Tariff Jul 2021'!AZ44</f>
        <v>0</v>
      </c>
      <c r="O56" s="187">
        <f>'Tariff Jul 2021'!BA44</f>
        <v>0</v>
      </c>
      <c r="P56" s="187">
        <f>'Tariff Jul 2021'!BB44</f>
        <v>0</v>
      </c>
      <c r="Q56" s="187">
        <f>'Tariff Jul 2021'!BC44</f>
        <v>0</v>
      </c>
      <c r="R56" s="192">
        <f>($F$6*'Tariff Jul 2021'!AT44/100)*4</f>
        <v>78.321600000000004</v>
      </c>
      <c r="S56" s="193" t="str">
        <f t="shared" si="20"/>
        <v>No discount</v>
      </c>
      <c r="T56" s="193" t="str">
        <f t="shared" si="21"/>
        <v>Exclusive</v>
      </c>
      <c r="U56" s="304">
        <f t="shared" si="22"/>
        <v>1337.0027839999998</v>
      </c>
      <c r="V56" s="283">
        <f t="shared" si="23"/>
        <v>1337.0027839999998</v>
      </c>
      <c r="W56" s="283">
        <f t="shared" si="24"/>
        <v>1258.6811839999998</v>
      </c>
      <c r="X56" s="283">
        <f t="shared" si="25"/>
        <v>1258.6811839999998</v>
      </c>
      <c r="Y56" s="285">
        <f t="shared" ref="Y56:Z62" si="32">W56*1.1</f>
        <v>1384.5493024</v>
      </c>
      <c r="Z56" s="285">
        <f t="shared" si="32"/>
        <v>1384.5493024</v>
      </c>
      <c r="AA56" s="194">
        <f>'Tariff Jul 2021'!AT43</f>
        <v>4</v>
      </c>
      <c r="AB56" s="195">
        <f>'Tariff Jul 2021'!BL44</f>
        <v>0</v>
      </c>
      <c r="AC56" s="195" t="str">
        <f>'Tariff Jul 2021'!BM44</f>
        <v>n</v>
      </c>
      <c r="AD56" s="196">
        <f>'Tariff Jul 2021'!G44</f>
        <v>42916</v>
      </c>
      <c r="AE56" s="340"/>
      <c r="AF56" s="340"/>
      <c r="AG56" s="340"/>
      <c r="AH56" s="340"/>
      <c r="AI56" s="340"/>
      <c r="AJ56" s="340"/>
      <c r="AK56" s="340"/>
      <c r="AL56" s="340"/>
      <c r="AM56" s="340"/>
      <c r="AN56" s="340"/>
      <c r="AO56" s="340"/>
      <c r="AP56" s="340"/>
      <c r="AQ56" s="340"/>
      <c r="AR56" s="340"/>
      <c r="AS56" s="340"/>
      <c r="AT56" s="340"/>
      <c r="AU56" s="340"/>
      <c r="AV56" s="340"/>
    </row>
    <row r="57" spans="1:48" s="187" customFormat="1" x14ac:dyDescent="0.15">
      <c r="A57" s="186" t="str">
        <f>'Tariff Jul 2021'!K45</f>
        <v>Kogan Energy</v>
      </c>
      <c r="B57" s="187" t="str">
        <f>'Tariff Jul 2021'!L45</f>
        <v>Market offer</v>
      </c>
      <c r="C57" s="208">
        <f>IF('Tariff Jul 2021'!BP45=0,91*'Tariff Jul 2021'!M45/100,(91*'Tariff Jul 2021'!M45/100)+'Tariff Jul 2021'!BP45/4)</f>
        <v>96.766090909090906</v>
      </c>
      <c r="D57" s="208">
        <f>IF('Tariff Jul 2021'!O45="",$H$5*'Tariff Jul 2021'!N45/100,IF($H$5&gt;='Tariff Jul 2021'!P45,('Tariff Jul 2021'!P45*'Tariff Jul 2021'!N45/100),($H$5*'Tariff Jul 2021'!N45/100)))</f>
        <v>163.08452072727269</v>
      </c>
      <c r="E57" s="208">
        <f>IF(AND('Tariff Jul 2021'!P45&gt;0,'Tariff Jul 2021'!R45&gt;0),IF($H$5&lt;'Tariff Jul 2021'!P45,0,IF($H$5&lt;=('Tariff Jul 2021'!R45+'Tariff Jul 2021'!P45),(($H$5-'Tariff Jul 2021'!P45)*'Tariff Jul 2021'!Q45/100),(('Tariff Jul 2021'!R45)*'Tariff Jul 2021'!Q45/100))),0)</f>
        <v>0</v>
      </c>
      <c r="F57" s="208">
        <f>IF(AND('Tariff Jul 2021'!Q45&gt;0,'Tariff Jul 2021'!S45&gt;0),IF($H$5&lt;('Tariff Jul 2021'!R45+'Tariff Jul 2021'!P45),0,IF($H$5&lt;=('Tariff Jul 2021'!T45+'Tariff Jul 2021'!R45+'Tariff Jul 2021'!P45),(($H$5-('Tariff Jul 2021'!R45+'Tariff Jul 2021'!P45))*'Tariff Jul 2021'!S45/100),('Tariff Jul 2021'!T45*'Tariff Jul 2021'!S45/100))),0)</f>
        <v>0</v>
      </c>
      <c r="G57" s="208">
        <f>IF('Tariff Jul 2021'!T45&gt;0,IF(($H$5&lt;'Tariff Jul 2021'!T45),(0),($H$5-'Tariff Jul 2021'!T45)*'Tariff Jul 2021'!U45/100),IF(AND('Tariff Jul 2021'!R45&gt;0,'Tariff Jul 2021'!T45=""),IF(($H$5&lt;'Tariff Jul 2021'!R45),(0),($H$5-'Tariff Jul 2021'!R45)*'Tariff Jul 2021'!S45/100),IF(AND('Tariff Jul 2021'!P45&gt;0,'Tariff Jul 2021'!R45=""),IF(($H$5&lt;'Tariff Jul 2021'!P45),(0),($H$5-'Tariff Jul 2021'!P45)*'Tariff Jul 2021'!Q45/100),0)))</f>
        <v>0</v>
      </c>
      <c r="H57" s="208">
        <f>($I$5)*'Tariff Jul 2021'!AE45/100</f>
        <v>28.792987636363627</v>
      </c>
      <c r="I57" s="208">
        <v>2</v>
      </c>
      <c r="J57" s="208">
        <f t="shared" si="31"/>
        <v>290.64359927272727</v>
      </c>
      <c r="K57" s="283">
        <f t="shared" si="30"/>
        <v>775.51003345454546</v>
      </c>
      <c r="L57" s="283">
        <f t="shared" si="28"/>
        <v>1162.5743970909091</v>
      </c>
      <c r="M57" s="191">
        <f t="shared" si="29"/>
        <v>1278.8318368</v>
      </c>
      <c r="N57" s="187">
        <f>'Tariff Jul 2021'!AZ45</f>
        <v>0</v>
      </c>
      <c r="O57" s="187">
        <f>'Tariff Jul 2021'!BA45</f>
        <v>0</v>
      </c>
      <c r="P57" s="187">
        <f>'Tariff Jul 2021'!BB45</f>
        <v>0</v>
      </c>
      <c r="Q57" s="187">
        <f>'Tariff Jul 2021'!BC45</f>
        <v>0</v>
      </c>
      <c r="R57" s="192">
        <f>($F$6*'Tariff Jul 2021'!AT45/100)*4</f>
        <v>53.780832000000004</v>
      </c>
      <c r="S57" s="193" t="str">
        <f t="shared" si="20"/>
        <v>No discount</v>
      </c>
      <c r="T57" s="193" t="str">
        <f t="shared" si="21"/>
        <v>Exclusive</v>
      </c>
      <c r="U57" s="304">
        <f t="shared" si="22"/>
        <v>1162.5743970909091</v>
      </c>
      <c r="V57" s="283">
        <f t="shared" si="23"/>
        <v>1162.5743970909091</v>
      </c>
      <c r="W57" s="283">
        <f t="shared" si="24"/>
        <v>1108.7935650909092</v>
      </c>
      <c r="X57" s="283">
        <f t="shared" si="25"/>
        <v>1108.7935650909092</v>
      </c>
      <c r="Y57" s="285">
        <f t="shared" si="32"/>
        <v>1219.6729216000001</v>
      </c>
      <c r="Z57" s="285">
        <f t="shared" si="32"/>
        <v>1219.6729216000001</v>
      </c>
      <c r="AA57" s="194">
        <f>'Tariff Jul 2021'!AT44</f>
        <v>3</v>
      </c>
      <c r="AB57" s="195">
        <f>'Tariff Jul 2021'!BL45</f>
        <v>0</v>
      </c>
      <c r="AC57" s="195" t="str">
        <f>'Tariff Jul 2021'!BM45</f>
        <v>n</v>
      </c>
      <c r="AD57" s="196">
        <f>'Tariff Jul 2021'!G45</f>
        <v>42900</v>
      </c>
      <c r="AE57" s="340"/>
      <c r="AF57" s="340"/>
      <c r="AG57" s="340"/>
      <c r="AH57" s="340"/>
      <c r="AI57" s="340"/>
      <c r="AJ57" s="340"/>
      <c r="AK57" s="340"/>
      <c r="AL57" s="340"/>
      <c r="AM57" s="340"/>
      <c r="AN57" s="340"/>
      <c r="AO57" s="340"/>
      <c r="AP57" s="340"/>
      <c r="AQ57" s="340"/>
      <c r="AR57" s="340"/>
      <c r="AS57" s="340"/>
      <c r="AT57" s="340"/>
      <c r="AU57" s="340"/>
      <c r="AV57" s="340"/>
    </row>
    <row r="58" spans="1:48" s="187" customFormat="1" x14ac:dyDescent="0.15">
      <c r="A58" s="186" t="str">
        <f>'Tariff Jul 2021'!K46</f>
        <v>OVO Energy</v>
      </c>
      <c r="B58" s="187" t="str">
        <f>'Tariff Jul 2021'!L46</f>
        <v>The One Plan</v>
      </c>
      <c r="C58" s="208">
        <f>IF('Tariff Jul 2021'!BP46=0,91*'Tariff Jul 2021'!M46/100,(91*'Tariff Jul 2021'!M46/100)+'Tariff Jul 2021'!BP46/4)</f>
        <v>70.069999999999993</v>
      </c>
      <c r="D58" s="208">
        <f>IF('Tariff Jul 2021'!O46="",$H$5*'Tariff Jul 2021'!N46/100,IF($H$5&gt;='Tariff Jul 2021'!P46,('Tariff Jul 2021'!P46*'Tariff Jul 2021'!N46/100),($H$5*'Tariff Jul 2021'!N46/100)))</f>
        <v>178.53599999999994</v>
      </c>
      <c r="E58" s="208">
        <f>IF(AND('Tariff Jul 2021'!P46&gt;0,'Tariff Jul 2021'!R46&gt;0),IF($H$5&lt;'Tariff Jul 2021'!P46,0,IF($H$5&lt;=('Tariff Jul 2021'!R46+'Tariff Jul 2021'!P46),(($H$5-'Tariff Jul 2021'!P46)*'Tariff Jul 2021'!Q46/100),(('Tariff Jul 2021'!R46)*'Tariff Jul 2021'!Q46/100))),0)</f>
        <v>0</v>
      </c>
      <c r="F58" s="208">
        <f>IF(AND('Tariff Jul 2021'!Q46&gt;0,'Tariff Jul 2021'!S46&gt;0),IF($H$5&lt;('Tariff Jul 2021'!R46+'Tariff Jul 2021'!P46),0,IF($H$5&lt;=('Tariff Jul 2021'!T46+'Tariff Jul 2021'!R46+'Tariff Jul 2021'!P46),(($H$5-('Tariff Jul 2021'!R46+'Tariff Jul 2021'!P46))*'Tariff Jul 2021'!S46/100),('Tariff Jul 2021'!T46*'Tariff Jul 2021'!S46/100))),0)</f>
        <v>0</v>
      </c>
      <c r="G58" s="208">
        <f>IF('Tariff Jul 2021'!T46&gt;0,IF(($H$5&lt;'Tariff Jul 2021'!T46),(0),($H$5-'Tariff Jul 2021'!T46)*'Tariff Jul 2021'!U46/100),IF(AND('Tariff Jul 2021'!R46&gt;0,'Tariff Jul 2021'!T46=""),IF(($H$5&lt;'Tariff Jul 2021'!R46),(0),($H$5-'Tariff Jul 2021'!R46)*'Tariff Jul 2021'!S46/100),IF(AND('Tariff Jul 2021'!P46&gt;0,'Tariff Jul 2021'!R46=""),IF(($H$5&lt;'Tariff Jul 2021'!P46),(0),($H$5-'Tariff Jul 2021'!P46)*'Tariff Jul 2021'!Q46/100),0)))</f>
        <v>0</v>
      </c>
      <c r="H58" s="208">
        <f>($I$5)*'Tariff Jul 2021'!AE46/100</f>
        <v>31.493750399999989</v>
      </c>
      <c r="I58" s="208">
        <v>3</v>
      </c>
      <c r="J58" s="208">
        <f t="shared" si="31"/>
        <v>283.09975039999995</v>
      </c>
      <c r="K58" s="283">
        <f t="shared" si="30"/>
        <v>852.11900159999982</v>
      </c>
      <c r="L58" s="283">
        <f t="shared" si="28"/>
        <v>1132.3990015999998</v>
      </c>
      <c r="M58" s="191">
        <f t="shared" si="29"/>
        <v>1245.63890176</v>
      </c>
      <c r="N58" s="187">
        <f>'Tariff Jul 2021'!AZ46</f>
        <v>0</v>
      </c>
      <c r="O58" s="187">
        <f>'Tariff Jul 2021'!BA46</f>
        <v>0</v>
      </c>
      <c r="P58" s="187">
        <f>'Tariff Jul 2021'!BB46</f>
        <v>0</v>
      </c>
      <c r="Q58" s="187">
        <f>'Tariff Jul 2021'!BC46</f>
        <v>0</v>
      </c>
      <c r="R58" s="192">
        <f>($F$6*'Tariff Jul 2021'!AT46/100)*4</f>
        <v>208.85759999999999</v>
      </c>
      <c r="S58" s="193" t="str">
        <f t="shared" si="20"/>
        <v>No discount</v>
      </c>
      <c r="T58" s="193" t="str">
        <f t="shared" si="21"/>
        <v>Exclusive</v>
      </c>
      <c r="U58" s="304">
        <f t="shared" si="22"/>
        <v>1132.3990015999998</v>
      </c>
      <c r="V58" s="283">
        <f t="shared" si="23"/>
        <v>1132.3990015999998</v>
      </c>
      <c r="W58" s="283">
        <f t="shared" si="24"/>
        <v>923.54140159999974</v>
      </c>
      <c r="X58" s="283">
        <f t="shared" si="25"/>
        <v>923.54140159999974</v>
      </c>
      <c r="Y58" s="285">
        <f t="shared" si="32"/>
        <v>1015.8955417599998</v>
      </c>
      <c r="Z58" s="285">
        <f t="shared" si="32"/>
        <v>1015.8955417599998</v>
      </c>
      <c r="AA58" s="194">
        <f>'Tariff Jul 2021'!AT45</f>
        <v>2.06</v>
      </c>
      <c r="AB58" s="195">
        <f>'Tariff Jul 2021'!BL46</f>
        <v>0</v>
      </c>
      <c r="AC58" s="195" t="str">
        <f>'Tariff Jul 2021'!BM46</f>
        <v>n</v>
      </c>
      <c r="AD58" s="196">
        <f>'Tariff Jul 2021'!G46</f>
        <v>42916</v>
      </c>
      <c r="AE58" s="340"/>
      <c r="AF58" s="340"/>
      <c r="AG58" s="340"/>
      <c r="AH58" s="340"/>
      <c r="AI58" s="340"/>
      <c r="AJ58" s="340"/>
      <c r="AK58" s="340"/>
      <c r="AL58" s="340"/>
      <c r="AM58" s="340"/>
      <c r="AN58" s="340"/>
      <c r="AO58" s="340"/>
      <c r="AP58" s="340"/>
      <c r="AQ58" s="340"/>
      <c r="AR58" s="340"/>
      <c r="AS58" s="340"/>
      <c r="AT58" s="340"/>
      <c r="AU58" s="340"/>
      <c r="AV58" s="340"/>
    </row>
    <row r="59" spans="1:48" s="187" customFormat="1" x14ac:dyDescent="0.15">
      <c r="A59" s="186" t="str">
        <f>'Tariff Jul 2021'!K47</f>
        <v>ReAmped Energy</v>
      </c>
      <c r="B59" s="187" t="str">
        <f>'Tariff Jul 2021'!L47</f>
        <v>Solar</v>
      </c>
      <c r="C59" s="208">
        <f>IF('Tariff Jul 2021'!BP47=0,91*'Tariff Jul 2021'!M47/100,(91*'Tariff Jul 2021'!M47/100)+'Tariff Jul 2021'!BP47/4)</f>
        <v>59.563636363636363</v>
      </c>
      <c r="D59" s="208">
        <f>IF('Tariff Jul 2021'!O47="",$H$5*'Tariff Jul 2021'!N47/100,IF($H$5&gt;='Tariff Jul 2021'!P47,('Tariff Jul 2021'!P47*'Tariff Jul 2021'!N47/100),($H$5*'Tariff Jul 2021'!N47/100)))</f>
        <v>210.21802472727271</v>
      </c>
      <c r="E59" s="208">
        <f>IF(AND('Tariff Jul 2021'!P47&gt;0,'Tariff Jul 2021'!R47&gt;0),IF($H$5&lt;'Tariff Jul 2021'!P47,0,IF($H$5&lt;=('Tariff Jul 2021'!R47+'Tariff Jul 2021'!P47),(($H$5-'Tariff Jul 2021'!P47)*'Tariff Jul 2021'!Q47/100),(('Tariff Jul 2021'!R47)*'Tariff Jul 2021'!Q47/100))),0)</f>
        <v>0</v>
      </c>
      <c r="F59" s="208">
        <f>IF(AND('Tariff Jul 2021'!Q47&gt;0,'Tariff Jul 2021'!S47&gt;0),IF($H$5&lt;('Tariff Jul 2021'!R47+'Tariff Jul 2021'!P47),0,IF($H$5&lt;=('Tariff Jul 2021'!T47+'Tariff Jul 2021'!R47+'Tariff Jul 2021'!P47),(($H$5-('Tariff Jul 2021'!R47+'Tariff Jul 2021'!P47))*'Tariff Jul 2021'!S47/100),('Tariff Jul 2021'!T47*'Tariff Jul 2021'!S47/100))),0)</f>
        <v>0</v>
      </c>
      <c r="G59" s="208">
        <f>IF('Tariff Jul 2021'!T47&gt;0,IF(($H$5&lt;'Tariff Jul 2021'!T47),(0),($H$5-'Tariff Jul 2021'!T47)*'Tariff Jul 2021'!U47/100),IF(AND('Tariff Jul 2021'!R47&gt;0,'Tariff Jul 2021'!T47=""),IF(($H$5&lt;'Tariff Jul 2021'!R47),(0),($H$5-'Tariff Jul 2021'!R47)*'Tariff Jul 2021'!S47/100),IF(AND('Tariff Jul 2021'!P47&gt;0,'Tariff Jul 2021'!R47=""),IF(($H$5&lt;'Tariff Jul 2021'!P47),(0),($H$5-'Tariff Jul 2021'!P47)*'Tariff Jul 2021'!Q47/100),0)))</f>
        <v>0</v>
      </c>
      <c r="H59" s="208">
        <f>($I$5)*'Tariff Jul 2021'!AE47/100</f>
        <v>26.845322181818172</v>
      </c>
      <c r="I59" s="208">
        <v>4</v>
      </c>
      <c r="J59" s="208">
        <f t="shared" si="31"/>
        <v>300.62698327272727</v>
      </c>
      <c r="K59" s="283">
        <f t="shared" si="30"/>
        <v>964.25338763636364</v>
      </c>
      <c r="L59" s="283">
        <f t="shared" si="28"/>
        <v>1202.5079330909091</v>
      </c>
      <c r="M59" s="191">
        <f t="shared" si="29"/>
        <v>1322.7587264000001</v>
      </c>
      <c r="N59" s="187">
        <f>'Tariff Jul 2021'!AZ47</f>
        <v>0</v>
      </c>
      <c r="O59" s="187">
        <f>'Tariff Jul 2021'!BA47</f>
        <v>0</v>
      </c>
      <c r="P59" s="187">
        <f>'Tariff Jul 2021'!BB47</f>
        <v>0</v>
      </c>
      <c r="Q59" s="187">
        <f>'Tariff Jul 2021'!BC47</f>
        <v>0</v>
      </c>
      <c r="R59" s="192">
        <f>($F$6*'Tariff Jul 2021'!AT47/100)*4</f>
        <v>496.03679999999991</v>
      </c>
      <c r="S59" s="193" t="str">
        <f t="shared" si="20"/>
        <v>No discount</v>
      </c>
      <c r="T59" s="193" t="str">
        <f t="shared" si="21"/>
        <v>Exclusive</v>
      </c>
      <c r="U59" s="304">
        <f t="shared" si="22"/>
        <v>1202.5079330909091</v>
      </c>
      <c r="V59" s="283">
        <f t="shared" si="23"/>
        <v>1202.5079330909091</v>
      </c>
      <c r="W59" s="283">
        <f t="shared" si="24"/>
        <v>706.47113309090923</v>
      </c>
      <c r="X59" s="283">
        <f t="shared" si="25"/>
        <v>706.47113309090923</v>
      </c>
      <c r="Y59" s="285">
        <f t="shared" si="32"/>
        <v>777.1182464000002</v>
      </c>
      <c r="Z59" s="285">
        <f t="shared" si="32"/>
        <v>777.1182464000002</v>
      </c>
      <c r="AA59" s="194">
        <f>'Tariff Jul 2021'!AT46</f>
        <v>8</v>
      </c>
      <c r="AB59" s="195">
        <f>'Tariff Jul 2021'!BL47</f>
        <v>0</v>
      </c>
      <c r="AC59" s="195" t="str">
        <f>'Tariff Jul 2021'!BM47</f>
        <v>n</v>
      </c>
      <c r="AD59" s="196">
        <f>'Tariff Jul 2021'!G47</f>
        <v>42642</v>
      </c>
      <c r="AE59" s="340"/>
      <c r="AF59" s="340"/>
      <c r="AG59" s="340"/>
      <c r="AH59" s="340"/>
      <c r="AI59" s="340"/>
      <c r="AJ59" s="340"/>
      <c r="AK59" s="340"/>
      <c r="AL59" s="340"/>
      <c r="AM59" s="340"/>
      <c r="AN59" s="340"/>
      <c r="AO59" s="340"/>
      <c r="AP59" s="340"/>
      <c r="AQ59" s="340"/>
      <c r="AR59" s="340"/>
      <c r="AS59" s="340"/>
      <c r="AT59" s="340"/>
      <c r="AU59" s="340"/>
      <c r="AV59" s="340"/>
    </row>
    <row r="60" spans="1:48" s="187" customFormat="1" x14ac:dyDescent="0.15">
      <c r="A60" s="186" t="str">
        <f>'Tariff Jul 2021'!K48</f>
        <v>1st Energy</v>
      </c>
      <c r="B60" s="187" t="str">
        <f>'Tariff Jul 2021'!L48</f>
        <v>Solar Bonus</v>
      </c>
      <c r="C60" s="208">
        <f>IF('Tariff Jul 2021'!BP48=0,91*'Tariff Jul 2021'!M48/100,(91*'Tariff Jul 2021'!M48/100)+'Tariff Jul 2021'!BP48/4)</f>
        <v>73.668636363636352</v>
      </c>
      <c r="D60" s="208">
        <f>IF('Tariff Jul 2021'!O48="",$H$5*'Tariff Jul 2021'!N48/100,IF($H$5&gt;='Tariff Jul 2021'!P48,('Tariff Jul 2021'!P48*'Tariff Jul 2021'!N48/100),($H$5*'Tariff Jul 2021'!N48/100)))</f>
        <v>224.8255156363636</v>
      </c>
      <c r="E60" s="208">
        <f>IF(AND('Tariff Jul 2021'!P48&gt;0,'Tariff Jul 2021'!R48&gt;0),IF($H$5&lt;'Tariff Jul 2021'!P48,0,IF($H$5&lt;=('Tariff Jul 2021'!R48+'Tariff Jul 2021'!P48),(($H$5-'Tariff Jul 2021'!P48)*'Tariff Jul 2021'!Q48/100),(('Tariff Jul 2021'!R48)*'Tariff Jul 2021'!Q48/100))),0)</f>
        <v>0</v>
      </c>
      <c r="F60" s="208">
        <f>IF(AND('Tariff Jul 2021'!Q48&gt;0,'Tariff Jul 2021'!S48&gt;0),IF($H$5&lt;('Tariff Jul 2021'!R48+'Tariff Jul 2021'!P48),0,IF($H$5&lt;=('Tariff Jul 2021'!T48+'Tariff Jul 2021'!R48+'Tariff Jul 2021'!P48),(($H$5-('Tariff Jul 2021'!R48+'Tariff Jul 2021'!P48))*'Tariff Jul 2021'!S48/100),('Tariff Jul 2021'!T48*'Tariff Jul 2021'!S48/100))),0)</f>
        <v>0</v>
      </c>
      <c r="G60" s="208">
        <f>IF('Tariff Jul 2021'!T48&gt;0,IF(($H$5&lt;'Tariff Jul 2021'!T48),(0),($H$5-'Tariff Jul 2021'!T48)*'Tariff Jul 2021'!U48/100),IF(AND('Tariff Jul 2021'!R48&gt;0,'Tariff Jul 2021'!T48=""),IF(($H$5&lt;'Tariff Jul 2021'!R48),(0),($H$5-'Tariff Jul 2021'!R48)*'Tariff Jul 2021'!S48/100),IF(AND('Tariff Jul 2021'!P48&gt;0,'Tariff Jul 2021'!R48=""),IF(($H$5&lt;'Tariff Jul 2021'!P48),(0),($H$5-'Tariff Jul 2021'!P48)*'Tariff Jul 2021'!Q48/100),0)))</f>
        <v>0</v>
      </c>
      <c r="H60" s="208">
        <f>($I$5)*'Tariff Jul 2021'!AE48/100</f>
        <v>25.855258909090903</v>
      </c>
      <c r="I60" s="208">
        <v>5</v>
      </c>
      <c r="J60" s="208">
        <f t="shared" si="31"/>
        <v>329.34941090909086</v>
      </c>
      <c r="K60" s="283">
        <f t="shared" si="30"/>
        <v>1022.723098181818</v>
      </c>
      <c r="L60" s="283">
        <f t="shared" si="28"/>
        <v>1317.3976436363635</v>
      </c>
      <c r="M60" s="191">
        <f t="shared" si="29"/>
        <v>1449.1374079999998</v>
      </c>
      <c r="N60" s="187">
        <f>'Tariff Jul 2021'!AZ48</f>
        <v>0</v>
      </c>
      <c r="O60" s="187">
        <f>'Tariff Jul 2021'!BA48</f>
        <v>0</v>
      </c>
      <c r="P60" s="187">
        <f>'Tariff Jul 2021'!BB48</f>
        <v>0</v>
      </c>
      <c r="Q60" s="187">
        <f>'Tariff Jul 2021'!BC48</f>
        <v>0</v>
      </c>
      <c r="R60" s="192">
        <f>($F$6*'Tariff Jul 2021'!AT48/100)*4</f>
        <v>339.39359999999999</v>
      </c>
      <c r="S60" s="193" t="str">
        <f t="shared" si="20"/>
        <v>No discount</v>
      </c>
      <c r="T60" s="193" t="str">
        <f t="shared" si="21"/>
        <v>Exclusive</v>
      </c>
      <c r="U60" s="304">
        <f t="shared" si="22"/>
        <v>1317.3976436363635</v>
      </c>
      <c r="V60" s="283">
        <f t="shared" si="23"/>
        <v>1317.3976436363635</v>
      </c>
      <c r="W60" s="283">
        <f t="shared" si="24"/>
        <v>978.00404363636346</v>
      </c>
      <c r="X60" s="283">
        <f t="shared" si="25"/>
        <v>978.00404363636346</v>
      </c>
      <c r="Y60" s="285">
        <f t="shared" si="32"/>
        <v>1075.8044479999999</v>
      </c>
      <c r="Z60" s="285">
        <f t="shared" si="32"/>
        <v>1075.8044479999999</v>
      </c>
      <c r="AA60" s="194">
        <f>'Tariff Jul 2021'!AT47</f>
        <v>19</v>
      </c>
      <c r="AB60" s="195">
        <f>'Tariff Jul 2021'!BL48</f>
        <v>0</v>
      </c>
      <c r="AC60" s="195" t="str">
        <f>'Tariff Jul 2021'!BM48</f>
        <v>n</v>
      </c>
      <c r="AD60" s="196">
        <f>'Tariff Jul 2021'!G48</f>
        <v>42916</v>
      </c>
      <c r="AE60" s="340"/>
      <c r="AF60" s="340"/>
      <c r="AG60" s="340"/>
      <c r="AH60" s="340"/>
      <c r="AI60" s="340"/>
      <c r="AJ60" s="340"/>
      <c r="AK60" s="340"/>
      <c r="AL60" s="340"/>
      <c r="AM60" s="340"/>
      <c r="AN60" s="340"/>
      <c r="AO60" s="340"/>
      <c r="AP60" s="340"/>
      <c r="AQ60" s="340"/>
      <c r="AR60" s="340"/>
      <c r="AS60" s="340"/>
      <c r="AT60" s="340"/>
      <c r="AU60" s="340"/>
      <c r="AV60" s="340"/>
    </row>
    <row r="61" spans="1:48" s="187" customFormat="1" x14ac:dyDescent="0.15">
      <c r="A61" s="186" t="str">
        <f>'Tariff Jul 2021'!K49</f>
        <v>IO Energy</v>
      </c>
      <c r="B61" s="187" t="str">
        <f>'Tariff Jul 2021'!L49</f>
        <v>Spark</v>
      </c>
      <c r="C61" s="208">
        <f>IF('Tariff Jul 2021'!BP49=0,91*'Tariff Jul 2021'!M49/100,(91*'Tariff Jul 2021'!M49/100)+'Tariff Jul 2021'!BP49/4)</f>
        <v>90.999999999999986</v>
      </c>
      <c r="D61" s="208">
        <f>IF('Tariff Jul 2021'!O49="",$H$5*'Tariff Jul 2021'!N49/100,IF($H$5&gt;='Tariff Jul 2021'!P49,('Tariff Jul 2021'!P49*'Tariff Jul 2021'!N49/100),($H$5*'Tariff Jul 2021'!N49/100)))</f>
        <v>194.76654545454542</v>
      </c>
      <c r="E61" s="208">
        <f>IF(AND('Tariff Jul 2021'!P49&gt;0,'Tariff Jul 2021'!R49&gt;0),IF($H$5&lt;'Tariff Jul 2021'!P49,0,IF($H$5&lt;=('Tariff Jul 2021'!R49+'Tariff Jul 2021'!P49),(($H$5-'Tariff Jul 2021'!P49)*'Tariff Jul 2021'!Q49/100),(('Tariff Jul 2021'!R49)*'Tariff Jul 2021'!Q49/100))),0)</f>
        <v>0</v>
      </c>
      <c r="F61" s="208">
        <f>IF(AND('Tariff Jul 2021'!Q49&gt;0,'Tariff Jul 2021'!S49&gt;0),IF($H$5&lt;('Tariff Jul 2021'!R49+'Tariff Jul 2021'!P49),0,IF($H$5&lt;=('Tariff Jul 2021'!T49+'Tariff Jul 2021'!R49+'Tariff Jul 2021'!P49),(($H$5-('Tariff Jul 2021'!R49+'Tariff Jul 2021'!P49))*'Tariff Jul 2021'!S49/100),('Tariff Jul 2021'!T49*'Tariff Jul 2021'!S49/100))),0)</f>
        <v>0</v>
      </c>
      <c r="G61" s="208">
        <f>IF('Tariff Jul 2021'!T49&gt;0,IF(($H$5&lt;'Tariff Jul 2021'!T49),(0),($H$5-'Tariff Jul 2021'!T49)*'Tariff Jul 2021'!U49/100),IF(AND('Tariff Jul 2021'!R49&gt;0,'Tariff Jul 2021'!T49=""),IF(($H$5&lt;'Tariff Jul 2021'!R49),(0),($H$5-'Tariff Jul 2021'!R49)*'Tariff Jul 2021'!S49/100),IF(AND('Tariff Jul 2021'!P49&gt;0,'Tariff Jul 2021'!R49=""),IF(($H$5&lt;'Tariff Jul 2021'!P49),(0),($H$5-'Tariff Jul 2021'!P49)*'Tariff Jul 2021'!Q49/100),0)))</f>
        <v>0</v>
      </c>
      <c r="H61" s="208">
        <f>($I$5)*'Tariff Jul 2021'!AE49/100</f>
        <v>29.214981818181812</v>
      </c>
      <c r="I61" s="208">
        <v>6</v>
      </c>
      <c r="J61" s="208">
        <f t="shared" si="31"/>
        <v>320.98152727272719</v>
      </c>
      <c r="K61" s="283">
        <f t="shared" si="30"/>
        <v>919.92610909090877</v>
      </c>
      <c r="L61" s="283">
        <f t="shared" si="28"/>
        <v>1283.9261090909088</v>
      </c>
      <c r="M61" s="191">
        <f t="shared" si="29"/>
        <v>1412.3187199999998</v>
      </c>
      <c r="N61" s="187">
        <f>'Tariff Jul 2021'!AZ49</f>
        <v>0</v>
      </c>
      <c r="O61" s="187">
        <f>'Tariff Jul 2021'!BA49</f>
        <v>0</v>
      </c>
      <c r="P61" s="187">
        <f>'Tariff Jul 2021'!BB49</f>
        <v>0</v>
      </c>
      <c r="Q61" s="187">
        <f>'Tariff Jul 2021'!BC49</f>
        <v>0</v>
      </c>
      <c r="R61" s="192">
        <f>($F$6*'Tariff Jul 2021'!AT49/100)*4</f>
        <v>208.85759999999999</v>
      </c>
      <c r="S61" s="193" t="str">
        <f t="shared" si="20"/>
        <v>No discount</v>
      </c>
      <c r="T61" s="193" t="str">
        <f t="shared" si="21"/>
        <v>Exclusive</v>
      </c>
      <c r="U61" s="304">
        <f t="shared" si="22"/>
        <v>1283.9261090909088</v>
      </c>
      <c r="V61" s="283">
        <f t="shared" si="23"/>
        <v>1283.9261090909088</v>
      </c>
      <c r="W61" s="283">
        <f t="shared" si="24"/>
        <v>1075.0685090909087</v>
      </c>
      <c r="X61" s="283">
        <f t="shared" si="25"/>
        <v>1075.0685090909087</v>
      </c>
      <c r="Y61" s="285">
        <f t="shared" si="32"/>
        <v>1182.5753599999996</v>
      </c>
      <c r="Z61" s="285">
        <f t="shared" si="32"/>
        <v>1182.5753599999996</v>
      </c>
      <c r="AA61" s="194">
        <f>'Tariff Jul 2021'!AT48</f>
        <v>13</v>
      </c>
      <c r="AB61" s="195">
        <f>'Tariff Jul 2021'!BL49</f>
        <v>0</v>
      </c>
      <c r="AC61" s="195" t="str">
        <f>'Tariff Jul 2021'!BM49</f>
        <v>n</v>
      </c>
      <c r="AD61" s="196">
        <f>'Tariff Jul 2021'!G49</f>
        <v>42614</v>
      </c>
      <c r="AE61" s="340"/>
      <c r="AF61" s="340"/>
      <c r="AG61" s="340"/>
      <c r="AH61" s="340"/>
      <c r="AI61" s="340"/>
      <c r="AJ61" s="340"/>
      <c r="AK61" s="340"/>
      <c r="AL61" s="340"/>
      <c r="AM61" s="340"/>
      <c r="AN61" s="340"/>
      <c r="AO61" s="340"/>
      <c r="AP61" s="340"/>
      <c r="AQ61" s="340"/>
      <c r="AR61" s="340"/>
      <c r="AS61" s="340"/>
      <c r="AT61" s="340"/>
      <c r="AU61" s="340"/>
      <c r="AV61" s="340"/>
    </row>
    <row r="62" spans="1:48" s="187" customFormat="1" x14ac:dyDescent="0.15">
      <c r="A62" s="186" t="str">
        <f>'Tariff Jul 2021'!K50</f>
        <v>Nectr</v>
      </c>
      <c r="B62" s="187" t="str">
        <f>'Tariff Jul 2021'!L50</f>
        <v>Friends Clean</v>
      </c>
      <c r="C62" s="208">
        <f>IF('Tariff Jul 2021'!BP50=0,91*'Tariff Jul 2021'!M50/100,(91*'Tariff Jul 2021'!M50/100)+'Tariff Jul 2021'!BP50/4)</f>
        <v>93.274999999999977</v>
      </c>
      <c r="D62" s="208">
        <f>IF('Tariff Jul 2021'!O50="",$H$5*'Tariff Jul 2021'!N50/100,IF($H$5&gt;='Tariff Jul 2021'!P50,('Tariff Jul 2021'!P50*'Tariff Jul 2021'!N50/100),($H$5*'Tariff Jul 2021'!N50/100)))</f>
        <v>184.24915199999995</v>
      </c>
      <c r="E62" s="208">
        <f>IF(AND('Tariff Jul 2021'!P50&gt;0,'Tariff Jul 2021'!R50&gt;0),IF($H$5&lt;'Tariff Jul 2021'!P50,0,IF($H$5&lt;=('Tariff Jul 2021'!R50+'Tariff Jul 2021'!P50),(($H$5-'Tariff Jul 2021'!P50)*'Tariff Jul 2021'!Q50/100),(('Tariff Jul 2021'!R50)*'Tariff Jul 2021'!Q50/100))),0)</f>
        <v>0</v>
      </c>
      <c r="F62" s="208">
        <f>IF(AND('Tariff Jul 2021'!Q50&gt;0,'Tariff Jul 2021'!S50&gt;0),IF($H$5&lt;('Tariff Jul 2021'!R50+'Tariff Jul 2021'!P50),0,IF($H$5&lt;=('Tariff Jul 2021'!T50+'Tariff Jul 2021'!R50+'Tariff Jul 2021'!P50),(($H$5-('Tariff Jul 2021'!R50+'Tariff Jul 2021'!P50))*'Tariff Jul 2021'!S50/100),('Tariff Jul 2021'!T50*'Tariff Jul 2021'!S50/100))),0)</f>
        <v>0</v>
      </c>
      <c r="G62" s="208">
        <f>IF('Tariff Jul 2021'!T50&gt;0,IF(($H$5&lt;'Tariff Jul 2021'!T50),(0),($H$5-'Tariff Jul 2021'!T50)*'Tariff Jul 2021'!U50/100),IF(AND('Tariff Jul 2021'!R50&gt;0,'Tariff Jul 2021'!T50=""),IF(($H$5&lt;'Tariff Jul 2021'!R50),(0),($H$5-'Tariff Jul 2021'!R50)*'Tariff Jul 2021'!S50/100),IF(AND('Tariff Jul 2021'!P50&gt;0,'Tariff Jul 2021'!R50=""),IF(($H$5&lt;'Tariff Jul 2021'!P50),(0),($H$5-'Tariff Jul 2021'!P50)*'Tariff Jul 2021'!Q50/100),0)))</f>
        <v>0</v>
      </c>
      <c r="H62" s="208">
        <f>($I$5)*'Tariff Jul 2021'!AE50/100</f>
        <v>30.805575272727268</v>
      </c>
      <c r="I62" s="208">
        <v>7</v>
      </c>
      <c r="J62" s="208">
        <f t="shared" si="31"/>
        <v>315.32972727272721</v>
      </c>
      <c r="K62" s="283">
        <f t="shared" si="30"/>
        <v>888.21890909090894</v>
      </c>
      <c r="L62" s="283">
        <f t="shared" si="28"/>
        <v>1261.3189090909088</v>
      </c>
      <c r="M62" s="191">
        <f t="shared" si="29"/>
        <v>1387.4507999999998</v>
      </c>
      <c r="N62" s="187">
        <f>'Tariff Jul 2021'!AZ50</f>
        <v>0</v>
      </c>
      <c r="O62" s="187">
        <f>'Tariff Jul 2021'!BA50</f>
        <v>0</v>
      </c>
      <c r="P62" s="187">
        <f>'Tariff Jul 2021'!BB50</f>
        <v>0</v>
      </c>
      <c r="Q62" s="187">
        <f>'Tariff Jul 2021'!BC50</f>
        <v>0</v>
      </c>
      <c r="R62" s="192">
        <f>($F$6*'Tariff Jul 2021'!AT50/100)*4</f>
        <v>52.214399999999998</v>
      </c>
      <c r="S62" s="193" t="str">
        <f t="shared" si="20"/>
        <v>No discount</v>
      </c>
      <c r="T62" s="193" t="str">
        <f t="shared" si="21"/>
        <v>Exclusive</v>
      </c>
      <c r="U62" s="304">
        <f t="shared" si="22"/>
        <v>1261.3189090909088</v>
      </c>
      <c r="V62" s="283">
        <f t="shared" si="23"/>
        <v>1261.3189090909088</v>
      </c>
      <c r="W62" s="283">
        <f t="shared" si="24"/>
        <v>1209.1045090909088</v>
      </c>
      <c r="X62" s="283">
        <f t="shared" si="25"/>
        <v>1209.1045090909088</v>
      </c>
      <c r="Y62" s="285">
        <f t="shared" si="32"/>
        <v>1330.0149599999997</v>
      </c>
      <c r="Z62" s="285">
        <f t="shared" si="32"/>
        <v>1330.0149599999997</v>
      </c>
      <c r="AA62" s="194">
        <f>'Tariff Jul 2021'!AT49</f>
        <v>8</v>
      </c>
      <c r="AB62" s="195">
        <f>'Tariff Jul 2021'!BL50</f>
        <v>0</v>
      </c>
      <c r="AC62" s="195" t="str">
        <f>'Tariff Jul 2021'!BM50</f>
        <v>n</v>
      </c>
      <c r="AD62" s="196">
        <f>'Tariff Jul 2021'!G50</f>
        <v>42916</v>
      </c>
      <c r="AE62" s="340"/>
      <c r="AF62" s="340"/>
      <c r="AG62" s="340"/>
      <c r="AH62" s="340"/>
      <c r="AI62" s="340"/>
      <c r="AJ62" s="340"/>
      <c r="AK62" s="340"/>
      <c r="AL62" s="340"/>
      <c r="AM62" s="340"/>
      <c r="AN62" s="340"/>
      <c r="AO62" s="340"/>
      <c r="AP62" s="340"/>
      <c r="AQ62" s="340"/>
      <c r="AR62" s="340"/>
      <c r="AS62" s="340"/>
      <c r="AT62" s="340"/>
      <c r="AU62" s="340"/>
      <c r="AV62" s="340"/>
    </row>
    <row r="63" spans="1:48" s="187" customFormat="1" x14ac:dyDescent="0.15">
      <c r="A63" s="186" t="str">
        <f>'Tariff Jul 2021'!K51</f>
        <v>Tango Energy</v>
      </c>
      <c r="B63" s="187" t="str">
        <f>'Tariff Jul 2021'!L51</f>
        <v>Solar Plus</v>
      </c>
      <c r="C63" s="208">
        <f>IF('Tariff Jul 2021'!BP51=0,91*'Tariff Jul 2021'!M51/100,(91*'Tariff Jul 2021'!M51/100)+'Tariff Jul 2021'!BP51/4)</f>
        <v>93.729999999999976</v>
      </c>
      <c r="D63" s="208">
        <f>IF('Tariff Jul 2021'!O51="",$H$5*'Tariff Jul 2021'!N51/100,IF($H$5&gt;='Tariff Jul 2021'!P51,('Tariff Jul 2021'!P51*'Tariff Jul 2021'!N51/100),($H$5*'Tariff Jul 2021'!N51/100)))</f>
        <v>245.66553599999995</v>
      </c>
      <c r="E63" s="208">
        <f>IF(AND('Tariff Jul 2021'!P51&gt;0,'Tariff Jul 2021'!R51&gt;0),IF($H$5&lt;'Tariff Jul 2021'!P51,0,IF($H$5&lt;=('Tariff Jul 2021'!R51+'Tariff Jul 2021'!P51),(($H$5-'Tariff Jul 2021'!P51)*'Tariff Jul 2021'!Q51/100),(('Tariff Jul 2021'!R51)*'Tariff Jul 2021'!Q51/100))),0)</f>
        <v>0</v>
      </c>
      <c r="F63" s="208">
        <f>IF(AND('Tariff Jul 2021'!Q51&gt;0,'Tariff Jul 2021'!S51&gt;0),IF($H$5&lt;('Tariff Jul 2021'!R51+'Tariff Jul 2021'!P51),0,IF($H$5&lt;=('Tariff Jul 2021'!T51+'Tariff Jul 2021'!R51+'Tariff Jul 2021'!P51),(($H$5-('Tariff Jul 2021'!R51+'Tariff Jul 2021'!P51))*'Tariff Jul 2021'!S51/100),('Tariff Jul 2021'!T51*'Tariff Jul 2021'!S51/100))),0)</f>
        <v>0</v>
      </c>
      <c r="G63" s="208">
        <f>IF('Tariff Jul 2021'!T51&gt;0,IF(($H$5&lt;'Tariff Jul 2021'!T51),(0),($H$5-'Tariff Jul 2021'!T51)*'Tariff Jul 2021'!U51/100),IF(AND('Tariff Jul 2021'!R51&gt;0,'Tariff Jul 2021'!T51=""),IF(($H$5&lt;'Tariff Jul 2021'!R51),(0),($H$5-'Tariff Jul 2021'!R51)*'Tariff Jul 2021'!S51/100),IF(AND('Tariff Jul 2021'!P51&gt;0,'Tariff Jul 2021'!R51=""),IF(($H$5&lt;'Tariff Jul 2021'!P51),(0),($H$5-'Tariff Jul 2021'!P51)*'Tariff Jul 2021'!Q51/100),0)))</f>
        <v>0</v>
      </c>
      <c r="H63" s="208">
        <f>($I$5)*'Tariff Jul 2021'!AE51/100</f>
        <v>24.345818181818171</v>
      </c>
      <c r="I63" s="208">
        <v>9</v>
      </c>
      <c r="J63" s="208">
        <f t="shared" ref="J63:J64" si="33">SUM(C63:I63)</f>
        <v>372.74135418181811</v>
      </c>
      <c r="K63" s="283">
        <f t="shared" ref="K63:K64" si="34">(J63-C63)*4</f>
        <v>1116.0454167272726</v>
      </c>
      <c r="L63" s="283">
        <f t="shared" ref="L63:L64" si="35">J63*4</f>
        <v>1490.9654167272724</v>
      </c>
      <c r="M63" s="191">
        <f t="shared" ref="M63:M64" si="36">L63*1.1</f>
        <v>1640.0619583999999</v>
      </c>
      <c r="N63" s="187">
        <f>'Tariff Jul 2021'!AZ51</f>
        <v>0</v>
      </c>
      <c r="O63" s="187">
        <f>'Tariff Jul 2021'!BA51</f>
        <v>0</v>
      </c>
      <c r="P63" s="187">
        <f>'Tariff Jul 2021'!BB51</f>
        <v>0</v>
      </c>
      <c r="Q63" s="187">
        <f>'Tariff Jul 2021'!BC51</f>
        <v>0</v>
      </c>
      <c r="R63" s="192">
        <f>($F$6*'Tariff Jul 2021'!AT51/100)*4</f>
        <v>522.14399999999989</v>
      </c>
      <c r="S63" s="193" t="str">
        <f t="shared" si="20"/>
        <v>No discount</v>
      </c>
      <c r="T63" s="193" t="str">
        <f t="shared" si="21"/>
        <v>Exclusive</v>
      </c>
      <c r="U63" s="304">
        <f t="shared" si="22"/>
        <v>1490.9654167272724</v>
      </c>
      <c r="V63" s="283">
        <f t="shared" si="23"/>
        <v>1490.9654167272724</v>
      </c>
      <c r="W63" s="283">
        <f t="shared" ref="W63:W64" si="37">U63-R63</f>
        <v>968.82141672727255</v>
      </c>
      <c r="X63" s="283">
        <f t="shared" ref="X63:X64" si="38">V63-R63</f>
        <v>968.82141672727255</v>
      </c>
      <c r="Y63" s="285">
        <f t="shared" ref="Y63:Y64" si="39">W63*1.1</f>
        <v>1065.7035583999998</v>
      </c>
      <c r="Z63" s="285">
        <f t="shared" ref="Z63:Z64" si="40">X63*1.1</f>
        <v>1065.7035583999998</v>
      </c>
      <c r="AA63" s="194">
        <f>'Tariff Jul 2021'!AT50</f>
        <v>2</v>
      </c>
      <c r="AB63" s="195">
        <f>'Tariff Jul 2021'!BL51</f>
        <v>0</v>
      </c>
      <c r="AC63" s="195" t="str">
        <f>'Tariff Jul 2021'!BM51</f>
        <v>n</v>
      </c>
      <c r="AD63" s="196">
        <f>'Tariff Jul 2021'!G51</f>
        <v>42857</v>
      </c>
      <c r="AE63" s="340"/>
      <c r="AF63" s="340"/>
      <c r="AG63" s="340"/>
      <c r="AH63" s="340"/>
      <c r="AI63" s="340"/>
      <c r="AJ63" s="340"/>
      <c r="AK63" s="340"/>
      <c r="AL63" s="340"/>
      <c r="AM63" s="340"/>
      <c r="AN63" s="340"/>
      <c r="AO63" s="340"/>
      <c r="AP63" s="340"/>
      <c r="AQ63" s="340"/>
      <c r="AR63" s="340"/>
      <c r="AS63" s="340"/>
      <c r="AT63" s="340"/>
      <c r="AU63" s="340"/>
      <c r="AV63" s="340"/>
    </row>
    <row r="64" spans="1:48" s="187" customFormat="1" ht="15" thickBot="1" x14ac:dyDescent="0.2">
      <c r="A64" s="197" t="str">
        <f>'Tariff Jul 2021'!K52</f>
        <v>Covau</v>
      </c>
      <c r="B64" s="198" t="str">
        <f>'Tariff Jul 2021'!L52</f>
        <v>Freedom Solar</v>
      </c>
      <c r="C64" s="209">
        <f>IF('Tariff Jul 2021'!BP52=0,91*'Tariff Jul 2021'!M52/100,(91*'Tariff Jul 2021'!M52/100)+'Tariff Jul 2021'!BP52/4)</f>
        <v>60.515000000000001</v>
      </c>
      <c r="D64" s="209">
        <f>IF('Tariff Jul 2021'!O52="",$H$5*'Tariff Jul 2021'!N52/100,IF($H$5&gt;='Tariff Jul 2021'!P52,('Tariff Jul 2021'!P52*'Tariff Jul 2021'!N52/100),($H$5*'Tariff Jul 2021'!N52/100)))</f>
        <v>203.98549527272723</v>
      </c>
      <c r="E64" s="209">
        <f>IF(AND('Tariff Jul 2021'!P52&gt;0,'Tariff Jul 2021'!R52&gt;0),IF($H$5&lt;'Tariff Jul 2021'!P52,0,IF($H$5&lt;=('Tariff Jul 2021'!R52+'Tariff Jul 2021'!P52),(($H$5-'Tariff Jul 2021'!P52)*'Tariff Jul 2021'!Q52/100),(('Tariff Jul 2021'!R52)*'Tariff Jul 2021'!Q52/100))),0)</f>
        <v>0</v>
      </c>
      <c r="F64" s="209">
        <f>IF(AND('Tariff Jul 2021'!Q52&gt;0,'Tariff Jul 2021'!S52&gt;0),IF($H$5&lt;('Tariff Jul 2021'!R52+'Tariff Jul 2021'!P52),0,IF($H$5&lt;=('Tariff Jul 2021'!T52+'Tariff Jul 2021'!R52+'Tariff Jul 2021'!P52),(($H$5-('Tariff Jul 2021'!R52+'Tariff Jul 2021'!P52))*'Tariff Jul 2021'!S52/100),('Tariff Jul 2021'!T52*'Tariff Jul 2021'!S52/100))),0)</f>
        <v>0</v>
      </c>
      <c r="G64" s="209">
        <f>IF('Tariff Jul 2021'!T52&gt;0,IF(($H$5&lt;'Tariff Jul 2021'!T52),(0),($H$5-'Tariff Jul 2021'!T52)*'Tariff Jul 2021'!U52/100),IF(AND('Tariff Jul 2021'!R52&gt;0,'Tariff Jul 2021'!T52=""),IF(($H$5&lt;'Tariff Jul 2021'!R52),(0),($H$5-'Tariff Jul 2021'!R52)*'Tariff Jul 2021'!S52/100),IF(AND('Tariff Jul 2021'!P52&gt;0,'Tariff Jul 2021'!R52=""),IF(($H$5&lt;'Tariff Jul 2021'!P52),(0),($H$5-'Tariff Jul 2021'!P52)*'Tariff Jul 2021'!Q52/100),0)))</f>
        <v>0</v>
      </c>
      <c r="H64" s="209">
        <f>($I$5)*'Tariff Jul 2021'!AE52/100</f>
        <v>25.260630743801645</v>
      </c>
      <c r="I64" s="209">
        <v>10</v>
      </c>
      <c r="J64" s="209">
        <f t="shared" si="33"/>
        <v>299.76112601652886</v>
      </c>
      <c r="K64" s="284">
        <f t="shared" si="34"/>
        <v>956.98450406611551</v>
      </c>
      <c r="L64" s="284">
        <f t="shared" si="35"/>
        <v>1199.0445040661155</v>
      </c>
      <c r="M64" s="202">
        <f t="shared" si="36"/>
        <v>1318.9489544727271</v>
      </c>
      <c r="N64" s="198">
        <f>'Tariff Jul 2021'!AZ52</f>
        <v>0</v>
      </c>
      <c r="O64" s="198">
        <f>'Tariff Jul 2021'!BA52</f>
        <v>5</v>
      </c>
      <c r="P64" s="198">
        <f>'Tariff Jul 2021'!BB52</f>
        <v>0</v>
      </c>
      <c r="Q64" s="198">
        <f>'Tariff Jul 2021'!BC52</f>
        <v>0</v>
      </c>
      <c r="R64" s="203">
        <f>($F$6*'Tariff Jul 2021'!AT52/100)*4</f>
        <v>143.58959999999999</v>
      </c>
      <c r="S64" s="204" t="str">
        <f t="shared" si="20"/>
        <v>Guaranteed off usage</v>
      </c>
      <c r="T64" s="204" t="str">
        <f t="shared" si="21"/>
        <v>Exclusive</v>
      </c>
      <c r="U64" s="305">
        <f t="shared" si="22"/>
        <v>1151.1952788628096</v>
      </c>
      <c r="V64" s="284">
        <f t="shared" si="23"/>
        <v>1151.1952788628096</v>
      </c>
      <c r="W64" s="284">
        <f t="shared" si="37"/>
        <v>1007.6056788628096</v>
      </c>
      <c r="X64" s="284">
        <f t="shared" si="38"/>
        <v>1007.6056788628096</v>
      </c>
      <c r="Y64" s="286">
        <f t="shared" si="39"/>
        <v>1108.3662467490906</v>
      </c>
      <c r="Z64" s="286">
        <f t="shared" si="40"/>
        <v>1108.3662467490906</v>
      </c>
      <c r="AA64" s="205">
        <f>'Tariff Jul 2021'!AT51</f>
        <v>20</v>
      </c>
      <c r="AB64" s="206">
        <f>'Tariff Jul 2021'!BL52</f>
        <v>0</v>
      </c>
      <c r="AC64" s="206" t="str">
        <f>'Tariff Jul 2021'!BM52</f>
        <v>n</v>
      </c>
      <c r="AD64" s="207">
        <f>'Tariff Jul 2021'!G52</f>
        <v>42941</v>
      </c>
      <c r="AE64" s="340"/>
      <c r="AF64" s="340"/>
      <c r="AG64" s="340"/>
      <c r="AH64" s="340"/>
      <c r="AI64" s="340"/>
      <c r="AJ64" s="340"/>
      <c r="AK64" s="340"/>
      <c r="AL64" s="340"/>
      <c r="AM64" s="340"/>
      <c r="AN64" s="340"/>
      <c r="AO64" s="340"/>
      <c r="AP64" s="340"/>
      <c r="AQ64" s="340"/>
      <c r="AR64" s="340"/>
      <c r="AS64" s="340"/>
      <c r="AT64" s="340"/>
      <c r="AU64" s="340"/>
      <c r="AV64" s="340"/>
    </row>
    <row r="65" spans="1:48" s="187" customFormat="1" x14ac:dyDescent="0.15">
      <c r="A65" s="340"/>
      <c r="B65" s="340"/>
      <c r="C65" s="340"/>
      <c r="D65" s="340"/>
      <c r="E65" s="340"/>
      <c r="F65" s="340"/>
      <c r="G65" s="340"/>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c r="AM65" s="340"/>
      <c r="AN65" s="340"/>
      <c r="AO65" s="340"/>
      <c r="AP65" s="340"/>
      <c r="AQ65" s="340"/>
      <c r="AR65" s="340"/>
      <c r="AS65" s="340"/>
      <c r="AT65" s="340"/>
      <c r="AU65" s="340"/>
      <c r="AV65" s="340"/>
    </row>
    <row r="66" spans="1:48" s="187" customFormat="1" x14ac:dyDescent="0.15">
      <c r="A66" s="340"/>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row>
    <row r="67" spans="1:48" s="187" customFormat="1" x14ac:dyDescent="0.15">
      <c r="A67" s="340"/>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0"/>
    </row>
    <row r="68" spans="1:48" s="187" customFormat="1" x14ac:dyDescent="0.15">
      <c r="A68" s="340"/>
      <c r="B68" s="340"/>
      <c r="C68" s="340"/>
      <c r="D68" s="340"/>
      <c r="E68" s="340"/>
      <c r="F68" s="340"/>
      <c r="G68" s="340"/>
      <c r="H68" s="340"/>
      <c r="I68" s="340"/>
      <c r="J68" s="340"/>
      <c r="K68" s="340"/>
      <c r="L68" s="340"/>
      <c r="M68" s="340"/>
      <c r="N68" s="340"/>
      <c r="O68" s="340"/>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c r="AM68" s="340"/>
      <c r="AN68" s="340"/>
      <c r="AO68" s="340"/>
      <c r="AP68" s="340"/>
      <c r="AQ68" s="340"/>
      <c r="AR68" s="340"/>
      <c r="AS68" s="340"/>
      <c r="AT68" s="340"/>
      <c r="AU68" s="340"/>
      <c r="AV68" s="340"/>
    </row>
    <row r="69" spans="1:48" s="187" customFormat="1" x14ac:dyDescent="0.15">
      <c r="A69" s="340"/>
      <c r="B69" s="340"/>
      <c r="C69" s="340"/>
      <c r="D69" s="340"/>
      <c r="E69" s="340"/>
      <c r="F69" s="340"/>
      <c r="G69" s="340"/>
      <c r="H69" s="340"/>
      <c r="I69" s="340"/>
      <c r="J69" s="340"/>
      <c r="K69" s="340"/>
      <c r="L69" s="340"/>
      <c r="M69" s="340"/>
      <c r="N69" s="340"/>
      <c r="O69" s="340"/>
      <c r="P69" s="340"/>
      <c r="Q69" s="340"/>
      <c r="R69" s="340"/>
      <c r="S69" s="340"/>
      <c r="T69" s="340"/>
      <c r="U69" s="340"/>
      <c r="V69" s="340"/>
      <c r="W69" s="340"/>
      <c r="X69" s="340"/>
      <c r="Y69" s="340"/>
      <c r="Z69" s="340"/>
      <c r="AA69" s="340"/>
      <c r="AB69" s="340"/>
      <c r="AC69" s="340"/>
      <c r="AD69" s="340"/>
      <c r="AE69" s="340"/>
      <c r="AF69" s="340"/>
      <c r="AG69" s="340"/>
      <c r="AH69" s="340"/>
      <c r="AI69" s="340"/>
      <c r="AJ69" s="340"/>
      <c r="AK69" s="340"/>
      <c r="AL69" s="340"/>
      <c r="AM69" s="340"/>
      <c r="AN69" s="340"/>
      <c r="AO69" s="340"/>
      <c r="AP69" s="340"/>
      <c r="AQ69" s="340"/>
      <c r="AR69" s="340"/>
      <c r="AS69" s="340"/>
      <c r="AT69" s="340"/>
      <c r="AU69" s="340"/>
      <c r="AV69" s="340"/>
    </row>
    <row r="70" spans="1:48" s="187" customFormat="1" x14ac:dyDescent="0.15">
      <c r="A70" s="340"/>
      <c r="B70" s="340"/>
      <c r="C70" s="340"/>
      <c r="D70" s="340"/>
      <c r="E70" s="340"/>
      <c r="F70" s="340"/>
      <c r="G70" s="340"/>
      <c r="H70" s="340"/>
      <c r="I70" s="340"/>
      <c r="J70" s="340"/>
      <c r="K70" s="340"/>
      <c r="L70" s="340"/>
      <c r="M70" s="340"/>
      <c r="N70" s="340"/>
      <c r="O70" s="340"/>
      <c r="P70" s="340"/>
      <c r="Q70" s="340"/>
      <c r="R70" s="340"/>
      <c r="S70" s="340"/>
      <c r="T70" s="340"/>
      <c r="U70" s="340"/>
      <c r="V70" s="340"/>
      <c r="W70" s="340"/>
      <c r="X70" s="340"/>
      <c r="Y70" s="340"/>
      <c r="Z70" s="340"/>
      <c r="AA70" s="340"/>
      <c r="AB70" s="340"/>
      <c r="AC70" s="340"/>
      <c r="AD70" s="340"/>
      <c r="AE70" s="340"/>
      <c r="AF70" s="340"/>
      <c r="AG70" s="340"/>
      <c r="AH70" s="340"/>
      <c r="AI70" s="340"/>
      <c r="AJ70" s="340"/>
      <c r="AK70" s="340"/>
      <c r="AL70" s="340"/>
      <c r="AM70" s="340"/>
      <c r="AN70" s="340"/>
      <c r="AO70" s="340"/>
      <c r="AP70" s="340"/>
      <c r="AQ70" s="340"/>
      <c r="AR70" s="340"/>
      <c r="AS70" s="340"/>
      <c r="AT70" s="340"/>
      <c r="AU70" s="340"/>
      <c r="AV70" s="340"/>
    </row>
    <row r="71" spans="1:48" s="187" customFormat="1" x14ac:dyDescent="0.15">
      <c r="A71" s="340"/>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c r="AA71" s="340"/>
      <c r="AB71" s="340"/>
      <c r="AC71" s="340"/>
      <c r="AD71" s="340"/>
      <c r="AE71" s="340"/>
      <c r="AF71" s="340"/>
      <c r="AG71" s="340"/>
      <c r="AH71" s="340"/>
      <c r="AI71" s="340"/>
      <c r="AJ71" s="340"/>
      <c r="AK71" s="340"/>
      <c r="AL71" s="340"/>
      <c r="AM71" s="340"/>
      <c r="AN71" s="340"/>
      <c r="AO71" s="340"/>
      <c r="AP71" s="340"/>
      <c r="AQ71" s="340"/>
      <c r="AR71" s="340"/>
      <c r="AS71" s="340"/>
      <c r="AT71" s="340"/>
      <c r="AU71" s="340"/>
      <c r="AV71" s="340"/>
    </row>
    <row r="72" spans="1:48" s="187" customFormat="1" x14ac:dyDescent="0.15">
      <c r="A72" s="340"/>
      <c r="B72" s="340"/>
      <c r="C72" s="340"/>
      <c r="D72" s="340"/>
      <c r="E72" s="340"/>
      <c r="F72" s="340"/>
      <c r="G72" s="340"/>
      <c r="H72" s="340"/>
      <c r="I72" s="340"/>
      <c r="J72" s="340"/>
      <c r="K72" s="340"/>
      <c r="L72" s="340"/>
      <c r="M72" s="340"/>
      <c r="N72" s="340"/>
      <c r="O72" s="340"/>
      <c r="P72" s="340"/>
      <c r="Q72" s="340"/>
      <c r="R72" s="340"/>
      <c r="S72" s="340"/>
      <c r="T72" s="340"/>
      <c r="U72" s="340"/>
      <c r="V72" s="340"/>
      <c r="W72" s="340"/>
      <c r="X72" s="340"/>
      <c r="Y72" s="340"/>
      <c r="Z72" s="340"/>
      <c r="AA72" s="340"/>
      <c r="AB72" s="340"/>
      <c r="AC72" s="340"/>
      <c r="AD72" s="340"/>
      <c r="AE72" s="340"/>
      <c r="AF72" s="340"/>
      <c r="AG72" s="340"/>
      <c r="AH72" s="340"/>
      <c r="AI72" s="340"/>
      <c r="AJ72" s="340"/>
      <c r="AK72" s="340"/>
      <c r="AL72" s="340"/>
      <c r="AM72" s="340"/>
      <c r="AN72" s="340"/>
      <c r="AO72" s="340"/>
      <c r="AP72" s="340"/>
      <c r="AQ72" s="340"/>
      <c r="AR72" s="340"/>
      <c r="AS72" s="340"/>
      <c r="AT72" s="340"/>
      <c r="AU72" s="340"/>
      <c r="AV72" s="340"/>
    </row>
    <row r="73" spans="1:48" s="187" customFormat="1" x14ac:dyDescent="0.15">
      <c r="A73" s="340"/>
      <c r="B73" s="340"/>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340"/>
      <c r="AP73" s="340"/>
      <c r="AQ73" s="340"/>
      <c r="AR73" s="340"/>
      <c r="AS73" s="340"/>
      <c r="AT73" s="340"/>
      <c r="AU73" s="340"/>
      <c r="AV73" s="340"/>
    </row>
    <row r="74" spans="1:48" s="187" customFormat="1" x14ac:dyDescent="0.15">
      <c r="A74" s="340"/>
      <c r="B74" s="340"/>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c r="AT74" s="340"/>
      <c r="AU74" s="340"/>
      <c r="AV74" s="340"/>
    </row>
    <row r="75" spans="1:48" s="187" customFormat="1" x14ac:dyDescent="0.15">
      <c r="A75" s="340"/>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c r="AV75" s="340"/>
    </row>
    <row r="76" spans="1:48" s="187" customFormat="1" x14ac:dyDescent="0.15">
      <c r="A76" s="340"/>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c r="AM76" s="340"/>
      <c r="AN76" s="340"/>
      <c r="AO76" s="340"/>
      <c r="AP76" s="340"/>
      <c r="AQ76" s="340"/>
      <c r="AR76" s="340"/>
      <c r="AS76" s="340"/>
      <c r="AT76" s="340"/>
      <c r="AU76" s="340"/>
      <c r="AV76" s="340"/>
    </row>
    <row r="77" spans="1:48" s="187" customFormat="1" x14ac:dyDescent="0.15">
      <c r="A77" s="340"/>
      <c r="B77" s="340"/>
      <c r="C77" s="340"/>
      <c r="D77" s="340"/>
      <c r="E77" s="340"/>
      <c r="F77" s="340"/>
      <c r="G77" s="340"/>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340"/>
      <c r="AM77" s="340"/>
      <c r="AN77" s="340"/>
      <c r="AO77" s="340"/>
      <c r="AP77" s="340"/>
      <c r="AQ77" s="340"/>
      <c r="AR77" s="340"/>
      <c r="AS77" s="340"/>
      <c r="AT77" s="340"/>
      <c r="AU77" s="340"/>
      <c r="AV77" s="340"/>
    </row>
    <row r="78" spans="1:48" s="187" customFormat="1" x14ac:dyDescent="0.15">
      <c r="A78" s="340"/>
      <c r="B78" s="340"/>
      <c r="C78" s="340"/>
      <c r="D78" s="340"/>
      <c r="E78" s="340"/>
      <c r="F78" s="340"/>
      <c r="G78" s="340"/>
      <c r="H78" s="340"/>
      <c r="I78" s="340"/>
      <c r="J78" s="340"/>
      <c r="K78" s="340"/>
      <c r="L78" s="340"/>
      <c r="M78" s="340"/>
      <c r="N78" s="340"/>
      <c r="O78" s="340"/>
      <c r="P78" s="340"/>
      <c r="Q78" s="340"/>
      <c r="R78" s="340"/>
      <c r="S78" s="340"/>
      <c r="T78" s="340"/>
      <c r="U78" s="340"/>
      <c r="V78" s="340"/>
      <c r="W78" s="340"/>
      <c r="X78" s="340"/>
      <c r="Y78" s="340"/>
      <c r="Z78" s="340"/>
      <c r="AA78" s="340"/>
      <c r="AB78" s="340"/>
      <c r="AC78" s="340"/>
      <c r="AD78" s="340"/>
      <c r="AE78" s="340"/>
      <c r="AF78" s="340"/>
      <c r="AG78" s="340"/>
      <c r="AH78" s="340"/>
      <c r="AI78" s="340"/>
      <c r="AJ78" s="340"/>
      <c r="AK78" s="340"/>
      <c r="AL78" s="340"/>
      <c r="AM78" s="340"/>
      <c r="AN78" s="340"/>
      <c r="AO78" s="340"/>
      <c r="AP78" s="340"/>
      <c r="AQ78" s="340"/>
      <c r="AR78" s="340"/>
      <c r="AS78" s="340"/>
      <c r="AT78" s="340"/>
      <c r="AU78" s="340"/>
      <c r="AV78" s="340"/>
    </row>
    <row r="79" spans="1:48" s="187" customFormat="1" x14ac:dyDescent="0.15">
      <c r="A79" s="340"/>
      <c r="B79" s="340"/>
      <c r="C79" s="340"/>
      <c r="D79" s="340"/>
      <c r="E79" s="340"/>
      <c r="F79" s="340"/>
      <c r="G79" s="340"/>
      <c r="H79" s="340"/>
      <c r="I79" s="340"/>
      <c r="J79" s="340"/>
      <c r="K79" s="340"/>
      <c r="L79" s="340"/>
      <c r="M79" s="340"/>
      <c r="N79" s="340"/>
      <c r="O79" s="340"/>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c r="AM79" s="340"/>
      <c r="AN79" s="340"/>
      <c r="AO79" s="340"/>
      <c r="AP79" s="340"/>
      <c r="AQ79" s="340"/>
      <c r="AR79" s="340"/>
      <c r="AS79" s="340"/>
      <c r="AT79" s="340"/>
      <c r="AU79" s="340"/>
      <c r="AV79" s="340"/>
    </row>
    <row r="80" spans="1:48" s="187" customFormat="1" x14ac:dyDescent="0.15"/>
    <row r="81" s="187" customFormat="1" x14ac:dyDescent="0.15"/>
    <row r="82" s="187" customFormat="1" x14ac:dyDescent="0.15"/>
    <row r="83" s="187" customFormat="1" x14ac:dyDescent="0.15"/>
    <row r="84" s="187" customFormat="1" x14ac:dyDescent="0.15"/>
    <row r="85" s="187" customFormat="1" x14ac:dyDescent="0.15"/>
    <row r="86" s="187" customFormat="1" x14ac:dyDescent="0.15"/>
    <row r="87" s="187" customFormat="1" x14ac:dyDescent="0.15"/>
    <row r="88" s="187" customFormat="1" x14ac:dyDescent="0.15"/>
    <row r="89" s="187" customFormat="1" x14ac:dyDescent="0.15"/>
    <row r="90" s="187" customFormat="1" x14ac:dyDescent="0.15"/>
    <row r="91" s="187" customFormat="1" x14ac:dyDescent="0.15"/>
    <row r="92" s="187" customFormat="1" x14ac:dyDescent="0.15"/>
    <row r="93" s="187" customFormat="1" x14ac:dyDescent="0.15"/>
    <row r="94" s="187" customFormat="1" x14ac:dyDescent="0.15"/>
    <row r="95" s="187" customFormat="1" x14ac:dyDescent="0.15"/>
    <row r="96" s="187" customFormat="1" x14ac:dyDescent="0.15"/>
    <row r="97" s="187" customFormat="1" x14ac:dyDescent="0.15"/>
    <row r="98" s="187" customFormat="1" x14ac:dyDescent="0.15"/>
    <row r="99" s="187" customFormat="1" x14ac:dyDescent="0.15"/>
    <row r="100" s="187" customFormat="1" x14ac:dyDescent="0.15"/>
    <row r="101" s="187" customFormat="1" x14ac:dyDescent="0.15"/>
    <row r="102" s="187" customFormat="1" x14ac:dyDescent="0.15"/>
    <row r="103" s="187" customFormat="1" x14ac:dyDescent="0.15"/>
    <row r="104" s="187" customFormat="1" x14ac:dyDescent="0.15"/>
    <row r="105" s="187" customFormat="1" x14ac:dyDescent="0.15"/>
    <row r="106" s="187" customFormat="1" x14ac:dyDescent="0.15"/>
    <row r="107" s="187" customFormat="1" x14ac:dyDescent="0.15"/>
    <row r="108" s="187" customFormat="1" x14ac:dyDescent="0.15"/>
    <row r="109" s="187" customFormat="1" x14ac:dyDescent="0.15"/>
    <row r="110" s="187" customFormat="1" x14ac:dyDescent="0.15"/>
    <row r="111" s="187" customFormat="1" x14ac:dyDescent="0.15"/>
    <row r="112" s="187" customFormat="1" x14ac:dyDescent="0.15"/>
    <row r="113" s="187" customFormat="1" x14ac:dyDescent="0.15"/>
    <row r="114" s="187" customFormat="1" x14ac:dyDescent="0.15"/>
    <row r="115" s="187" customFormat="1" x14ac:dyDescent="0.15"/>
    <row r="116" s="187" customFormat="1" x14ac:dyDescent="0.15"/>
    <row r="117" s="187" customFormat="1" x14ac:dyDescent="0.15"/>
    <row r="118" s="187" customFormat="1" x14ac:dyDescent="0.15"/>
    <row r="119" s="187" customFormat="1" x14ac:dyDescent="0.15"/>
    <row r="120" s="187" customFormat="1" x14ac:dyDescent="0.15"/>
    <row r="121" s="187" customFormat="1" x14ac:dyDescent="0.15"/>
    <row r="122" s="187" customFormat="1" x14ac:dyDescent="0.15"/>
    <row r="123" s="187" customFormat="1" x14ac:dyDescent="0.15"/>
    <row r="124" s="187" customFormat="1" x14ac:dyDescent="0.15"/>
    <row r="125" s="187" customFormat="1" x14ac:dyDescent="0.15"/>
    <row r="126" s="187" customFormat="1" x14ac:dyDescent="0.15"/>
    <row r="127" s="187" customFormat="1" x14ac:dyDescent="0.15"/>
    <row r="128" s="187" customFormat="1" x14ac:dyDescent="0.15"/>
    <row r="129" s="187" customFormat="1" x14ac:dyDescent="0.15"/>
    <row r="130" s="187" customFormat="1" x14ac:dyDescent="0.15"/>
    <row r="131" s="187" customFormat="1" x14ac:dyDescent="0.15"/>
    <row r="132" s="187" customFormat="1" x14ac:dyDescent="0.15"/>
    <row r="133" s="187" customFormat="1" x14ac:dyDescent="0.15"/>
    <row r="134" s="187" customFormat="1" x14ac:dyDescent="0.15"/>
    <row r="135" s="187" customFormat="1" x14ac:dyDescent="0.15"/>
    <row r="136" s="187" customFormat="1" x14ac:dyDescent="0.15"/>
    <row r="137" s="187" customFormat="1" x14ac:dyDescent="0.15"/>
    <row r="138" s="187" customFormat="1" x14ac:dyDescent="0.15"/>
    <row r="139" s="187" customFormat="1" x14ac:dyDescent="0.15"/>
    <row r="140" s="187" customFormat="1" x14ac:dyDescent="0.15"/>
    <row r="141" s="187" customFormat="1" x14ac:dyDescent="0.15"/>
    <row r="142" s="187" customFormat="1" x14ac:dyDescent="0.15"/>
    <row r="143" s="187" customFormat="1" x14ac:dyDescent="0.15"/>
    <row r="144" s="187" customFormat="1" x14ac:dyDescent="0.15"/>
    <row r="145" s="187" customFormat="1" x14ac:dyDescent="0.15"/>
    <row r="146" s="187" customFormat="1" x14ac:dyDescent="0.15"/>
    <row r="147" s="187" customFormat="1" x14ac:dyDescent="0.15"/>
    <row r="148" s="187" customFormat="1" x14ac:dyDescent="0.15"/>
    <row r="149" s="187" customFormat="1" x14ac:dyDescent="0.15"/>
    <row r="150" s="187" customFormat="1" x14ac:dyDescent="0.15"/>
    <row r="151" s="187" customFormat="1" x14ac:dyDescent="0.15"/>
    <row r="152" s="187" customFormat="1" x14ac:dyDescent="0.15"/>
    <row r="153" s="187" customFormat="1" x14ac:dyDescent="0.15"/>
    <row r="154" s="187" customFormat="1" x14ac:dyDescent="0.15"/>
    <row r="155" s="187" customFormat="1" x14ac:dyDescent="0.15"/>
    <row r="156" s="187" customFormat="1" x14ac:dyDescent="0.15"/>
    <row r="157" s="187" customFormat="1" x14ac:dyDescent="0.15"/>
    <row r="158" s="187" customFormat="1" x14ac:dyDescent="0.15"/>
    <row r="159" s="187" customFormat="1" x14ac:dyDescent="0.15"/>
    <row r="160" s="187" customFormat="1" x14ac:dyDescent="0.15"/>
    <row r="161" s="187" customFormat="1" x14ac:dyDescent="0.15"/>
    <row r="162" s="187" customFormat="1" x14ac:dyDescent="0.15"/>
    <row r="163" s="187" customFormat="1" x14ac:dyDescent="0.15"/>
    <row r="164" s="187" customFormat="1" x14ac:dyDescent="0.15"/>
    <row r="165" s="187" customFormat="1" x14ac:dyDescent="0.15"/>
    <row r="166" s="187" customFormat="1" x14ac:dyDescent="0.15"/>
    <row r="167" s="187" customFormat="1" x14ac:dyDescent="0.15"/>
    <row r="168" s="187" customFormat="1" x14ac:dyDescent="0.15"/>
    <row r="169" s="187" customFormat="1" x14ac:dyDescent="0.15"/>
    <row r="170" s="187" customFormat="1" x14ac:dyDescent="0.15"/>
    <row r="171" s="187" customFormat="1" x14ac:dyDescent="0.15"/>
    <row r="172" s="187" customFormat="1" x14ac:dyDescent="0.15"/>
    <row r="173" s="187" customFormat="1" x14ac:dyDescent="0.15"/>
    <row r="174" s="187" customFormat="1" x14ac:dyDescent="0.15"/>
    <row r="175" s="187" customFormat="1" x14ac:dyDescent="0.15"/>
    <row r="176" s="187" customFormat="1" x14ac:dyDescent="0.15"/>
    <row r="177" s="187" customFormat="1" x14ac:dyDescent="0.15"/>
    <row r="178" s="187" customFormat="1" x14ac:dyDescent="0.15"/>
    <row r="179" s="187" customFormat="1" x14ac:dyDescent="0.15"/>
    <row r="180" s="187" customFormat="1" x14ac:dyDescent="0.15"/>
    <row r="181" s="187" customFormat="1" x14ac:dyDescent="0.15"/>
    <row r="182" s="187" customFormat="1" x14ac:dyDescent="0.15"/>
    <row r="183" s="187" customFormat="1" x14ac:dyDescent="0.15"/>
    <row r="184" s="187" customFormat="1" x14ac:dyDescent="0.15"/>
    <row r="185" s="187" customFormat="1" x14ac:dyDescent="0.15"/>
    <row r="186" s="187" customFormat="1" x14ac:dyDescent="0.15"/>
    <row r="187" s="187" customFormat="1" x14ac:dyDescent="0.15"/>
    <row r="188" s="187" customFormat="1" x14ac:dyDescent="0.15"/>
    <row r="189" s="187" customFormat="1" x14ac:dyDescent="0.15"/>
    <row r="190" s="187" customFormat="1" x14ac:dyDescent="0.15"/>
    <row r="191" s="187" customFormat="1" x14ac:dyDescent="0.15"/>
    <row r="192" s="187" customFormat="1" x14ac:dyDescent="0.15"/>
    <row r="193" s="187" customFormat="1" x14ac:dyDescent="0.15"/>
    <row r="194" s="187" customFormat="1" x14ac:dyDescent="0.15"/>
    <row r="195" s="187" customFormat="1" x14ac:dyDescent="0.15"/>
    <row r="196" s="187" customFormat="1" x14ac:dyDescent="0.15"/>
    <row r="197" s="187" customFormat="1" x14ac:dyDescent="0.15"/>
    <row r="198" s="187" customFormat="1" x14ac:dyDescent="0.15"/>
    <row r="199" s="187" customFormat="1" x14ac:dyDescent="0.15"/>
    <row r="200" s="187" customFormat="1" x14ac:dyDescent="0.15"/>
    <row r="201" s="187" customFormat="1" x14ac:dyDescent="0.15"/>
    <row r="202" s="187" customFormat="1" x14ac:dyDescent="0.15"/>
    <row r="203" s="187" customFormat="1" x14ac:dyDescent="0.15"/>
    <row r="204" s="187" customFormat="1" x14ac:dyDescent="0.15"/>
    <row r="205" s="187" customFormat="1" x14ac:dyDescent="0.15"/>
    <row r="206" s="187" customFormat="1" x14ac:dyDescent="0.15"/>
    <row r="207" s="187" customFormat="1" x14ac:dyDescent="0.15"/>
    <row r="208" s="187" customFormat="1" x14ac:dyDescent="0.15"/>
    <row r="209" s="187" customFormat="1" x14ac:dyDescent="0.15"/>
    <row r="210" s="187" customFormat="1" x14ac:dyDescent="0.15"/>
    <row r="211" s="187" customFormat="1" x14ac:dyDescent="0.15"/>
    <row r="212" s="187" customFormat="1" x14ac:dyDescent="0.15"/>
    <row r="213" s="187" customFormat="1" x14ac:dyDescent="0.15"/>
    <row r="214" s="187" customFormat="1" x14ac:dyDescent="0.15"/>
    <row r="215" s="187" customFormat="1" x14ac:dyDescent="0.15"/>
    <row r="216" s="187" customFormat="1" x14ac:dyDescent="0.15"/>
    <row r="217" s="187" customFormat="1" x14ac:dyDescent="0.15"/>
    <row r="218" s="187" customFormat="1" x14ac:dyDescent="0.15"/>
    <row r="219" s="187" customFormat="1" x14ac:dyDescent="0.15"/>
    <row r="220" s="187" customFormat="1" x14ac:dyDescent="0.15"/>
    <row r="221" s="187" customFormat="1" x14ac:dyDescent="0.15"/>
    <row r="222" s="187" customFormat="1" x14ac:dyDescent="0.15"/>
    <row r="223" s="187" customFormat="1" x14ac:dyDescent="0.15"/>
    <row r="224" s="187" customFormat="1" x14ac:dyDescent="0.15"/>
    <row r="225" s="187" customFormat="1" x14ac:dyDescent="0.15"/>
    <row r="226" s="187" customFormat="1" x14ac:dyDescent="0.15"/>
    <row r="227" s="187" customFormat="1" x14ac:dyDescent="0.15"/>
    <row r="228" s="187" customFormat="1" x14ac:dyDescent="0.15"/>
    <row r="229" s="187" customFormat="1" x14ac:dyDescent="0.15"/>
    <row r="230" s="187" customFormat="1" x14ac:dyDescent="0.15"/>
    <row r="231" s="187" customFormat="1" x14ac:dyDescent="0.15"/>
    <row r="232" s="187" customFormat="1" x14ac:dyDescent="0.15"/>
    <row r="233" s="187" customFormat="1" x14ac:dyDescent="0.15"/>
    <row r="234" s="187" customFormat="1" x14ac:dyDescent="0.15"/>
    <row r="235" s="187" customFormat="1" x14ac:dyDescent="0.15"/>
    <row r="236" s="187" customFormat="1" x14ac:dyDescent="0.15"/>
    <row r="237" s="187" customFormat="1" x14ac:dyDescent="0.15"/>
    <row r="238" s="187" customFormat="1" x14ac:dyDescent="0.15"/>
    <row r="239" s="187" customFormat="1" x14ac:dyDescent="0.15"/>
    <row r="240" s="187" customFormat="1" x14ac:dyDescent="0.15"/>
    <row r="241" s="187" customFormat="1" x14ac:dyDescent="0.15"/>
    <row r="242" s="187" customFormat="1" x14ac:dyDescent="0.15"/>
    <row r="243" s="187" customFormat="1" x14ac:dyDescent="0.15"/>
    <row r="244" s="187" customFormat="1" x14ac:dyDescent="0.15"/>
    <row r="245" s="187" customFormat="1" x14ac:dyDescent="0.15"/>
    <row r="246" s="187" customFormat="1" x14ac:dyDescent="0.15"/>
    <row r="247" s="187" customFormat="1" x14ac:dyDescent="0.15"/>
    <row r="248" s="187" customFormat="1" x14ac:dyDescent="0.15"/>
    <row r="249" s="187" customFormat="1" x14ac:dyDescent="0.15"/>
    <row r="250" s="187" customFormat="1" x14ac:dyDescent="0.15"/>
    <row r="251" s="187" customFormat="1" x14ac:dyDescent="0.15"/>
    <row r="252" s="187" customFormat="1" x14ac:dyDescent="0.15"/>
    <row r="253" s="187" customFormat="1" x14ac:dyDescent="0.15"/>
    <row r="254" s="187" customFormat="1" x14ac:dyDescent="0.15"/>
    <row r="255" s="187" customFormat="1" x14ac:dyDescent="0.15"/>
    <row r="256" s="187" customFormat="1" x14ac:dyDescent="0.15"/>
    <row r="257" s="187" customFormat="1" x14ac:dyDescent="0.15"/>
    <row r="258" s="187" customFormat="1" x14ac:dyDescent="0.15"/>
    <row r="259" s="187" customFormat="1" x14ac:dyDescent="0.15"/>
    <row r="260" s="187" customFormat="1" x14ac:dyDescent="0.15"/>
    <row r="261" s="187" customFormat="1" x14ac:dyDescent="0.15"/>
    <row r="262" s="187" customFormat="1" x14ac:dyDescent="0.15"/>
    <row r="263" s="187" customFormat="1" x14ac:dyDescent="0.15"/>
    <row r="264" s="187" customFormat="1" x14ac:dyDescent="0.15"/>
    <row r="265" s="187" customFormat="1" x14ac:dyDescent="0.15"/>
    <row r="266" s="187" customFormat="1" x14ac:dyDescent="0.15"/>
    <row r="267" s="187" customFormat="1" x14ac:dyDescent="0.15"/>
    <row r="268" s="187" customFormat="1" x14ac:dyDescent="0.15"/>
    <row r="269" s="187" customFormat="1" x14ac:dyDescent="0.15"/>
    <row r="270" s="187" customFormat="1" x14ac:dyDescent="0.15"/>
    <row r="271" s="187" customFormat="1" x14ac:dyDescent="0.15"/>
    <row r="272" s="187" customFormat="1" x14ac:dyDescent="0.15"/>
    <row r="273" s="187" customFormat="1" x14ac:dyDescent="0.15"/>
    <row r="274" s="187" customFormat="1" x14ac:dyDescent="0.15"/>
    <row r="275" s="187" customFormat="1" x14ac:dyDescent="0.15"/>
    <row r="276" s="187" customFormat="1" x14ac:dyDescent="0.15"/>
    <row r="277" s="187" customFormat="1" x14ac:dyDescent="0.15"/>
    <row r="278" s="187" customFormat="1" x14ac:dyDescent="0.15"/>
    <row r="279" s="187" customFormat="1" x14ac:dyDescent="0.15"/>
    <row r="280" s="187" customFormat="1" x14ac:dyDescent="0.15"/>
    <row r="281" s="187" customFormat="1" x14ac:dyDescent="0.15"/>
    <row r="282" s="187" customFormat="1" x14ac:dyDescent="0.15"/>
    <row r="283" s="187" customFormat="1" x14ac:dyDescent="0.15"/>
    <row r="284" s="187" customFormat="1" x14ac:dyDescent="0.15"/>
    <row r="285" s="187" customFormat="1" x14ac:dyDescent="0.15"/>
    <row r="286" s="187" customFormat="1" x14ac:dyDescent="0.15"/>
    <row r="287" s="187" customFormat="1" x14ac:dyDescent="0.15"/>
    <row r="288" s="187" customFormat="1" x14ac:dyDescent="0.15"/>
    <row r="289" s="187" customFormat="1" x14ac:dyDescent="0.15"/>
    <row r="290" s="187" customFormat="1" x14ac:dyDescent="0.15"/>
    <row r="291" s="187" customFormat="1" x14ac:dyDescent="0.15"/>
    <row r="292" s="187" customFormat="1" x14ac:dyDescent="0.15"/>
    <row r="293" s="187" customFormat="1" x14ac:dyDescent="0.15"/>
    <row r="294" s="187" customFormat="1" x14ac:dyDescent="0.15"/>
    <row r="295" s="187" customFormat="1" x14ac:dyDescent="0.15"/>
    <row r="296" s="187" customFormat="1" x14ac:dyDescent="0.15"/>
    <row r="297" s="187" customFormat="1" x14ac:dyDescent="0.15"/>
    <row r="298" s="187" customFormat="1" x14ac:dyDescent="0.15"/>
    <row r="299" s="187" customFormat="1" x14ac:dyDescent="0.15"/>
    <row r="300" s="187" customFormat="1" x14ac:dyDescent="0.15"/>
    <row r="301" s="187" customFormat="1" x14ac:dyDescent="0.15"/>
    <row r="302" s="187" customFormat="1" x14ac:dyDescent="0.15"/>
    <row r="303" s="187" customFormat="1" x14ac:dyDescent="0.15"/>
    <row r="304" s="187" customFormat="1" x14ac:dyDescent="0.15"/>
    <row r="305" s="187" customFormat="1" x14ac:dyDescent="0.15"/>
    <row r="306" s="187" customFormat="1" x14ac:dyDescent="0.15"/>
    <row r="307" s="187" customFormat="1" x14ac:dyDescent="0.15"/>
    <row r="308" s="187" customFormat="1" x14ac:dyDescent="0.15"/>
    <row r="309" s="187" customFormat="1" x14ac:dyDescent="0.15"/>
    <row r="310" s="187" customFormat="1" x14ac:dyDescent="0.15"/>
    <row r="311" s="187" customFormat="1" x14ac:dyDescent="0.15"/>
    <row r="312" s="187" customFormat="1" x14ac:dyDescent="0.15"/>
    <row r="313" s="187" customFormat="1" x14ac:dyDescent="0.15"/>
    <row r="314" s="187" customFormat="1" x14ac:dyDescent="0.15"/>
    <row r="315" s="187" customFormat="1" x14ac:dyDescent="0.15"/>
    <row r="316" s="187" customFormat="1" x14ac:dyDescent="0.15"/>
    <row r="317" s="187" customFormat="1" x14ac:dyDescent="0.15"/>
    <row r="318" s="187" customFormat="1" x14ac:dyDescent="0.15"/>
    <row r="319" s="187" customFormat="1" x14ac:dyDescent="0.15"/>
    <row r="320" s="187" customFormat="1" x14ac:dyDescent="0.15"/>
    <row r="321" s="187" customFormat="1" x14ac:dyDescent="0.15"/>
    <row r="322" s="187" customFormat="1" x14ac:dyDescent="0.15"/>
    <row r="323" s="187" customFormat="1" x14ac:dyDescent="0.15"/>
    <row r="324" s="187" customFormat="1" x14ac:dyDescent="0.15"/>
    <row r="325" s="187" customFormat="1" x14ac:dyDescent="0.15"/>
    <row r="326" s="187" customFormat="1" x14ac:dyDescent="0.15"/>
    <row r="327" s="187" customFormat="1" x14ac:dyDescent="0.15"/>
    <row r="328" s="187" customFormat="1" x14ac:dyDescent="0.15"/>
    <row r="329" s="187" customFormat="1" x14ac:dyDescent="0.15"/>
    <row r="330" s="187" customFormat="1" x14ac:dyDescent="0.15"/>
    <row r="331" s="187" customFormat="1" x14ac:dyDescent="0.15"/>
    <row r="332" s="187" customFormat="1" x14ac:dyDescent="0.15"/>
    <row r="333" s="187" customFormat="1" x14ac:dyDescent="0.15"/>
    <row r="334" s="187" customFormat="1" x14ac:dyDescent="0.15"/>
    <row r="335" s="187" customFormat="1" x14ac:dyDescent="0.15"/>
    <row r="336" s="187" customFormat="1" x14ac:dyDescent="0.15"/>
    <row r="337" s="187" customFormat="1" x14ac:dyDescent="0.15"/>
    <row r="338" s="187" customFormat="1" x14ac:dyDescent="0.15"/>
    <row r="339" s="187" customFormat="1" x14ac:dyDescent="0.15"/>
    <row r="340" s="187" customFormat="1" x14ac:dyDescent="0.15"/>
    <row r="341" s="187" customFormat="1" x14ac:dyDescent="0.15"/>
    <row r="342" s="187" customFormat="1" x14ac:dyDescent="0.15"/>
    <row r="343" s="187" customFormat="1" x14ac:dyDescent="0.15"/>
    <row r="344" s="187" customFormat="1" x14ac:dyDescent="0.15"/>
    <row r="345" s="187" customFormat="1" x14ac:dyDescent="0.15"/>
    <row r="346" s="187" customFormat="1" x14ac:dyDescent="0.15"/>
    <row r="347" s="187" customFormat="1" x14ac:dyDescent="0.15"/>
    <row r="348" s="187" customFormat="1" x14ac:dyDescent="0.15"/>
    <row r="349" s="187" customFormat="1" x14ac:dyDescent="0.15"/>
    <row r="350" s="187" customFormat="1" x14ac:dyDescent="0.15"/>
    <row r="351" s="187" customFormat="1" x14ac:dyDescent="0.15"/>
    <row r="352" s="187" customFormat="1" x14ac:dyDescent="0.15"/>
    <row r="353" s="187" customFormat="1" x14ac:dyDescent="0.15"/>
    <row r="354" s="187" customFormat="1" x14ac:dyDescent="0.15"/>
    <row r="355" s="187" customFormat="1" x14ac:dyDescent="0.15"/>
    <row r="356" s="187" customFormat="1" x14ac:dyDescent="0.15"/>
    <row r="357" s="187" customFormat="1" x14ac:dyDescent="0.15"/>
    <row r="358" s="187" customFormat="1" x14ac:dyDescent="0.15"/>
    <row r="359" s="187" customFormat="1" x14ac:dyDescent="0.15"/>
    <row r="360" s="187" customFormat="1" x14ac:dyDescent="0.15"/>
    <row r="361" s="187" customFormat="1" x14ac:dyDescent="0.15"/>
    <row r="362" s="187" customFormat="1" x14ac:dyDescent="0.15"/>
    <row r="363" s="187" customFormat="1" x14ac:dyDescent="0.15"/>
    <row r="364" s="187" customFormat="1" x14ac:dyDescent="0.15"/>
    <row r="365" s="187" customFormat="1" x14ac:dyDescent="0.15"/>
    <row r="366" s="187" customFormat="1" x14ac:dyDescent="0.15"/>
    <row r="367" s="187" customFormat="1" x14ac:dyDescent="0.15"/>
    <row r="368" s="187" customFormat="1" x14ac:dyDescent="0.15"/>
    <row r="369" s="187" customFormat="1" x14ac:dyDescent="0.15"/>
    <row r="370" s="187" customFormat="1" x14ac:dyDescent="0.15"/>
    <row r="371" s="187" customFormat="1" x14ac:dyDescent="0.15"/>
    <row r="372" s="187" customFormat="1" x14ac:dyDescent="0.15"/>
    <row r="373" s="187" customFormat="1" x14ac:dyDescent="0.15"/>
    <row r="374" s="187" customFormat="1" x14ac:dyDescent="0.15"/>
    <row r="375" s="187" customFormat="1" x14ac:dyDescent="0.15"/>
    <row r="376" s="187" customFormat="1" x14ac:dyDescent="0.15"/>
    <row r="377" s="187" customFormat="1" x14ac:dyDescent="0.15"/>
    <row r="378" s="187" customFormat="1" x14ac:dyDescent="0.15"/>
    <row r="379" s="187" customFormat="1" x14ac:dyDescent="0.15"/>
    <row r="380" s="187" customFormat="1" x14ac:dyDescent="0.15"/>
    <row r="381" s="187" customFormat="1" x14ac:dyDescent="0.15"/>
    <row r="382" s="187" customFormat="1" x14ac:dyDescent="0.15"/>
    <row r="383" s="187" customFormat="1" x14ac:dyDescent="0.15"/>
    <row r="384" s="187" customFormat="1" x14ac:dyDescent="0.15"/>
    <row r="385" s="187" customFormat="1" x14ac:dyDescent="0.15"/>
    <row r="386" s="187" customFormat="1" x14ac:dyDescent="0.15"/>
    <row r="387" s="187" customFormat="1" x14ac:dyDescent="0.15"/>
    <row r="388" s="187" customFormat="1" x14ac:dyDescent="0.15"/>
    <row r="389" s="187" customFormat="1" x14ac:dyDescent="0.15"/>
    <row r="390" s="187" customFormat="1" x14ac:dyDescent="0.15"/>
    <row r="391" s="187" customFormat="1" x14ac:dyDescent="0.15"/>
    <row r="392" s="187" customFormat="1" x14ac:dyDescent="0.15"/>
    <row r="393" s="187" customFormat="1" x14ac:dyDescent="0.15"/>
    <row r="394" s="187" customFormat="1" x14ac:dyDescent="0.15"/>
    <row r="395" s="187" customFormat="1" x14ac:dyDescent="0.15"/>
    <row r="396" s="187" customFormat="1" x14ac:dyDescent="0.15"/>
    <row r="397" s="187" customFormat="1" x14ac:dyDescent="0.15"/>
    <row r="398" s="187" customFormat="1" x14ac:dyDescent="0.15"/>
    <row r="399" s="187" customFormat="1" x14ac:dyDescent="0.15"/>
    <row r="400" s="187" customFormat="1" x14ac:dyDescent="0.15"/>
    <row r="401" s="187" customFormat="1" x14ac:dyDescent="0.15"/>
    <row r="402" s="187" customFormat="1" x14ac:dyDescent="0.15"/>
    <row r="403" s="187" customFormat="1" x14ac:dyDescent="0.15"/>
    <row r="404" s="187" customFormat="1" x14ac:dyDescent="0.15"/>
    <row r="405" s="187" customFormat="1" x14ac:dyDescent="0.15"/>
    <row r="406" s="187" customFormat="1" x14ac:dyDescent="0.15"/>
    <row r="407" s="187" customFormat="1" x14ac:dyDescent="0.15"/>
    <row r="408" s="187" customFormat="1" x14ac:dyDescent="0.15"/>
    <row r="409" s="187" customFormat="1" x14ac:dyDescent="0.15"/>
    <row r="410" s="187" customFormat="1" x14ac:dyDescent="0.15"/>
    <row r="411" s="187" customFormat="1" x14ac:dyDescent="0.15"/>
    <row r="412" s="187" customFormat="1" x14ac:dyDescent="0.15"/>
    <row r="413" s="187" customFormat="1" x14ac:dyDescent="0.15"/>
    <row r="414" s="187" customFormat="1" x14ac:dyDescent="0.15"/>
    <row r="415" s="187" customFormat="1" x14ac:dyDescent="0.15"/>
    <row r="416" s="187" customFormat="1" x14ac:dyDescent="0.15"/>
    <row r="417" s="187" customFormat="1" x14ac:dyDescent="0.15"/>
    <row r="418" s="187" customFormat="1" x14ac:dyDescent="0.15"/>
    <row r="419" s="187" customFormat="1" x14ac:dyDescent="0.15"/>
    <row r="420" s="187" customFormat="1" x14ac:dyDescent="0.15"/>
    <row r="421" s="187" customFormat="1" x14ac:dyDescent="0.15"/>
    <row r="422" s="187" customFormat="1" x14ac:dyDescent="0.15"/>
    <row r="423" s="187" customFormat="1" x14ac:dyDescent="0.15"/>
    <row r="424" s="187" customFormat="1" x14ac:dyDescent="0.15"/>
    <row r="425" s="187" customFormat="1" x14ac:dyDescent="0.15"/>
    <row r="426" s="187" customFormat="1" x14ac:dyDescent="0.15"/>
    <row r="427" s="187" customFormat="1" x14ac:dyDescent="0.15"/>
    <row r="428" s="187" customFormat="1" x14ac:dyDescent="0.15"/>
    <row r="429" s="187" customFormat="1" x14ac:dyDescent="0.15"/>
    <row r="430" s="187" customFormat="1" x14ac:dyDescent="0.15"/>
    <row r="431" s="187" customFormat="1" x14ac:dyDescent="0.15"/>
    <row r="432" s="187" customFormat="1" x14ac:dyDescent="0.15"/>
    <row r="433" s="187" customFormat="1" x14ac:dyDescent="0.15"/>
    <row r="434" s="187" customFormat="1" x14ac:dyDescent="0.15"/>
    <row r="435" s="187" customFormat="1" x14ac:dyDescent="0.15"/>
    <row r="436" s="187" customFormat="1" x14ac:dyDescent="0.15"/>
    <row r="437" s="187" customFormat="1" x14ac:dyDescent="0.15"/>
    <row r="438" s="187" customFormat="1" x14ac:dyDescent="0.15"/>
    <row r="439" s="187" customFormat="1" x14ac:dyDescent="0.15"/>
    <row r="440" s="187" customFormat="1" x14ac:dyDescent="0.15"/>
    <row r="441" s="187" customFormat="1" x14ac:dyDescent="0.15"/>
    <row r="442" s="187" customFormat="1" x14ac:dyDescent="0.15"/>
    <row r="443" s="187" customFormat="1" x14ac:dyDescent="0.15"/>
    <row r="444" s="187" customFormat="1" x14ac:dyDescent="0.15"/>
    <row r="445" s="187" customFormat="1" x14ac:dyDescent="0.15"/>
    <row r="446" s="187" customFormat="1" x14ac:dyDescent="0.15"/>
    <row r="447" s="187" customFormat="1" x14ac:dyDescent="0.15"/>
    <row r="448" s="187" customFormat="1" x14ac:dyDescent="0.15"/>
    <row r="449" s="187" customFormat="1" x14ac:dyDescent="0.15"/>
    <row r="450" s="187" customFormat="1" x14ac:dyDescent="0.15"/>
    <row r="451" s="187" customFormat="1" x14ac:dyDescent="0.15"/>
    <row r="452" s="187" customFormat="1" x14ac:dyDescent="0.15"/>
    <row r="453" s="187" customFormat="1" x14ac:dyDescent="0.15"/>
    <row r="454" s="187" customFormat="1" x14ac:dyDescent="0.15"/>
    <row r="455" s="187" customFormat="1" x14ac:dyDescent="0.15"/>
    <row r="456" s="187" customFormat="1" x14ac:dyDescent="0.15"/>
    <row r="457" s="187" customFormat="1" x14ac:dyDescent="0.15"/>
    <row r="458" s="187" customFormat="1" x14ac:dyDescent="0.15"/>
    <row r="459" s="187" customFormat="1" x14ac:dyDescent="0.15"/>
    <row r="460" s="187" customFormat="1" x14ac:dyDescent="0.15"/>
    <row r="461" s="187" customFormat="1" x14ac:dyDescent="0.15"/>
    <row r="462" s="187" customFormat="1" x14ac:dyDescent="0.15"/>
    <row r="463" s="187" customFormat="1" x14ac:dyDescent="0.15"/>
    <row r="464" s="187" customFormat="1" x14ac:dyDescent="0.15"/>
    <row r="465" s="187" customFormat="1" x14ac:dyDescent="0.15"/>
    <row r="466" s="187" customFormat="1" x14ac:dyDescent="0.15"/>
    <row r="467" s="187" customFormat="1" x14ac:dyDescent="0.15"/>
    <row r="468" s="187" customFormat="1" x14ac:dyDescent="0.15"/>
    <row r="469" s="187" customFormat="1" x14ac:dyDescent="0.15"/>
    <row r="470" s="187" customFormat="1" x14ac:dyDescent="0.15"/>
    <row r="471" s="187" customFormat="1" x14ac:dyDescent="0.15"/>
    <row r="472" s="187" customFormat="1" x14ac:dyDescent="0.15"/>
    <row r="473" s="187" customFormat="1" x14ac:dyDescent="0.15"/>
    <row r="474" s="187" customFormat="1" x14ac:dyDescent="0.15"/>
    <row r="475" s="187" customFormat="1" x14ac:dyDescent="0.15"/>
    <row r="476" s="187" customFormat="1" x14ac:dyDescent="0.15"/>
    <row r="477" s="187" customFormat="1" x14ac:dyDescent="0.15"/>
    <row r="478" s="187" customFormat="1" x14ac:dyDescent="0.15"/>
    <row r="479" s="187" customFormat="1" x14ac:dyDescent="0.15"/>
    <row r="480" s="187" customFormat="1" x14ac:dyDescent="0.15"/>
    <row r="481" s="187" customFormat="1" x14ac:dyDescent="0.15"/>
    <row r="482" s="187" customFormat="1" x14ac:dyDescent="0.15"/>
    <row r="483" s="187" customFormat="1" x14ac:dyDescent="0.15"/>
    <row r="484" s="187" customFormat="1" x14ac:dyDescent="0.15"/>
    <row r="485" s="187" customFormat="1" x14ac:dyDescent="0.15"/>
    <row r="486" s="187" customFormat="1" x14ac:dyDescent="0.15"/>
    <row r="487" s="187" customFormat="1" x14ac:dyDescent="0.15"/>
    <row r="488" s="187" customFormat="1" x14ac:dyDescent="0.15"/>
    <row r="489" s="187" customFormat="1" x14ac:dyDescent="0.15"/>
    <row r="490" s="187" customFormat="1" x14ac:dyDescent="0.15"/>
    <row r="491" s="187" customFormat="1" x14ac:dyDescent="0.15"/>
    <row r="492" s="187" customFormat="1" x14ac:dyDescent="0.15"/>
    <row r="493" s="187" customFormat="1" x14ac:dyDescent="0.15"/>
    <row r="494" s="187" customFormat="1" x14ac:dyDescent="0.15"/>
    <row r="495" s="187" customFormat="1" x14ac:dyDescent="0.15"/>
    <row r="496" s="187" customFormat="1" x14ac:dyDescent="0.15"/>
    <row r="497" s="187" customFormat="1" x14ac:dyDescent="0.15"/>
    <row r="498" s="187" customFormat="1" x14ac:dyDescent="0.15"/>
    <row r="499" s="187" customFormat="1" x14ac:dyDescent="0.15"/>
    <row r="500" s="187" customFormat="1" x14ac:dyDescent="0.15"/>
    <row r="501" s="187" customFormat="1" x14ac:dyDescent="0.15"/>
    <row r="502" s="187" customFormat="1" x14ac:dyDescent="0.15"/>
    <row r="503" s="187" customFormat="1" x14ac:dyDescent="0.15"/>
    <row r="504" s="187" customFormat="1" x14ac:dyDescent="0.15"/>
    <row r="505" s="187" customFormat="1" x14ac:dyDescent="0.15"/>
    <row r="506" s="187" customFormat="1" x14ac:dyDescent="0.15"/>
    <row r="507" s="187" customFormat="1" x14ac:dyDescent="0.15"/>
    <row r="508" s="187" customFormat="1" x14ac:dyDescent="0.15"/>
    <row r="509" s="187" customFormat="1" x14ac:dyDescent="0.15"/>
    <row r="510" s="187" customFormat="1" x14ac:dyDescent="0.15"/>
    <row r="511" s="187" customFormat="1" x14ac:dyDescent="0.15"/>
    <row r="512" s="187" customFormat="1" x14ac:dyDescent="0.15"/>
    <row r="513" s="187" customFormat="1" x14ac:dyDescent="0.15"/>
    <row r="514" s="187" customFormat="1" x14ac:dyDescent="0.15"/>
    <row r="515" s="187" customFormat="1" x14ac:dyDescent="0.15"/>
    <row r="516" s="187" customFormat="1" x14ac:dyDescent="0.15"/>
    <row r="517" s="187" customFormat="1" x14ac:dyDescent="0.15"/>
    <row r="518" s="187" customFormat="1" x14ac:dyDescent="0.15"/>
    <row r="519" s="187" customFormat="1" x14ac:dyDescent="0.15"/>
    <row r="520" s="187" customFormat="1" x14ac:dyDescent="0.15"/>
    <row r="521" s="187" customFormat="1" x14ac:dyDescent="0.15"/>
    <row r="522" s="187" customFormat="1" x14ac:dyDescent="0.15"/>
    <row r="523" s="187" customFormat="1" x14ac:dyDescent="0.15"/>
    <row r="524" s="187" customFormat="1" x14ac:dyDescent="0.15"/>
    <row r="525" s="187" customFormat="1" x14ac:dyDescent="0.15"/>
    <row r="526" s="187" customFormat="1" x14ac:dyDescent="0.15"/>
    <row r="527" s="187" customFormat="1" x14ac:dyDescent="0.15"/>
    <row r="528" s="187" customFormat="1" x14ac:dyDescent="0.15"/>
    <row r="529" s="187" customFormat="1" x14ac:dyDescent="0.15"/>
    <row r="530" s="187" customFormat="1" x14ac:dyDescent="0.15"/>
    <row r="531" s="187" customFormat="1" x14ac:dyDescent="0.15"/>
    <row r="532" s="187" customFormat="1" x14ac:dyDescent="0.15"/>
    <row r="533" s="187" customFormat="1" x14ac:dyDescent="0.15"/>
    <row r="534" s="187" customFormat="1" x14ac:dyDescent="0.15"/>
    <row r="535" s="187" customFormat="1" x14ac:dyDescent="0.15"/>
    <row r="536" s="187" customFormat="1" x14ac:dyDescent="0.15"/>
    <row r="537" s="187" customFormat="1" x14ac:dyDescent="0.15"/>
    <row r="538" s="187" customFormat="1" x14ac:dyDescent="0.15"/>
    <row r="539" s="187" customFormat="1" x14ac:dyDescent="0.15"/>
    <row r="540" s="187" customFormat="1" x14ac:dyDescent="0.15"/>
    <row r="541" s="187" customFormat="1" x14ac:dyDescent="0.15"/>
    <row r="542" s="187" customFormat="1" x14ac:dyDescent="0.15"/>
    <row r="543" s="187" customFormat="1" x14ac:dyDescent="0.15"/>
    <row r="544" s="187" customFormat="1" x14ac:dyDescent="0.15"/>
    <row r="545" s="187" customFormat="1" x14ac:dyDescent="0.15"/>
    <row r="546" s="187" customFormat="1" x14ac:dyDescent="0.15"/>
    <row r="547" s="187" customFormat="1" x14ac:dyDescent="0.15"/>
    <row r="548" s="187" customFormat="1" x14ac:dyDescent="0.15"/>
    <row r="549" s="187" customFormat="1" x14ac:dyDescent="0.15"/>
    <row r="550" s="187" customFormat="1" x14ac:dyDescent="0.15"/>
    <row r="551" s="187" customFormat="1" x14ac:dyDescent="0.15"/>
    <row r="552" s="187" customFormat="1" x14ac:dyDescent="0.15"/>
    <row r="553" s="187" customFormat="1" x14ac:dyDescent="0.15"/>
    <row r="554" s="187" customFormat="1" x14ac:dyDescent="0.15"/>
    <row r="555" s="187" customFormat="1" x14ac:dyDescent="0.15"/>
    <row r="556" s="187" customFormat="1" x14ac:dyDescent="0.15"/>
    <row r="557" s="187" customFormat="1" x14ac:dyDescent="0.15"/>
    <row r="558" s="187" customFormat="1" x14ac:dyDescent="0.15"/>
    <row r="559" s="187" customFormat="1" x14ac:dyDescent="0.15"/>
    <row r="560" s="187" customFormat="1" x14ac:dyDescent="0.15"/>
    <row r="561" s="187" customFormat="1" x14ac:dyDescent="0.15"/>
    <row r="562" s="187" customFormat="1" x14ac:dyDescent="0.15"/>
    <row r="563" s="187" customFormat="1" x14ac:dyDescent="0.15"/>
    <row r="564" s="187" customFormat="1" x14ac:dyDescent="0.15"/>
    <row r="565" s="187" customFormat="1" x14ac:dyDescent="0.15"/>
    <row r="566" s="187" customFormat="1" x14ac:dyDescent="0.15"/>
    <row r="567" s="187" customFormat="1" x14ac:dyDescent="0.15"/>
    <row r="568" s="187" customFormat="1" x14ac:dyDescent="0.15"/>
    <row r="569" s="187" customFormat="1" x14ac:dyDescent="0.15"/>
    <row r="570" s="187" customFormat="1" x14ac:dyDescent="0.15"/>
    <row r="571" s="187" customFormat="1" x14ac:dyDescent="0.15"/>
    <row r="572" s="187" customFormat="1" x14ac:dyDescent="0.15"/>
    <row r="573" s="187" customFormat="1" x14ac:dyDescent="0.15"/>
    <row r="574" s="187" customFormat="1" x14ac:dyDescent="0.15"/>
    <row r="575" s="187" customFormat="1" x14ac:dyDescent="0.15"/>
    <row r="576" s="187" customFormat="1" x14ac:dyDescent="0.15"/>
    <row r="577" s="187" customFormat="1" x14ac:dyDescent="0.15"/>
    <row r="578" s="187" customFormat="1" x14ac:dyDescent="0.15"/>
    <row r="579" s="187" customFormat="1" x14ac:dyDescent="0.15"/>
    <row r="580" s="187" customFormat="1" x14ac:dyDescent="0.15"/>
    <row r="581" s="187" customFormat="1" x14ac:dyDescent="0.15"/>
    <row r="582" s="187" customFormat="1" x14ac:dyDescent="0.15"/>
    <row r="583" s="187" customFormat="1" x14ac:dyDescent="0.15"/>
    <row r="584" s="187" customFormat="1" x14ac:dyDescent="0.15"/>
    <row r="585" s="187" customFormat="1" x14ac:dyDescent="0.15"/>
    <row r="586" s="187" customFormat="1" x14ac:dyDescent="0.15"/>
    <row r="587" s="187" customFormat="1" x14ac:dyDescent="0.15"/>
    <row r="588" s="187" customFormat="1" x14ac:dyDescent="0.15"/>
    <row r="589" s="187" customFormat="1" x14ac:dyDescent="0.15"/>
    <row r="590" s="187" customFormat="1" x14ac:dyDescent="0.15"/>
    <row r="591" s="187" customFormat="1" x14ac:dyDescent="0.15"/>
    <row r="592" s="187" customFormat="1" x14ac:dyDescent="0.15"/>
    <row r="593" s="187" customFormat="1" x14ac:dyDescent="0.15"/>
    <row r="594" s="187" customFormat="1" x14ac:dyDescent="0.15"/>
    <row r="595" s="187" customFormat="1" x14ac:dyDescent="0.15"/>
    <row r="596" s="187" customFormat="1" x14ac:dyDescent="0.15"/>
    <row r="597" s="187" customFormat="1" x14ac:dyDescent="0.15"/>
    <row r="598" s="187" customFormat="1" x14ac:dyDescent="0.15"/>
    <row r="599" s="187" customFormat="1" x14ac:dyDescent="0.15"/>
    <row r="600" s="187" customFormat="1" x14ac:dyDescent="0.15"/>
    <row r="601" s="187" customFormat="1" x14ac:dyDescent="0.15"/>
    <row r="602" s="187" customFormat="1" x14ac:dyDescent="0.15"/>
    <row r="603" s="187" customFormat="1" x14ac:dyDescent="0.15"/>
    <row r="604" s="187" customFormat="1" x14ac:dyDescent="0.15"/>
    <row r="605" s="187" customFormat="1" x14ac:dyDescent="0.15"/>
    <row r="606" s="187" customFormat="1" x14ac:dyDescent="0.15"/>
    <row r="607" s="187" customFormat="1" x14ac:dyDescent="0.15"/>
    <row r="608" s="187" customFormat="1" x14ac:dyDescent="0.15"/>
    <row r="609" s="187" customFormat="1" x14ac:dyDescent="0.15"/>
    <row r="610" s="187" customFormat="1" x14ac:dyDescent="0.15"/>
    <row r="611" s="187" customFormat="1" x14ac:dyDescent="0.15"/>
    <row r="612" s="187" customFormat="1" x14ac:dyDescent="0.15"/>
    <row r="613" s="187" customFormat="1" x14ac:dyDescent="0.15"/>
    <row r="614" s="187" customFormat="1" x14ac:dyDescent="0.15"/>
    <row r="615" s="187" customFormat="1" x14ac:dyDescent="0.15"/>
    <row r="616" s="187" customFormat="1" x14ac:dyDescent="0.15"/>
    <row r="617" s="187" customFormat="1" x14ac:dyDescent="0.15"/>
    <row r="618" s="187" customFormat="1" x14ac:dyDescent="0.15"/>
    <row r="619" s="187" customFormat="1" x14ac:dyDescent="0.15"/>
    <row r="620" s="187" customFormat="1" x14ac:dyDescent="0.15"/>
    <row r="621" s="187" customFormat="1" x14ac:dyDescent="0.15"/>
    <row r="622" s="187" customFormat="1" x14ac:dyDescent="0.15"/>
    <row r="623" s="187" customFormat="1" x14ac:dyDescent="0.15"/>
    <row r="624" s="187" customFormat="1" x14ac:dyDescent="0.15"/>
    <row r="625" s="187" customFormat="1" x14ac:dyDescent="0.15"/>
    <row r="626" s="187" customFormat="1" x14ac:dyDescent="0.15"/>
    <row r="627" s="187" customFormat="1" x14ac:dyDescent="0.15"/>
    <row r="628" s="187" customFormat="1" x14ac:dyDescent="0.15"/>
    <row r="629" s="187" customFormat="1" x14ac:dyDescent="0.15"/>
    <row r="630" s="187" customFormat="1" x14ac:dyDescent="0.15"/>
    <row r="631" s="187" customFormat="1" x14ac:dyDescent="0.15"/>
    <row r="632" s="187" customFormat="1" x14ac:dyDescent="0.15"/>
    <row r="633" s="187" customFormat="1" x14ac:dyDescent="0.15"/>
    <row r="634" s="187" customFormat="1" x14ac:dyDescent="0.15"/>
    <row r="635" s="187" customFormat="1" x14ac:dyDescent="0.15"/>
    <row r="636" s="187" customFormat="1" x14ac:dyDescent="0.15"/>
    <row r="637" s="187" customFormat="1" x14ac:dyDescent="0.15"/>
    <row r="638" s="187" customFormat="1" x14ac:dyDescent="0.15"/>
    <row r="639" s="187" customFormat="1" x14ac:dyDescent="0.15"/>
    <row r="640" s="187" customFormat="1" x14ac:dyDescent="0.15"/>
    <row r="641" s="187" customFormat="1" x14ac:dyDescent="0.15"/>
    <row r="642" s="187" customFormat="1" x14ac:dyDescent="0.15"/>
    <row r="643" s="187" customFormat="1" x14ac:dyDescent="0.15"/>
    <row r="644" s="187" customFormat="1" x14ac:dyDescent="0.15"/>
    <row r="645" s="187" customFormat="1" x14ac:dyDescent="0.15"/>
    <row r="646" s="187" customFormat="1" x14ac:dyDescent="0.15"/>
    <row r="647" s="187" customFormat="1" x14ac:dyDescent="0.15"/>
    <row r="648" s="187" customFormat="1" x14ac:dyDescent="0.15"/>
    <row r="649" s="187" customFormat="1" x14ac:dyDescent="0.15"/>
    <row r="650" s="187" customFormat="1" x14ac:dyDescent="0.15"/>
    <row r="651" s="187" customFormat="1" x14ac:dyDescent="0.15"/>
    <row r="652" s="187" customFormat="1" x14ac:dyDescent="0.15"/>
    <row r="653" s="187" customFormat="1" x14ac:dyDescent="0.15"/>
    <row r="654" s="187" customFormat="1" x14ac:dyDescent="0.15"/>
    <row r="655" s="187" customFormat="1" x14ac:dyDescent="0.15"/>
    <row r="656" s="187" customFormat="1" x14ac:dyDescent="0.15"/>
    <row r="657" s="187" customFormat="1" x14ac:dyDescent="0.15"/>
    <row r="658" s="187" customFormat="1" x14ac:dyDescent="0.15"/>
    <row r="659" s="187" customFormat="1" x14ac:dyDescent="0.15"/>
    <row r="660" s="187" customFormat="1" x14ac:dyDescent="0.15"/>
    <row r="661" s="187" customFormat="1" x14ac:dyDescent="0.15"/>
    <row r="662" s="187" customFormat="1" x14ac:dyDescent="0.15"/>
    <row r="663" s="187" customFormat="1" x14ac:dyDescent="0.15"/>
    <row r="664" s="187" customFormat="1" x14ac:dyDescent="0.15"/>
    <row r="665" s="187" customFormat="1" x14ac:dyDescent="0.15"/>
    <row r="666" s="187" customFormat="1" x14ac:dyDescent="0.15"/>
    <row r="667" s="187" customFormat="1" x14ac:dyDescent="0.15"/>
    <row r="668" s="187" customFormat="1" x14ac:dyDescent="0.15"/>
    <row r="669" s="187" customFormat="1" x14ac:dyDescent="0.15"/>
    <row r="670" s="187" customFormat="1" x14ac:dyDescent="0.15"/>
    <row r="671" s="187" customFormat="1" x14ac:dyDescent="0.15"/>
    <row r="672" s="187" customFormat="1" x14ac:dyDescent="0.15"/>
    <row r="673" s="187" customFormat="1" x14ac:dyDescent="0.15"/>
    <row r="674" s="187" customFormat="1" x14ac:dyDescent="0.15"/>
    <row r="675" s="187" customFormat="1" x14ac:dyDescent="0.15"/>
    <row r="676" s="187" customFormat="1" x14ac:dyDescent="0.15"/>
    <row r="677" s="187" customFormat="1" x14ac:dyDescent="0.15"/>
    <row r="678" s="187" customFormat="1" x14ac:dyDescent="0.15"/>
    <row r="679" s="187" customFormat="1" x14ac:dyDescent="0.15"/>
    <row r="680" s="187" customFormat="1" x14ac:dyDescent="0.15"/>
    <row r="681" s="187" customFormat="1" x14ac:dyDescent="0.15"/>
    <row r="682" s="187" customFormat="1" x14ac:dyDescent="0.15"/>
    <row r="683" s="187" customFormat="1" x14ac:dyDescent="0.15"/>
    <row r="684" s="187" customFormat="1" x14ac:dyDescent="0.15"/>
    <row r="685" s="187" customFormat="1" x14ac:dyDescent="0.15"/>
    <row r="686" s="187" customFormat="1" x14ac:dyDescent="0.15"/>
    <row r="687" s="187" customFormat="1" x14ac:dyDescent="0.15"/>
    <row r="688" s="187" customFormat="1" x14ac:dyDescent="0.15"/>
    <row r="689" s="187" customFormat="1" x14ac:dyDescent="0.15"/>
    <row r="690" s="187" customFormat="1" x14ac:dyDescent="0.15"/>
    <row r="691" s="187" customFormat="1" x14ac:dyDescent="0.15"/>
    <row r="692" s="187" customFormat="1" x14ac:dyDescent="0.15"/>
    <row r="693" s="187" customFormat="1" x14ac:dyDescent="0.15"/>
    <row r="694" s="187" customFormat="1" x14ac:dyDescent="0.15"/>
    <row r="695" s="187" customFormat="1" x14ac:dyDescent="0.15"/>
    <row r="696" s="187" customFormat="1" x14ac:dyDescent="0.15"/>
    <row r="697" s="187" customFormat="1" x14ac:dyDescent="0.15"/>
    <row r="698" s="187" customFormat="1" x14ac:dyDescent="0.15"/>
    <row r="699" s="187" customFormat="1" x14ac:dyDescent="0.15"/>
    <row r="700" s="187" customFormat="1" x14ac:dyDescent="0.15"/>
    <row r="701" s="187" customFormat="1" x14ac:dyDescent="0.15"/>
    <row r="702" s="187" customFormat="1" x14ac:dyDescent="0.15"/>
    <row r="703" s="187" customFormat="1" x14ac:dyDescent="0.15"/>
    <row r="704" s="187" customFormat="1" x14ac:dyDescent="0.15"/>
    <row r="705" s="187" customFormat="1" x14ac:dyDescent="0.15"/>
    <row r="706" s="187" customFormat="1" x14ac:dyDescent="0.15"/>
    <row r="707" s="187" customFormat="1" x14ac:dyDescent="0.15"/>
    <row r="708" s="187" customFormat="1" x14ac:dyDescent="0.15"/>
    <row r="709" s="187" customFormat="1" x14ac:dyDescent="0.15"/>
    <row r="710" s="187" customFormat="1" x14ac:dyDescent="0.15"/>
    <row r="711" s="187" customFormat="1" x14ac:dyDescent="0.15"/>
    <row r="712" s="187" customFormat="1" x14ac:dyDescent="0.15"/>
    <row r="713" s="187" customFormat="1" x14ac:dyDescent="0.15"/>
    <row r="714" s="187" customFormat="1" x14ac:dyDescent="0.15"/>
    <row r="715" s="187" customFormat="1" x14ac:dyDescent="0.15"/>
    <row r="716" s="187" customFormat="1" x14ac:dyDescent="0.15"/>
    <row r="717" s="187" customFormat="1" x14ac:dyDescent="0.15"/>
    <row r="718" s="187" customFormat="1" x14ac:dyDescent="0.15"/>
    <row r="719" s="187" customFormat="1" x14ac:dyDescent="0.15"/>
    <row r="720" s="187" customFormat="1" x14ac:dyDescent="0.15"/>
    <row r="721" s="187" customFormat="1" x14ac:dyDescent="0.15"/>
    <row r="722" s="187" customFormat="1" x14ac:dyDescent="0.15"/>
    <row r="723" s="187" customFormat="1" x14ac:dyDescent="0.15"/>
    <row r="724" s="187" customFormat="1" x14ac:dyDescent="0.15"/>
    <row r="725" s="187" customFormat="1" x14ac:dyDescent="0.15"/>
    <row r="726" s="187" customFormat="1" x14ac:dyDescent="0.15"/>
    <row r="727" s="187" customFormat="1" x14ac:dyDescent="0.15"/>
    <row r="728" s="187" customFormat="1" x14ac:dyDescent="0.15"/>
    <row r="729" s="187" customFormat="1" x14ac:dyDescent="0.15"/>
    <row r="730" s="187" customFormat="1" x14ac:dyDescent="0.15"/>
    <row r="731" s="187" customFormat="1" x14ac:dyDescent="0.15"/>
    <row r="732" s="187" customFormat="1" x14ac:dyDescent="0.15"/>
    <row r="733" s="187" customFormat="1" x14ac:dyDescent="0.15"/>
    <row r="734" s="187" customFormat="1" x14ac:dyDescent="0.15"/>
    <row r="735" s="187" customFormat="1" x14ac:dyDescent="0.15"/>
    <row r="736" s="187" customFormat="1" x14ac:dyDescent="0.15"/>
    <row r="737" s="187" customFormat="1" x14ac:dyDescent="0.15"/>
    <row r="738" s="187" customFormat="1" x14ac:dyDescent="0.15"/>
    <row r="739" s="187" customFormat="1" x14ac:dyDescent="0.15"/>
    <row r="740" s="187" customFormat="1" x14ac:dyDescent="0.15"/>
    <row r="741" s="187" customFormat="1" x14ac:dyDescent="0.15"/>
    <row r="742" s="187" customFormat="1" x14ac:dyDescent="0.15"/>
    <row r="743" s="187" customFormat="1" x14ac:dyDescent="0.15"/>
    <row r="744" s="187" customFormat="1" x14ac:dyDescent="0.15"/>
    <row r="745" s="187" customFormat="1" x14ac:dyDescent="0.15"/>
    <row r="746" s="187" customFormat="1" x14ac:dyDescent="0.15"/>
    <row r="747" s="187" customFormat="1" x14ac:dyDescent="0.15"/>
    <row r="748" s="187" customFormat="1" x14ac:dyDescent="0.15"/>
    <row r="749" s="187" customFormat="1" x14ac:dyDescent="0.15"/>
    <row r="750" s="187" customFormat="1" x14ac:dyDescent="0.15"/>
    <row r="751" s="187" customFormat="1" x14ac:dyDescent="0.15"/>
    <row r="752" s="187" customFormat="1" x14ac:dyDescent="0.15"/>
    <row r="753" s="187" customFormat="1" x14ac:dyDescent="0.15"/>
    <row r="754" s="187" customFormat="1" x14ac:dyDescent="0.15"/>
    <row r="755" s="187" customFormat="1" x14ac:dyDescent="0.15"/>
    <row r="756" s="187" customFormat="1" x14ac:dyDescent="0.15"/>
    <row r="757" s="187" customFormat="1" x14ac:dyDescent="0.15"/>
    <row r="758" s="187" customFormat="1" x14ac:dyDescent="0.15"/>
    <row r="759" s="187" customFormat="1" x14ac:dyDescent="0.15"/>
    <row r="760" s="187" customFormat="1" x14ac:dyDescent="0.15"/>
    <row r="761" s="187" customFormat="1" x14ac:dyDescent="0.15"/>
    <row r="762" s="187" customFormat="1" x14ac:dyDescent="0.15"/>
    <row r="763" s="187" customFormat="1" x14ac:dyDescent="0.15"/>
    <row r="764" s="187" customFormat="1" x14ac:dyDescent="0.15"/>
    <row r="765" s="187" customFormat="1" x14ac:dyDescent="0.15"/>
    <row r="766" s="187" customFormat="1" x14ac:dyDescent="0.15"/>
    <row r="767" s="187" customFormat="1" x14ac:dyDescent="0.15"/>
    <row r="768" s="187" customFormat="1" x14ac:dyDescent="0.15"/>
    <row r="769" s="187" customFormat="1" x14ac:dyDescent="0.15"/>
    <row r="770" s="187" customFormat="1" x14ac:dyDescent="0.15"/>
    <row r="771" s="187" customFormat="1" x14ac:dyDescent="0.15"/>
    <row r="772" s="187" customFormat="1" x14ac:dyDescent="0.15"/>
    <row r="773" s="187" customFormat="1" x14ac:dyDescent="0.15"/>
    <row r="774" s="187" customFormat="1" x14ac:dyDescent="0.15"/>
    <row r="775" s="187" customFormat="1" x14ac:dyDescent="0.15"/>
    <row r="776" s="187" customFormat="1" x14ac:dyDescent="0.15"/>
    <row r="777" s="187" customFormat="1" x14ac:dyDescent="0.15"/>
    <row r="778" s="187" customFormat="1" x14ac:dyDescent="0.15"/>
    <row r="779" s="187" customFormat="1" x14ac:dyDescent="0.15"/>
    <row r="780" s="187" customFormat="1" x14ac:dyDescent="0.15"/>
    <row r="781" s="187" customFormat="1" x14ac:dyDescent="0.15"/>
    <row r="782" s="187" customFormat="1" x14ac:dyDescent="0.15"/>
    <row r="783" s="187" customFormat="1" x14ac:dyDescent="0.15"/>
    <row r="784" s="187" customFormat="1" x14ac:dyDescent="0.15"/>
    <row r="785" s="187" customFormat="1" x14ac:dyDescent="0.15"/>
    <row r="786" s="187" customFormat="1" x14ac:dyDescent="0.15"/>
    <row r="787" s="187" customFormat="1" x14ac:dyDescent="0.15"/>
    <row r="788" s="187" customFormat="1" x14ac:dyDescent="0.15"/>
    <row r="789" s="187" customFormat="1" x14ac:dyDescent="0.15"/>
    <row r="790" s="187" customFormat="1" x14ac:dyDescent="0.15"/>
    <row r="791" s="187" customFormat="1" x14ac:dyDescent="0.15"/>
    <row r="792" s="187" customFormat="1" x14ac:dyDescent="0.15"/>
    <row r="793" s="187" customFormat="1" x14ac:dyDescent="0.15"/>
    <row r="794" s="187" customFormat="1" x14ac:dyDescent="0.15"/>
    <row r="795" s="187" customFormat="1" x14ac:dyDescent="0.15"/>
    <row r="796" s="187" customFormat="1" x14ac:dyDescent="0.15"/>
    <row r="797" s="187" customFormat="1" x14ac:dyDescent="0.15"/>
    <row r="798" s="187" customFormat="1" x14ac:dyDescent="0.15"/>
    <row r="799" s="187" customFormat="1" x14ac:dyDescent="0.15"/>
    <row r="800" s="187" customFormat="1" x14ac:dyDescent="0.15"/>
    <row r="801" s="187" customFormat="1" x14ac:dyDescent="0.15"/>
    <row r="802" s="187" customFormat="1" x14ac:dyDescent="0.15"/>
    <row r="803" s="187" customFormat="1" x14ac:dyDescent="0.15"/>
    <row r="804" s="187" customFormat="1" x14ac:dyDescent="0.15"/>
    <row r="805" s="187" customFormat="1" x14ac:dyDescent="0.15"/>
    <row r="806" s="187" customFormat="1" x14ac:dyDescent="0.15"/>
    <row r="807" s="187" customFormat="1" x14ac:dyDescent="0.15"/>
    <row r="808" s="187" customFormat="1" x14ac:dyDescent="0.15"/>
    <row r="809" s="187" customFormat="1" x14ac:dyDescent="0.15"/>
    <row r="810" s="187" customFormat="1" x14ac:dyDescent="0.15"/>
    <row r="811" s="187" customFormat="1" x14ac:dyDescent="0.15"/>
    <row r="812" s="187" customFormat="1" x14ac:dyDescent="0.15"/>
    <row r="813" s="187" customFormat="1" x14ac:dyDescent="0.15"/>
    <row r="814" s="187" customFormat="1" x14ac:dyDescent="0.15"/>
    <row r="815" s="187" customFormat="1" x14ac:dyDescent="0.15"/>
    <row r="816" s="187" customFormat="1" x14ac:dyDescent="0.15"/>
    <row r="817" s="187" customFormat="1" x14ac:dyDescent="0.15"/>
    <row r="818" s="187" customFormat="1" x14ac:dyDescent="0.15"/>
    <row r="819" s="187" customFormat="1" x14ac:dyDescent="0.15"/>
    <row r="820" s="187" customFormat="1" x14ac:dyDescent="0.15"/>
    <row r="821" s="187" customFormat="1" x14ac:dyDescent="0.15"/>
    <row r="822" s="187" customFormat="1" x14ac:dyDescent="0.15"/>
    <row r="823" s="187" customFormat="1" x14ac:dyDescent="0.15"/>
    <row r="824" s="187" customFormat="1" x14ac:dyDescent="0.15"/>
    <row r="825" s="187" customFormat="1" x14ac:dyDescent="0.15"/>
    <row r="826" s="187" customFormat="1" x14ac:dyDescent="0.15"/>
    <row r="827" s="187" customFormat="1" x14ac:dyDescent="0.15"/>
    <row r="828" s="187" customFormat="1" x14ac:dyDescent="0.15"/>
    <row r="829" s="187" customFormat="1" x14ac:dyDescent="0.15"/>
    <row r="830" s="187" customFormat="1" x14ac:dyDescent="0.15"/>
    <row r="831" s="187" customFormat="1" x14ac:dyDescent="0.15"/>
    <row r="832" s="187" customFormat="1" x14ac:dyDescent="0.15"/>
    <row r="833" s="187" customFormat="1" x14ac:dyDescent="0.15"/>
    <row r="834" s="187" customFormat="1" x14ac:dyDescent="0.15"/>
    <row r="835" s="187" customFormat="1" x14ac:dyDescent="0.15"/>
    <row r="836" s="187" customFormat="1" x14ac:dyDescent="0.15"/>
    <row r="837" s="187" customFormat="1" x14ac:dyDescent="0.15"/>
    <row r="838" s="187" customFormat="1" x14ac:dyDescent="0.15"/>
    <row r="839" s="187" customFormat="1" x14ac:dyDescent="0.15"/>
    <row r="840" s="187" customFormat="1" x14ac:dyDescent="0.15"/>
    <row r="841" s="187" customFormat="1" x14ac:dyDescent="0.15"/>
    <row r="842" s="187" customFormat="1" x14ac:dyDescent="0.15"/>
    <row r="843" s="187" customFormat="1" x14ac:dyDescent="0.15"/>
    <row r="844" s="187" customFormat="1" x14ac:dyDescent="0.15"/>
    <row r="845" s="187" customFormat="1" x14ac:dyDescent="0.15"/>
    <row r="846" s="187" customFormat="1" x14ac:dyDescent="0.15"/>
    <row r="847" s="187" customFormat="1" x14ac:dyDescent="0.15"/>
    <row r="848" s="187" customFormat="1" x14ac:dyDescent="0.15"/>
    <row r="849" s="187" customFormat="1" x14ac:dyDescent="0.15"/>
    <row r="850" s="187" customFormat="1" x14ac:dyDescent="0.15"/>
    <row r="851" s="187" customFormat="1" x14ac:dyDescent="0.15"/>
    <row r="852" s="187" customFormat="1" x14ac:dyDescent="0.15"/>
    <row r="853" s="187" customFormat="1" x14ac:dyDescent="0.15"/>
    <row r="854" s="187" customFormat="1" x14ac:dyDescent="0.15"/>
    <row r="855" s="187" customFormat="1" x14ac:dyDescent="0.15"/>
    <row r="856" s="187" customFormat="1" x14ac:dyDescent="0.15"/>
    <row r="857" s="187" customFormat="1" x14ac:dyDescent="0.15"/>
    <row r="858" s="187" customFormat="1" x14ac:dyDescent="0.15"/>
    <row r="859" s="187" customFormat="1" x14ac:dyDescent="0.15"/>
    <row r="860" s="187" customFormat="1" x14ac:dyDescent="0.15"/>
    <row r="861" s="187" customFormat="1" x14ac:dyDescent="0.15"/>
    <row r="862" s="187" customFormat="1" x14ac:dyDescent="0.15"/>
    <row r="863" s="187" customFormat="1" x14ac:dyDescent="0.15"/>
    <row r="864" s="187" customFormat="1" x14ac:dyDescent="0.15"/>
    <row r="865" s="187" customFormat="1" x14ac:dyDescent="0.15"/>
    <row r="866" s="187" customFormat="1" x14ac:dyDescent="0.15"/>
    <row r="867" s="187" customFormat="1" x14ac:dyDescent="0.15"/>
    <row r="868" s="187" customFormat="1" x14ac:dyDescent="0.15"/>
    <row r="869" s="187" customFormat="1" x14ac:dyDescent="0.15"/>
    <row r="870" s="187" customFormat="1" x14ac:dyDescent="0.15"/>
    <row r="871" s="187" customFormat="1" x14ac:dyDescent="0.15"/>
    <row r="872" s="187" customFormat="1" x14ac:dyDescent="0.15"/>
    <row r="873" s="187" customFormat="1" x14ac:dyDescent="0.15"/>
    <row r="874" s="187" customFormat="1" x14ac:dyDescent="0.15"/>
    <row r="875" s="187" customFormat="1" x14ac:dyDescent="0.15"/>
    <row r="876" s="187" customFormat="1" x14ac:dyDescent="0.15"/>
    <row r="877" s="187" customFormat="1" x14ac:dyDescent="0.15"/>
    <row r="878" s="187" customFormat="1" x14ac:dyDescent="0.15"/>
    <row r="879" s="187" customFormat="1" x14ac:dyDescent="0.15"/>
    <row r="880" s="187" customFormat="1" x14ac:dyDescent="0.15"/>
    <row r="881" s="187" customFormat="1" x14ac:dyDescent="0.15"/>
    <row r="882" s="187" customFormat="1" x14ac:dyDescent="0.15"/>
    <row r="883" s="187" customFormat="1" x14ac:dyDescent="0.15"/>
    <row r="884" s="187" customFormat="1" x14ac:dyDescent="0.15"/>
    <row r="885" s="187" customFormat="1" x14ac:dyDescent="0.15"/>
    <row r="886" s="187" customFormat="1" x14ac:dyDescent="0.15"/>
    <row r="887" s="187" customFormat="1" x14ac:dyDescent="0.15"/>
    <row r="888" s="187" customFormat="1" x14ac:dyDescent="0.15"/>
    <row r="889" s="187" customFormat="1" x14ac:dyDescent="0.15"/>
    <row r="890" s="187" customFormat="1" x14ac:dyDescent="0.15"/>
    <row r="891" s="187" customFormat="1" x14ac:dyDescent="0.15"/>
    <row r="892" s="187" customFormat="1" x14ac:dyDescent="0.15"/>
    <row r="893" s="187" customFormat="1" x14ac:dyDescent="0.15"/>
    <row r="894" s="187" customFormat="1" x14ac:dyDescent="0.15"/>
    <row r="895" s="187" customFormat="1" x14ac:dyDescent="0.15"/>
    <row r="896" s="187" customFormat="1" x14ac:dyDescent="0.15"/>
    <row r="897" s="187" customFormat="1" x14ac:dyDescent="0.15"/>
    <row r="898" s="187" customFormat="1" x14ac:dyDescent="0.15"/>
    <row r="899" s="187" customFormat="1" x14ac:dyDescent="0.15"/>
    <row r="900" s="187" customFormat="1" x14ac:dyDescent="0.15"/>
    <row r="901" s="187" customFormat="1" x14ac:dyDescent="0.15"/>
    <row r="902" s="187" customFormat="1" x14ac:dyDescent="0.15"/>
    <row r="903" s="187" customFormat="1" x14ac:dyDescent="0.15"/>
    <row r="904" s="187" customFormat="1" x14ac:dyDescent="0.15"/>
    <row r="905" s="187" customFormat="1" x14ac:dyDescent="0.15"/>
    <row r="906" s="187" customFormat="1" x14ac:dyDescent="0.15"/>
    <row r="907" s="187" customFormat="1" x14ac:dyDescent="0.15"/>
    <row r="908" s="187" customFormat="1" x14ac:dyDescent="0.15"/>
    <row r="909" s="187" customFormat="1" x14ac:dyDescent="0.15"/>
    <row r="910" s="187" customFormat="1" x14ac:dyDescent="0.15"/>
    <row r="911" s="187" customFormat="1" x14ac:dyDescent="0.15"/>
    <row r="912" s="187" customFormat="1" x14ac:dyDescent="0.15"/>
    <row r="913" s="187" customFormat="1" x14ac:dyDescent="0.15"/>
    <row r="914" s="187" customFormat="1" x14ac:dyDescent="0.15"/>
    <row r="915" s="187" customFormat="1" x14ac:dyDescent="0.15"/>
    <row r="916" s="187" customFormat="1" x14ac:dyDescent="0.15"/>
    <row r="917" s="187" customFormat="1" x14ac:dyDescent="0.15"/>
    <row r="918" s="187" customFormat="1" x14ac:dyDescent="0.15"/>
    <row r="919" s="187" customFormat="1" x14ac:dyDescent="0.15"/>
    <row r="920" s="187" customFormat="1" x14ac:dyDescent="0.15"/>
    <row r="921" s="187" customFormat="1" x14ac:dyDescent="0.15"/>
    <row r="922" s="187" customFormat="1" x14ac:dyDescent="0.15"/>
    <row r="923" s="187" customFormat="1" x14ac:dyDescent="0.15"/>
    <row r="924" s="187" customFormat="1" x14ac:dyDescent="0.15"/>
    <row r="925" s="187" customFormat="1" x14ac:dyDescent="0.15"/>
    <row r="926" s="187" customFormat="1" x14ac:dyDescent="0.15"/>
    <row r="927" s="187" customFormat="1" x14ac:dyDescent="0.15"/>
    <row r="928" s="187" customFormat="1" x14ac:dyDescent="0.15"/>
    <row r="929" s="187" customFormat="1" x14ac:dyDescent="0.15"/>
    <row r="930" s="187" customFormat="1" x14ac:dyDescent="0.15"/>
    <row r="931" s="187" customFormat="1" x14ac:dyDescent="0.15"/>
    <row r="932" s="187" customFormat="1" x14ac:dyDescent="0.15"/>
    <row r="933" s="187" customFormat="1" x14ac:dyDescent="0.15"/>
    <row r="934" s="187" customFormat="1" x14ac:dyDescent="0.15"/>
    <row r="935" s="187" customFormat="1" x14ac:dyDescent="0.15"/>
    <row r="936" s="187" customFormat="1" x14ac:dyDescent="0.15"/>
    <row r="937" s="187" customFormat="1" x14ac:dyDescent="0.15"/>
    <row r="938" s="187" customFormat="1" x14ac:dyDescent="0.15"/>
    <row r="939" s="187" customFormat="1" x14ac:dyDescent="0.15"/>
    <row r="940" s="187" customFormat="1" x14ac:dyDescent="0.15"/>
    <row r="941" s="187" customFormat="1" x14ac:dyDescent="0.15"/>
    <row r="942" s="187" customFormat="1" x14ac:dyDescent="0.15"/>
    <row r="943" s="187" customFormat="1" x14ac:dyDescent="0.15"/>
    <row r="944" s="187" customFormat="1" x14ac:dyDescent="0.15"/>
    <row r="945" s="187" customFormat="1" x14ac:dyDescent="0.15"/>
    <row r="946" s="187" customFormat="1" x14ac:dyDescent="0.15"/>
    <row r="947" s="187" customFormat="1" x14ac:dyDescent="0.15"/>
    <row r="948" s="187" customFormat="1" x14ac:dyDescent="0.15"/>
    <row r="949" s="187" customFormat="1" x14ac:dyDescent="0.15"/>
    <row r="950" s="187" customFormat="1" x14ac:dyDescent="0.15"/>
    <row r="951" s="187" customFormat="1" x14ac:dyDescent="0.15"/>
    <row r="952" s="187" customFormat="1" x14ac:dyDescent="0.15"/>
    <row r="953" s="187" customFormat="1" x14ac:dyDescent="0.15"/>
    <row r="954" s="187" customFormat="1" x14ac:dyDescent="0.15"/>
    <row r="955" s="187" customFormat="1" x14ac:dyDescent="0.15"/>
    <row r="956" s="187" customFormat="1" x14ac:dyDescent="0.15"/>
    <row r="957" s="187" customFormat="1" x14ac:dyDescent="0.15"/>
    <row r="958" s="187" customFormat="1" x14ac:dyDescent="0.15"/>
    <row r="959" s="187" customFormat="1" x14ac:dyDescent="0.15"/>
    <row r="960" s="187" customFormat="1" x14ac:dyDescent="0.15"/>
    <row r="961" s="187" customFormat="1" x14ac:dyDescent="0.15"/>
    <row r="962" s="187" customFormat="1" x14ac:dyDescent="0.15"/>
    <row r="963" s="187" customFormat="1" x14ac:dyDescent="0.15"/>
    <row r="964" s="187" customFormat="1" x14ac:dyDescent="0.15"/>
    <row r="965" s="187" customFormat="1" x14ac:dyDescent="0.15"/>
    <row r="966" s="187" customFormat="1" x14ac:dyDescent="0.15"/>
    <row r="967" s="187" customFormat="1" x14ac:dyDescent="0.15"/>
    <row r="968" s="187" customFormat="1" x14ac:dyDescent="0.15"/>
    <row r="969" s="187" customFormat="1" x14ac:dyDescent="0.15"/>
    <row r="970" s="187" customFormat="1" x14ac:dyDescent="0.15"/>
    <row r="971" s="187" customFormat="1" x14ac:dyDescent="0.15"/>
    <row r="972" s="187" customFormat="1" x14ac:dyDescent="0.15"/>
    <row r="973" s="187" customFormat="1" x14ac:dyDescent="0.15"/>
    <row r="974" s="187" customFormat="1" x14ac:dyDescent="0.15"/>
    <row r="975" s="187" customFormat="1" x14ac:dyDescent="0.15"/>
    <row r="976" s="187" customFormat="1" x14ac:dyDescent="0.15"/>
    <row r="977" s="187" customFormat="1" x14ac:dyDescent="0.15"/>
    <row r="978" s="187" customFormat="1" x14ac:dyDescent="0.15"/>
    <row r="979" s="187" customFormat="1" x14ac:dyDescent="0.15"/>
    <row r="980" s="187" customFormat="1" x14ac:dyDescent="0.15"/>
    <row r="981" s="187" customFormat="1" x14ac:dyDescent="0.15"/>
    <row r="982" s="187" customFormat="1" x14ac:dyDescent="0.15"/>
    <row r="983" s="187" customFormat="1" x14ac:dyDescent="0.15"/>
    <row r="984" s="187" customFormat="1" x14ac:dyDescent="0.15"/>
    <row r="985" s="187" customFormat="1" x14ac:dyDescent="0.15"/>
    <row r="986" s="187" customFormat="1" x14ac:dyDescent="0.15"/>
    <row r="987" s="187" customFormat="1" x14ac:dyDescent="0.15"/>
    <row r="988" s="187" customFormat="1" x14ac:dyDescent="0.15"/>
    <row r="989" s="187" customFormat="1" x14ac:dyDescent="0.15"/>
    <row r="990" s="187" customFormat="1" x14ac:dyDescent="0.15"/>
    <row r="991" s="187" customFormat="1" x14ac:dyDescent="0.15"/>
    <row r="992" s="187" customFormat="1" x14ac:dyDescent="0.15"/>
    <row r="993" s="187" customFormat="1" x14ac:dyDescent="0.15"/>
    <row r="994" s="187" customFormat="1" x14ac:dyDescent="0.15"/>
    <row r="995" s="187" customFormat="1" x14ac:dyDescent="0.15"/>
    <row r="996" s="187" customFormat="1" x14ac:dyDescent="0.15"/>
    <row r="997" s="187" customFormat="1" x14ac:dyDescent="0.15"/>
    <row r="998" s="187" customFormat="1" x14ac:dyDescent="0.15"/>
    <row r="999" s="187" customFormat="1" x14ac:dyDescent="0.15"/>
    <row r="1000" s="187" customFormat="1" x14ac:dyDescent="0.15"/>
    <row r="1001" s="187" customFormat="1" x14ac:dyDescent="0.15"/>
    <row r="1002" s="187" customFormat="1" x14ac:dyDescent="0.15"/>
    <row r="1003" s="187" customFormat="1" x14ac:dyDescent="0.15"/>
    <row r="1004" s="187" customFormat="1" x14ac:dyDescent="0.15"/>
    <row r="1005" s="187" customFormat="1" x14ac:dyDescent="0.15"/>
    <row r="1006" s="187" customFormat="1" x14ac:dyDescent="0.15"/>
    <row r="1007" s="187" customFormat="1" x14ac:dyDescent="0.15"/>
    <row r="1008" s="187" customFormat="1" x14ac:dyDescent="0.15"/>
    <row r="1009" s="187" customFormat="1" x14ac:dyDescent="0.15"/>
    <row r="1010" s="187" customFormat="1" x14ac:dyDescent="0.15"/>
    <row r="1011" s="187" customFormat="1" x14ac:dyDescent="0.15"/>
    <row r="1012" s="187" customFormat="1" x14ac:dyDescent="0.15"/>
    <row r="1013" s="187" customFormat="1" x14ac:dyDescent="0.15"/>
    <row r="1014" s="187" customFormat="1" x14ac:dyDescent="0.15"/>
    <row r="1015" s="187" customFormat="1" x14ac:dyDescent="0.15"/>
    <row r="1016" s="187" customFormat="1" x14ac:dyDescent="0.15"/>
    <row r="1017" s="187" customFormat="1" x14ac:dyDescent="0.15"/>
    <row r="1018" s="187" customFormat="1" x14ac:dyDescent="0.15"/>
    <row r="1019" s="187" customFormat="1" x14ac:dyDescent="0.15"/>
    <row r="1020" s="187" customFormat="1" x14ac:dyDescent="0.15"/>
    <row r="1021" s="187" customFormat="1" x14ac:dyDescent="0.15"/>
    <row r="1022" s="187" customFormat="1" x14ac:dyDescent="0.15"/>
    <row r="1023" s="187" customFormat="1" x14ac:dyDescent="0.15"/>
    <row r="1024" s="187" customFormat="1" x14ac:dyDescent="0.15"/>
    <row r="1025" s="187" customFormat="1" x14ac:dyDescent="0.15"/>
    <row r="1026" s="187" customFormat="1" x14ac:dyDescent="0.15"/>
    <row r="1027" s="187" customFormat="1" x14ac:dyDescent="0.15"/>
    <row r="1028" s="187" customFormat="1" x14ac:dyDescent="0.15"/>
    <row r="1029" s="187" customFormat="1" x14ac:dyDescent="0.15"/>
    <row r="1030" s="187" customFormat="1" x14ac:dyDescent="0.15"/>
    <row r="1031" s="187" customFormat="1" x14ac:dyDescent="0.15"/>
    <row r="1032" s="187" customFormat="1" x14ac:dyDescent="0.15"/>
    <row r="1033" s="187" customFormat="1" x14ac:dyDescent="0.15"/>
    <row r="1034" s="187" customFormat="1" x14ac:dyDescent="0.15"/>
    <row r="1035" s="187" customFormat="1" x14ac:dyDescent="0.15"/>
    <row r="1036" s="187" customFormat="1" x14ac:dyDescent="0.15"/>
    <row r="1037" s="187" customFormat="1" x14ac:dyDescent="0.15"/>
    <row r="1038" s="187" customFormat="1" x14ac:dyDescent="0.15"/>
    <row r="1039" s="187" customFormat="1" x14ac:dyDescent="0.15"/>
    <row r="1040" s="187" customFormat="1" x14ac:dyDescent="0.15"/>
    <row r="1041" s="187" customFormat="1" x14ac:dyDescent="0.15"/>
    <row r="1042" s="187" customFormat="1" x14ac:dyDescent="0.15"/>
    <row r="1043" s="187" customFormat="1" x14ac:dyDescent="0.15"/>
    <row r="1044" s="187" customFormat="1" x14ac:dyDescent="0.15"/>
    <row r="1045" s="187" customFormat="1" x14ac:dyDescent="0.15"/>
    <row r="1046" s="187" customFormat="1" x14ac:dyDescent="0.15"/>
    <row r="1047" s="187" customFormat="1" x14ac:dyDescent="0.15"/>
    <row r="1048" s="187" customFormat="1" x14ac:dyDescent="0.15"/>
    <row r="1049" s="187" customFormat="1" x14ac:dyDescent="0.15"/>
    <row r="1050" s="187" customFormat="1" x14ac:dyDescent="0.15"/>
    <row r="1051" s="187" customFormat="1" x14ac:dyDescent="0.15"/>
    <row r="1052" s="187" customFormat="1" x14ac:dyDescent="0.15"/>
    <row r="1053" s="187" customFormat="1" x14ac:dyDescent="0.15"/>
    <row r="1054" s="187" customFormat="1" x14ac:dyDescent="0.15"/>
    <row r="1055" s="187" customFormat="1" x14ac:dyDescent="0.15"/>
    <row r="1056" s="187" customFormat="1" x14ac:dyDescent="0.15"/>
    <row r="1057" s="187" customFormat="1" x14ac:dyDescent="0.15"/>
    <row r="1058" s="187" customFormat="1" x14ac:dyDescent="0.15"/>
    <row r="1059" s="187" customFormat="1" x14ac:dyDescent="0.15"/>
    <row r="1060" s="187" customFormat="1" x14ac:dyDescent="0.15"/>
    <row r="1061" s="187" customFormat="1" x14ac:dyDescent="0.15"/>
    <row r="1062" s="187" customFormat="1" x14ac:dyDescent="0.15"/>
    <row r="1063" s="187" customFormat="1" x14ac:dyDescent="0.15"/>
    <row r="1064" s="187" customFormat="1" x14ac:dyDescent="0.15"/>
    <row r="1065" s="187" customFormat="1" x14ac:dyDescent="0.15"/>
    <row r="1066" s="187" customFormat="1" x14ac:dyDescent="0.15"/>
    <row r="1067" s="187" customFormat="1" x14ac:dyDescent="0.15"/>
    <row r="1068" s="187" customFormat="1" x14ac:dyDescent="0.15"/>
    <row r="1069" s="187" customFormat="1" x14ac:dyDescent="0.15"/>
    <row r="1070" s="187" customFormat="1" x14ac:dyDescent="0.15"/>
    <row r="1071" s="187" customFormat="1" x14ac:dyDescent="0.15"/>
    <row r="1072" s="187" customFormat="1" x14ac:dyDescent="0.15"/>
    <row r="1073" s="187" customFormat="1" x14ac:dyDescent="0.15"/>
    <row r="1074" s="187" customFormat="1" x14ac:dyDescent="0.15"/>
    <row r="1075" s="187" customFormat="1" x14ac:dyDescent="0.15"/>
    <row r="1076" s="187" customFormat="1" x14ac:dyDescent="0.15"/>
    <row r="1077" s="187" customFormat="1" x14ac:dyDescent="0.15"/>
    <row r="1078" s="187" customFormat="1" x14ac:dyDescent="0.15"/>
    <row r="1079" s="187" customFormat="1" x14ac:dyDescent="0.15"/>
    <row r="1080" s="187" customFormat="1" x14ac:dyDescent="0.15"/>
    <row r="1081" s="187" customFormat="1" x14ac:dyDescent="0.15"/>
    <row r="1082" s="187" customFormat="1" x14ac:dyDescent="0.15"/>
    <row r="1083" s="187" customFormat="1" x14ac:dyDescent="0.15"/>
    <row r="1084" s="187" customFormat="1" x14ac:dyDescent="0.15"/>
    <row r="1085" s="187" customFormat="1" x14ac:dyDescent="0.15"/>
    <row r="1086" s="187" customFormat="1" x14ac:dyDescent="0.15"/>
    <row r="1087" s="187" customFormat="1" x14ac:dyDescent="0.15"/>
    <row r="1088" s="187" customFormat="1" x14ac:dyDescent="0.15"/>
    <row r="1089" s="187" customFormat="1" x14ac:dyDescent="0.15"/>
    <row r="1090" s="187" customFormat="1" x14ac:dyDescent="0.15"/>
    <row r="1091" s="187" customFormat="1" x14ac:dyDescent="0.15"/>
    <row r="1092" s="187" customFormat="1" x14ac:dyDescent="0.15"/>
    <row r="1093" s="187" customFormat="1" x14ac:dyDescent="0.15"/>
    <row r="1094" s="187" customFormat="1" x14ac:dyDescent="0.15"/>
    <row r="1095" s="187" customFormat="1" x14ac:dyDescent="0.15"/>
    <row r="1096" s="187" customFormat="1" x14ac:dyDescent="0.15"/>
    <row r="1097" s="187" customFormat="1" x14ac:dyDescent="0.15"/>
    <row r="1098" s="187" customFormat="1" x14ac:dyDescent="0.15"/>
    <row r="1099" s="187" customFormat="1" x14ac:dyDescent="0.15"/>
    <row r="1100" s="187" customFormat="1" x14ac:dyDescent="0.15"/>
    <row r="1101" s="187" customFormat="1" x14ac:dyDescent="0.15"/>
    <row r="1102" s="187" customFormat="1" x14ac:dyDescent="0.15"/>
    <row r="1103" s="187" customFormat="1" x14ac:dyDescent="0.15"/>
    <row r="1104" s="187" customFormat="1" x14ac:dyDescent="0.15"/>
    <row r="1105" s="187" customFormat="1" x14ac:dyDescent="0.15"/>
    <row r="1106" s="187" customFormat="1" x14ac:dyDescent="0.15"/>
    <row r="1107" s="187" customFormat="1" x14ac:dyDescent="0.15"/>
    <row r="1108" s="187" customFormat="1" x14ac:dyDescent="0.15"/>
    <row r="1109" s="187" customFormat="1" x14ac:dyDescent="0.15"/>
    <row r="1110" s="187" customFormat="1" x14ac:dyDescent="0.15"/>
    <row r="1111" s="187" customFormat="1" x14ac:dyDescent="0.15"/>
    <row r="1112" s="187" customFormat="1" x14ac:dyDescent="0.15"/>
    <row r="1113" s="187" customFormat="1" x14ac:dyDescent="0.15"/>
    <row r="1114" s="187" customFormat="1" x14ac:dyDescent="0.15"/>
    <row r="1115" s="187" customFormat="1" x14ac:dyDescent="0.15"/>
    <row r="1116" s="187" customFormat="1" x14ac:dyDescent="0.15"/>
    <row r="1117" s="187" customFormat="1" x14ac:dyDescent="0.15"/>
    <row r="1118" s="187" customFormat="1" x14ac:dyDescent="0.15"/>
    <row r="1119" s="187" customFormat="1" x14ac:dyDescent="0.15"/>
    <row r="1120" s="187" customFormat="1" x14ac:dyDescent="0.15"/>
    <row r="1121" s="187" customFormat="1" x14ac:dyDescent="0.15"/>
    <row r="1122" s="187" customFormat="1" x14ac:dyDescent="0.15"/>
    <row r="1123" s="187" customFormat="1" x14ac:dyDescent="0.15"/>
    <row r="1124" s="187" customFormat="1" x14ac:dyDescent="0.15"/>
    <row r="1125" s="187" customFormat="1" x14ac:dyDescent="0.15"/>
    <row r="1126" s="187" customFormat="1" x14ac:dyDescent="0.15"/>
    <row r="1127" s="187" customFormat="1" x14ac:dyDescent="0.15"/>
    <row r="1128" s="187" customFormat="1" x14ac:dyDescent="0.15"/>
    <row r="1129" s="187" customFormat="1" x14ac:dyDescent="0.15"/>
    <row r="1130" s="187" customFormat="1" x14ac:dyDescent="0.15"/>
    <row r="1131" s="187" customFormat="1" x14ac:dyDescent="0.15"/>
    <row r="1132" s="187" customFormat="1" x14ac:dyDescent="0.15"/>
    <row r="1133" s="187" customFormat="1" x14ac:dyDescent="0.15"/>
    <row r="1134" s="187" customFormat="1" x14ac:dyDescent="0.15"/>
    <row r="1135" s="187" customFormat="1" x14ac:dyDescent="0.15"/>
    <row r="1136" s="187" customFormat="1" x14ac:dyDescent="0.15"/>
    <row r="1137" s="187" customFormat="1" x14ac:dyDescent="0.15"/>
    <row r="1138" s="187" customFormat="1" x14ac:dyDescent="0.15"/>
    <row r="1139" s="187" customFormat="1" x14ac:dyDescent="0.15"/>
    <row r="1140" s="187" customFormat="1" x14ac:dyDescent="0.15"/>
    <row r="1141" s="187" customFormat="1" x14ac:dyDescent="0.15"/>
    <row r="1142" s="187" customFormat="1" x14ac:dyDescent="0.15"/>
    <row r="1143" s="187" customFormat="1" x14ac:dyDescent="0.15"/>
    <row r="1144" s="187" customFormat="1" x14ac:dyDescent="0.15"/>
    <row r="1145" s="187" customFormat="1" x14ac:dyDescent="0.15"/>
    <row r="1146" s="187" customFormat="1" x14ac:dyDescent="0.15"/>
    <row r="1147" s="187" customFormat="1" x14ac:dyDescent="0.15"/>
    <row r="1148" s="187" customFormat="1" x14ac:dyDescent="0.15"/>
    <row r="1149" s="187" customFormat="1" x14ac:dyDescent="0.15"/>
    <row r="1150" s="187" customFormat="1" x14ac:dyDescent="0.15"/>
    <row r="1151" s="187" customFormat="1" x14ac:dyDescent="0.15"/>
    <row r="1152" s="187" customFormat="1" x14ac:dyDescent="0.15"/>
    <row r="1153" s="187" customFormat="1" x14ac:dyDescent="0.15"/>
    <row r="1154" s="187" customFormat="1" x14ac:dyDescent="0.15"/>
    <row r="1155" s="187" customFormat="1" x14ac:dyDescent="0.15"/>
    <row r="1156" s="187" customFormat="1" x14ac:dyDescent="0.15"/>
    <row r="1157" s="187" customFormat="1" x14ac:dyDescent="0.15"/>
    <row r="1158" s="187" customFormat="1" x14ac:dyDescent="0.15"/>
    <row r="1159" s="187" customFormat="1" x14ac:dyDescent="0.15"/>
    <row r="1160" s="187" customFormat="1" x14ac:dyDescent="0.15"/>
    <row r="1161" s="187" customFormat="1" x14ac:dyDescent="0.15"/>
    <row r="1162" s="187" customFormat="1" x14ac:dyDescent="0.15"/>
    <row r="1163" s="187" customFormat="1" x14ac:dyDescent="0.15"/>
    <row r="1164" s="187" customFormat="1" x14ac:dyDescent="0.15"/>
    <row r="1165" s="187" customFormat="1" x14ac:dyDescent="0.15"/>
    <row r="1166" s="187" customFormat="1" x14ac:dyDescent="0.15"/>
    <row r="1167" s="187" customFormat="1" x14ac:dyDescent="0.15"/>
    <row r="1168" s="187" customFormat="1" x14ac:dyDescent="0.15"/>
    <row r="1169" s="187" customFormat="1" x14ac:dyDescent="0.15"/>
    <row r="1170" s="187" customFormat="1" x14ac:dyDescent="0.15"/>
    <row r="1171" s="187" customFormat="1" x14ac:dyDescent="0.15"/>
    <row r="1172" s="187" customFormat="1" x14ac:dyDescent="0.15"/>
    <row r="1173" s="187" customFormat="1" x14ac:dyDescent="0.15"/>
    <row r="1174" s="187" customFormat="1" x14ac:dyDescent="0.15"/>
    <row r="1175" s="187" customFormat="1" x14ac:dyDescent="0.15"/>
    <row r="1176" s="187" customFormat="1" x14ac:dyDescent="0.15"/>
    <row r="1177" s="187" customFormat="1" x14ac:dyDescent="0.15"/>
    <row r="1178" s="187" customFormat="1" x14ac:dyDescent="0.15"/>
    <row r="1179" s="187" customFormat="1" x14ac:dyDescent="0.15"/>
    <row r="1180" s="187" customFormat="1" x14ac:dyDescent="0.15"/>
    <row r="1181" s="187" customFormat="1" x14ac:dyDescent="0.15"/>
    <row r="1182" s="187" customFormat="1" x14ac:dyDescent="0.15"/>
    <row r="1183" s="187" customFormat="1" x14ac:dyDescent="0.15"/>
    <row r="1184" s="187" customFormat="1" x14ac:dyDescent="0.15"/>
    <row r="1185" s="187" customFormat="1" x14ac:dyDescent="0.15"/>
    <row r="1186" s="187" customFormat="1" x14ac:dyDescent="0.15"/>
    <row r="1187" s="187" customFormat="1" x14ac:dyDescent="0.15"/>
    <row r="1188" s="187" customFormat="1" x14ac:dyDescent="0.15"/>
    <row r="1189" s="187" customFormat="1" x14ac:dyDescent="0.15"/>
    <row r="1190" s="187" customFormat="1" x14ac:dyDescent="0.15"/>
    <row r="1191" s="187" customFormat="1" x14ac:dyDescent="0.15"/>
    <row r="1192" s="187" customFormat="1" x14ac:dyDescent="0.15"/>
    <row r="1193" s="187" customFormat="1" x14ac:dyDescent="0.15"/>
    <row r="1194" s="187" customFormat="1" x14ac:dyDescent="0.15"/>
    <row r="1195" s="187" customFormat="1" x14ac:dyDescent="0.15"/>
    <row r="1196" s="187" customFormat="1" x14ac:dyDescent="0.15"/>
    <row r="1197" s="187" customFormat="1" x14ac:dyDescent="0.15"/>
    <row r="1198" s="187" customFormat="1" x14ac:dyDescent="0.15"/>
    <row r="1199" s="187" customFormat="1" x14ac:dyDescent="0.15"/>
    <row r="1200" s="187" customFormat="1" x14ac:dyDescent="0.15"/>
    <row r="1201" s="187" customFormat="1" x14ac:dyDescent="0.15"/>
    <row r="1202" s="187" customFormat="1" x14ac:dyDescent="0.15"/>
    <row r="1203" s="187" customFormat="1" x14ac:dyDescent="0.15"/>
    <row r="1204" s="187" customFormat="1" x14ac:dyDescent="0.15"/>
    <row r="1205" s="187" customFormat="1" x14ac:dyDescent="0.15"/>
    <row r="1206" s="187" customFormat="1" x14ac:dyDescent="0.15"/>
    <row r="1207" s="187" customFormat="1" x14ac:dyDescent="0.15"/>
    <row r="1208" s="187" customFormat="1" x14ac:dyDescent="0.15"/>
    <row r="1209" s="187" customFormat="1" x14ac:dyDescent="0.15"/>
    <row r="1210" s="187" customFormat="1" x14ac:dyDescent="0.15"/>
    <row r="1211" s="187" customFormat="1" x14ac:dyDescent="0.15"/>
    <row r="1212" s="187" customFormat="1" x14ac:dyDescent="0.15"/>
    <row r="1213" s="187" customFormat="1" x14ac:dyDescent="0.15"/>
    <row r="1214" s="187" customFormat="1" x14ac:dyDescent="0.15"/>
    <row r="1215" s="187" customFormat="1" x14ac:dyDescent="0.15"/>
    <row r="1216" s="187" customFormat="1" x14ac:dyDescent="0.15"/>
    <row r="1217" s="187" customFormat="1" x14ac:dyDescent="0.15"/>
    <row r="1218" s="187" customFormat="1" x14ac:dyDescent="0.15"/>
    <row r="1219" s="187" customFormat="1" x14ac:dyDescent="0.15"/>
    <row r="1220" s="187" customFormat="1" x14ac:dyDescent="0.15"/>
    <row r="1221" s="187" customFormat="1" x14ac:dyDescent="0.15"/>
    <row r="1222" s="187" customFormat="1" x14ac:dyDescent="0.15"/>
    <row r="1223" s="187" customFormat="1" x14ac:dyDescent="0.15"/>
    <row r="1224" s="187" customFormat="1" x14ac:dyDescent="0.15"/>
    <row r="1225" s="187" customFormat="1" x14ac:dyDescent="0.15"/>
    <row r="1226" s="187" customFormat="1" x14ac:dyDescent="0.15"/>
    <row r="1227" s="187" customFormat="1" x14ac:dyDescent="0.15"/>
    <row r="1228" s="187" customFormat="1" x14ac:dyDescent="0.15"/>
    <row r="1229" s="187" customFormat="1" x14ac:dyDescent="0.15"/>
    <row r="1230" s="187" customFormat="1" x14ac:dyDescent="0.15"/>
    <row r="1231" s="187" customFormat="1" x14ac:dyDescent="0.15"/>
    <row r="1232" s="187" customFormat="1" x14ac:dyDescent="0.15"/>
    <row r="1233" s="187" customFormat="1" x14ac:dyDescent="0.15"/>
    <row r="1234" s="187" customFormat="1" x14ac:dyDescent="0.15"/>
    <row r="1235" s="187" customFormat="1" x14ac:dyDescent="0.15"/>
    <row r="1236" s="187" customFormat="1" x14ac:dyDescent="0.15"/>
    <row r="1237" s="187" customFormat="1" x14ac:dyDescent="0.15"/>
    <row r="1238" s="187" customFormat="1" x14ac:dyDescent="0.15"/>
    <row r="1239" s="187" customFormat="1" x14ac:dyDescent="0.15"/>
    <row r="1240" s="187" customFormat="1" x14ac:dyDescent="0.15"/>
    <row r="1241" s="187" customFormat="1" x14ac:dyDescent="0.15"/>
    <row r="1242" s="187" customFormat="1" x14ac:dyDescent="0.15"/>
    <row r="1243" s="187" customFormat="1" x14ac:dyDescent="0.15"/>
    <row r="1244" s="187" customFormat="1" x14ac:dyDescent="0.15"/>
    <row r="1245" s="187" customFormat="1" x14ac:dyDescent="0.15"/>
    <row r="1246" s="187" customFormat="1" x14ac:dyDescent="0.15"/>
    <row r="1247" s="187" customFormat="1" x14ac:dyDescent="0.15"/>
    <row r="1248" s="187" customFormat="1" x14ac:dyDescent="0.15"/>
    <row r="1249" s="187" customFormat="1" x14ac:dyDescent="0.15"/>
    <row r="1250" s="187" customFormat="1" x14ac:dyDescent="0.15"/>
    <row r="1251" s="187" customFormat="1" x14ac:dyDescent="0.15"/>
    <row r="1252" s="187" customFormat="1" x14ac:dyDescent="0.15"/>
    <row r="1253" s="187" customFormat="1" x14ac:dyDescent="0.15"/>
    <row r="1254" s="187" customFormat="1" x14ac:dyDescent="0.15"/>
    <row r="1255" s="187" customFormat="1" x14ac:dyDescent="0.15"/>
    <row r="1256" s="187" customFormat="1" x14ac:dyDescent="0.15"/>
    <row r="1257" s="187" customFormat="1" x14ac:dyDescent="0.15"/>
    <row r="1258" s="187" customFormat="1" x14ac:dyDescent="0.15"/>
    <row r="1259" s="187" customFormat="1" x14ac:dyDescent="0.15"/>
    <row r="1260" s="187" customFormat="1" x14ac:dyDescent="0.15"/>
    <row r="1261" s="187" customFormat="1" x14ac:dyDescent="0.15"/>
    <row r="1262" s="187" customFormat="1" x14ac:dyDescent="0.15"/>
    <row r="1263" s="187" customFormat="1" x14ac:dyDescent="0.15"/>
    <row r="1264" s="187" customFormat="1" x14ac:dyDescent="0.15"/>
    <row r="1265" s="187" customFormat="1" x14ac:dyDescent="0.15"/>
    <row r="1266" s="187" customFormat="1" x14ac:dyDescent="0.15"/>
    <row r="1267" s="187" customFormat="1" x14ac:dyDescent="0.15"/>
    <row r="1268" s="187" customFormat="1" x14ac:dyDescent="0.15"/>
    <row r="1269" s="187" customFormat="1" x14ac:dyDescent="0.15"/>
    <row r="1270" s="187" customFormat="1" x14ac:dyDescent="0.15"/>
    <row r="1271" s="187" customFormat="1" x14ac:dyDescent="0.15"/>
    <row r="1272" s="187" customFormat="1" x14ac:dyDescent="0.15"/>
    <row r="1273" s="187" customFormat="1" x14ac:dyDescent="0.15"/>
    <row r="1274" s="187" customFormat="1" x14ac:dyDescent="0.15"/>
    <row r="1275" s="187" customFormat="1" x14ac:dyDescent="0.15"/>
    <row r="1276" s="187" customFormat="1" x14ac:dyDescent="0.15"/>
    <row r="1277" s="187" customFormat="1" x14ac:dyDescent="0.15"/>
    <row r="1278" s="187" customFormat="1" x14ac:dyDescent="0.15"/>
    <row r="1279" s="187" customFormat="1" x14ac:dyDescent="0.15"/>
    <row r="1280" s="187" customFormat="1" x14ac:dyDescent="0.15"/>
    <row r="1281" s="187" customFormat="1" x14ac:dyDescent="0.15"/>
    <row r="1282" s="187" customFormat="1" x14ac:dyDescent="0.15"/>
    <row r="1283" s="187" customFormat="1" x14ac:dyDescent="0.15"/>
    <row r="1284" s="187" customFormat="1" x14ac:dyDescent="0.15"/>
    <row r="1285" s="187" customFormat="1" x14ac:dyDescent="0.15"/>
    <row r="1286" s="187" customFormat="1" x14ac:dyDescent="0.15"/>
    <row r="1287" s="187" customFormat="1" x14ac:dyDescent="0.15"/>
    <row r="1288" s="187" customFormat="1" x14ac:dyDescent="0.15"/>
    <row r="1289" s="187" customFormat="1" x14ac:dyDescent="0.15"/>
    <row r="1290" s="187" customFormat="1" x14ac:dyDescent="0.15"/>
    <row r="1291" s="187" customFormat="1" x14ac:dyDescent="0.15"/>
    <row r="1292" s="187" customFormat="1" x14ac:dyDescent="0.15"/>
    <row r="1293" s="187" customFormat="1" x14ac:dyDescent="0.15"/>
    <row r="1294" s="187" customFormat="1" x14ac:dyDescent="0.15"/>
    <row r="1295" s="187" customFormat="1" x14ac:dyDescent="0.15"/>
    <row r="1296" s="187" customFormat="1" x14ac:dyDescent="0.15"/>
    <row r="1297" s="187" customFormat="1" x14ac:dyDescent="0.15"/>
    <row r="1298" s="187" customFormat="1" x14ac:dyDescent="0.15"/>
    <row r="1299" s="187" customFormat="1" x14ac:dyDescent="0.15"/>
    <row r="1300" s="187" customFormat="1" x14ac:dyDescent="0.15"/>
    <row r="1301" s="187" customFormat="1" x14ac:dyDescent="0.15"/>
    <row r="1302" s="187" customFormat="1" x14ac:dyDescent="0.15"/>
    <row r="1303" s="187" customFormat="1" x14ac:dyDescent="0.15"/>
    <row r="1304" s="187" customFormat="1" x14ac:dyDescent="0.15"/>
    <row r="1305" s="187" customFormat="1" x14ac:dyDescent="0.15"/>
    <row r="1306" s="187" customFormat="1" x14ac:dyDescent="0.15"/>
    <row r="1307" s="187" customFormat="1" x14ac:dyDescent="0.15"/>
    <row r="1308" s="187" customFormat="1" x14ac:dyDescent="0.15"/>
    <row r="1309" s="187" customFormat="1" x14ac:dyDescent="0.15"/>
    <row r="1310" s="187" customFormat="1" x14ac:dyDescent="0.15"/>
    <row r="1311" s="187" customFormat="1" x14ac:dyDescent="0.15"/>
    <row r="1312" s="187" customFormat="1" x14ac:dyDescent="0.15"/>
    <row r="1313" s="187" customFormat="1" x14ac:dyDescent="0.15"/>
    <row r="1314" s="187" customFormat="1" x14ac:dyDescent="0.15"/>
    <row r="1315" s="187" customFormat="1" x14ac:dyDescent="0.15"/>
    <row r="1316" s="187" customFormat="1" x14ac:dyDescent="0.15"/>
    <row r="1317" s="187" customFormat="1" x14ac:dyDescent="0.15"/>
    <row r="1318" s="187" customFormat="1" x14ac:dyDescent="0.15"/>
    <row r="1319" s="187" customFormat="1" x14ac:dyDescent="0.15"/>
    <row r="1320" s="187" customFormat="1" x14ac:dyDescent="0.15"/>
    <row r="1321" s="187" customFormat="1" x14ac:dyDescent="0.15"/>
    <row r="1322" s="187" customFormat="1" x14ac:dyDescent="0.15"/>
    <row r="1323" s="187" customFormat="1" x14ac:dyDescent="0.15"/>
    <row r="1324" s="187" customFormat="1" x14ac:dyDescent="0.15"/>
    <row r="1325" s="187" customFormat="1" x14ac:dyDescent="0.15"/>
    <row r="1326" s="187" customFormat="1" x14ac:dyDescent="0.15"/>
    <row r="1327" s="187" customFormat="1" x14ac:dyDescent="0.15"/>
    <row r="1328" s="187" customFormat="1" x14ac:dyDescent="0.15"/>
    <row r="1329" s="187" customFormat="1" x14ac:dyDescent="0.15"/>
    <row r="1330" s="187" customFormat="1" x14ac:dyDescent="0.15"/>
    <row r="1331" s="187" customFormat="1" x14ac:dyDescent="0.15"/>
    <row r="1332" s="187" customFormat="1" x14ac:dyDescent="0.15"/>
    <row r="1333" s="187" customFormat="1" x14ac:dyDescent="0.15"/>
    <row r="1334" s="187" customFormat="1" x14ac:dyDescent="0.15"/>
    <row r="1335" s="187" customFormat="1" x14ac:dyDescent="0.15"/>
    <row r="1336" s="187" customFormat="1" x14ac:dyDescent="0.15"/>
    <row r="1337" s="187" customFormat="1" x14ac:dyDescent="0.15"/>
    <row r="1338" s="187" customFormat="1" x14ac:dyDescent="0.15"/>
    <row r="1339" s="187" customFormat="1" x14ac:dyDescent="0.15"/>
    <row r="1340" s="187" customFormat="1" x14ac:dyDescent="0.15"/>
    <row r="1341" s="187" customFormat="1" x14ac:dyDescent="0.15"/>
    <row r="1342" s="187" customFormat="1" x14ac:dyDescent="0.15"/>
    <row r="1343" s="187" customFormat="1" x14ac:dyDescent="0.15"/>
    <row r="1344" s="187" customFormat="1" x14ac:dyDescent="0.15"/>
    <row r="1345" s="187" customFormat="1" x14ac:dyDescent="0.15"/>
    <row r="1346" s="187" customFormat="1" x14ac:dyDescent="0.15"/>
    <row r="1347" s="187" customFormat="1" x14ac:dyDescent="0.15"/>
    <row r="1348" s="187" customFormat="1" x14ac:dyDescent="0.15"/>
    <row r="1349" s="187" customFormat="1" x14ac:dyDescent="0.15"/>
    <row r="1350" s="187" customFormat="1" x14ac:dyDescent="0.15"/>
    <row r="1351" s="187" customFormat="1" x14ac:dyDescent="0.15"/>
    <row r="1352" s="187" customFormat="1" x14ac:dyDescent="0.15"/>
    <row r="1353" s="187" customFormat="1" x14ac:dyDescent="0.15"/>
    <row r="1354" s="187" customFormat="1" x14ac:dyDescent="0.15"/>
    <row r="1355" s="187" customFormat="1" x14ac:dyDescent="0.15"/>
    <row r="1356" s="187" customFormat="1" x14ac:dyDescent="0.15"/>
    <row r="1357" s="187" customFormat="1" x14ac:dyDescent="0.15"/>
    <row r="1358" s="187" customFormat="1" x14ac:dyDescent="0.15"/>
    <row r="1359" s="187" customFormat="1" x14ac:dyDescent="0.15"/>
  </sheetData>
  <sheetProtection algorithmName="SHA-512" hashValue="arrgS4qwD6ilPuAr22IyNMhKFt1Pq/wHtE955tmhozKaTsXXZgTT3cw6X4QoqbcrukJ4/QexD1plD4CF3I9HUg==" saltValue="/R0+Xe7jJaOCeZoRSYjraQ==" spinCount="100000" sheet="1" objects="1" scenarios="1"/>
  <dataValidations count="2">
    <dataValidation type="whole" showInputMessage="1" showErrorMessage="1" errorTitle="Incorrect number" error="Please enter quarterly consumption between 700-4000kWh" sqref="C5" xr:uid="{9E15C690-6187-EA48-8CA6-28E6E8908B7A}">
      <formula1>700</formula1>
      <formula2>4000</formula2>
    </dataValidation>
    <dataValidation type="decimal" showInputMessage="1" showErrorMessage="1" errorTitle="Incorrect entry" error="Enter 1.5 or 3.0 only" sqref="C4" xr:uid="{92C4879D-D385-524E-94BC-F14B939BAECB}">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08AA-517D-5A47-A145-A370EB257B4B}">
  <sheetPr codeName="Sheet18"/>
  <dimension ref="A1:BMO642"/>
  <sheetViews>
    <sheetView zoomScale="90" zoomScaleNormal="90" workbookViewId="0">
      <selection activeCell="C5" sqref="C5"/>
    </sheetView>
  </sheetViews>
  <sheetFormatPr baseColWidth="10" defaultRowHeight="14" x14ac:dyDescent="0.15"/>
  <cols>
    <col min="1" max="1" width="22" style="187" customWidth="1"/>
    <col min="2" max="2" width="26.33203125" style="187" customWidth="1"/>
    <col min="3" max="10" width="13.83203125" style="187" customWidth="1"/>
    <col min="11" max="12" width="13.83203125" style="187" hidden="1" customWidth="1"/>
    <col min="13" max="18" width="13.83203125" style="187" customWidth="1"/>
    <col min="19" max="24" width="13.83203125" style="187" hidden="1" customWidth="1"/>
    <col min="25" max="30" width="13.83203125" style="187" customWidth="1"/>
    <col min="31" max="1705" width="10.83203125" style="187"/>
    <col min="1706" max="16384" width="10.83203125" style="213"/>
  </cols>
  <sheetData>
    <row r="1" spans="1:48" s="187" customFormat="1" x14ac:dyDescent="0.15">
      <c r="A1" s="327" t="s">
        <v>340</v>
      </c>
      <c r="B1" s="327"/>
      <c r="C1" s="327"/>
      <c r="D1" s="327"/>
      <c r="E1" s="327"/>
      <c r="F1" s="327"/>
      <c r="G1" s="327"/>
      <c r="H1" s="327"/>
      <c r="I1" s="327"/>
      <c r="J1" s="327"/>
      <c r="K1" s="327">
        <v>3</v>
      </c>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row>
    <row r="2" spans="1:48" s="187" customFormat="1" x14ac:dyDescent="0.15">
      <c r="A2" s="328" t="s">
        <v>153</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row>
    <row r="3" spans="1:48" s="187" customFormat="1" x14ac:dyDescent="0.15">
      <c r="A3" s="328"/>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row>
    <row r="4" spans="1:48" s="187" customFormat="1" x14ac:dyDescent="0.15">
      <c r="A4" s="331" t="s">
        <v>341</v>
      </c>
      <c r="B4" s="332"/>
      <c r="C4" s="175">
        <v>3</v>
      </c>
      <c r="D4" s="327"/>
      <c r="E4" s="329" t="s">
        <v>366</v>
      </c>
      <c r="F4" s="333">
        <f>IF(C4&lt;K1,(703),(1406))</f>
        <v>1406</v>
      </c>
      <c r="G4" s="331"/>
      <c r="H4" s="178" t="s">
        <v>367</v>
      </c>
      <c r="I4" s="179" t="s">
        <v>368</v>
      </c>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row>
    <row r="5" spans="1:48" s="187" customFormat="1" x14ac:dyDescent="0.15">
      <c r="A5" s="334" t="s">
        <v>369</v>
      </c>
      <c r="B5" s="335"/>
      <c r="C5" s="182">
        <v>1500</v>
      </c>
      <c r="D5" s="327"/>
      <c r="E5" s="329" t="s">
        <v>370</v>
      </c>
      <c r="F5" s="330">
        <f>C5-(F4-F6)</f>
        <v>892.60800000000006</v>
      </c>
      <c r="G5" s="334" t="s">
        <v>371</v>
      </c>
      <c r="H5" s="184">
        <f>F5*80/100</f>
        <v>714.08640000000003</v>
      </c>
      <c r="I5" s="185">
        <f>F5*20/100</f>
        <v>178.52160000000001</v>
      </c>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row>
    <row r="6" spans="1:48" s="187" customFormat="1" x14ac:dyDescent="0.15">
      <c r="A6" s="327"/>
      <c r="B6" s="327"/>
      <c r="C6" s="327"/>
      <c r="D6" s="327"/>
      <c r="E6" s="329" t="s">
        <v>372</v>
      </c>
      <c r="F6" s="330">
        <f>IF(C4&lt;K1,(F4*30.2/100),(F4*56.8/100))</f>
        <v>798.60800000000006</v>
      </c>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row>
    <row r="7" spans="1:48" s="187" customFormat="1" ht="15" thickBot="1" x14ac:dyDescent="0.2">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row>
    <row r="8" spans="1:48" s="187" customFormat="1" x14ac:dyDescent="0.15">
      <c r="A8" s="336" t="s">
        <v>356</v>
      </c>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268"/>
      <c r="AE8" s="327"/>
      <c r="AF8" s="327"/>
      <c r="AG8" s="327"/>
      <c r="AH8" s="327"/>
      <c r="AI8" s="327"/>
      <c r="AJ8" s="327"/>
      <c r="AK8" s="327"/>
      <c r="AL8" s="327"/>
      <c r="AM8" s="327"/>
      <c r="AN8" s="327"/>
      <c r="AO8" s="327"/>
      <c r="AP8" s="327"/>
      <c r="AQ8" s="327"/>
      <c r="AR8" s="327"/>
      <c r="AS8" s="327"/>
      <c r="AT8" s="327"/>
      <c r="AU8" s="327"/>
      <c r="AV8" s="327"/>
    </row>
    <row r="9" spans="1:48" s="187" customFormat="1" ht="90" x14ac:dyDescent="0.15">
      <c r="A9" s="271" t="s">
        <v>231</v>
      </c>
      <c r="B9" s="272" t="s">
        <v>243</v>
      </c>
      <c r="C9" s="279" t="s">
        <v>244</v>
      </c>
      <c r="D9" s="279" t="s">
        <v>227</v>
      </c>
      <c r="E9" s="279" t="s">
        <v>357</v>
      </c>
      <c r="F9" s="279" t="s">
        <v>358</v>
      </c>
      <c r="G9" s="279" t="s">
        <v>321</v>
      </c>
      <c r="H9" s="279" t="s">
        <v>328</v>
      </c>
      <c r="I9" s="279" t="s">
        <v>329</v>
      </c>
      <c r="J9" s="273" t="s">
        <v>799</v>
      </c>
      <c r="K9" s="280" t="s">
        <v>246</v>
      </c>
      <c r="L9" s="280" t="s">
        <v>247</v>
      </c>
      <c r="M9" s="274" t="s">
        <v>636</v>
      </c>
      <c r="N9" s="275" t="s">
        <v>249</v>
      </c>
      <c r="O9" s="275" t="s">
        <v>250</v>
      </c>
      <c r="P9" s="275" t="s">
        <v>251</v>
      </c>
      <c r="Q9" s="275" t="s">
        <v>365</v>
      </c>
      <c r="R9" s="276" t="s">
        <v>373</v>
      </c>
      <c r="S9" s="281" t="s">
        <v>637</v>
      </c>
      <c r="T9" s="281" t="s">
        <v>638</v>
      </c>
      <c r="U9" s="282" t="s">
        <v>255</v>
      </c>
      <c r="V9" s="282" t="s">
        <v>224</v>
      </c>
      <c r="W9" s="282" t="s">
        <v>374</v>
      </c>
      <c r="X9" s="282" t="s">
        <v>375</v>
      </c>
      <c r="Y9" s="276" t="s">
        <v>376</v>
      </c>
      <c r="Z9" s="276" t="s">
        <v>436</v>
      </c>
      <c r="AA9" s="275" t="s">
        <v>155</v>
      </c>
      <c r="AB9" s="275" t="s">
        <v>225</v>
      </c>
      <c r="AC9" s="275" t="s">
        <v>226</v>
      </c>
      <c r="AD9" s="277" t="s">
        <v>221</v>
      </c>
      <c r="AE9" s="327"/>
      <c r="AF9" s="327"/>
      <c r="AG9" s="327"/>
      <c r="AH9" s="327"/>
      <c r="AI9" s="327"/>
      <c r="AJ9" s="327"/>
      <c r="AK9" s="327"/>
      <c r="AL9" s="327"/>
      <c r="AM9" s="327"/>
      <c r="AN9" s="327"/>
      <c r="AO9" s="327"/>
      <c r="AP9" s="327"/>
      <c r="AQ9" s="327"/>
      <c r="AR9" s="327"/>
      <c r="AS9" s="327"/>
      <c r="AT9" s="327"/>
      <c r="AU9" s="327"/>
      <c r="AV9" s="327"/>
    </row>
    <row r="10" spans="1:48" s="187" customFormat="1" x14ac:dyDescent="0.15">
      <c r="A10" s="186" t="str">
        <f>'Tariff Jul 2021'!K2</f>
        <v>AGL</v>
      </c>
      <c r="B10" s="187" t="str">
        <f>'Tariff Jul 2021'!L2</f>
        <v>Solar Savers</v>
      </c>
      <c r="C10" s="188">
        <f>IF('Tariff Jul 2021'!BP2=0,91*'Tariff Jul 2021'!M2/100,(91*'Tariff Jul 2021'!M2/100)+'Tariff Jul 2021'!BP2/4)</f>
        <v>81.767636363636356</v>
      </c>
      <c r="D10" s="188">
        <f>IF('Tariff Jul 2021'!O2="",$F$5*'Tariff Jul 2021'!N2/100,IF($F$5&gt;='Tariff Jul 2021'!P2,('Tariff Jul 2021'!P2*'Tariff Jul 2021'!N2/100),($F$5*'Tariff Jul 2021'!N2/100)))</f>
        <v>274.92326400000002</v>
      </c>
      <c r="E10" s="188">
        <f>IF(AND('Tariff Jul 2021'!P2&gt;0,'Tariff Jul 2021'!R2&gt;0),IF($F$5&lt;'Tariff Jul 2021'!P2,0,IF($F$5&lt;=('Tariff Jul 2021'!R2+'Tariff Jul 2021'!P2),(($F$5-'Tariff Jul 2021'!P2)*'Tariff Jul 2021'!Q2/100),(('Tariff Jul 2021'!R2)*'Tariff Jul 2021'!Q2/100))),0)</f>
        <v>0</v>
      </c>
      <c r="F10" s="189">
        <f>IF(AND('Tariff Jul 2021'!Q2&gt;0,'Tariff Jul 2021'!S2&gt;0),IF($F$5&lt;('Tariff Jul 2021'!R2+'Tariff Jul 2021'!P2),0,IF($F$5&lt;=('Tariff Jul 2021'!T2+'Tariff Jul 2021'!R2+'Tariff Jul 2021'!P2),(($F$5-('Tariff Jul 2021'!R2+'Tariff Jul 2021'!P2))*'Tariff Jul 2021'!S2/100),('Tariff Jul 2021'!T2*'Tariff Jul 2021'!S2/100))),0)</f>
        <v>0</v>
      </c>
      <c r="G10" s="188">
        <v>0</v>
      </c>
      <c r="H10" s="188">
        <v>0</v>
      </c>
      <c r="I10" s="189">
        <f>IF('Tariff Jul 2021'!T2&gt;0,IF(($F$5&lt;'Tariff Jul 2021'!T2),(0),($F$5-'Tariff Jul 2021'!T2)*'Tariff Jul 2021'!U2/100),IF(AND('Tariff Jul 2021'!R2&gt;0,'Tariff Jul 2021'!T2=""),IF(($F$5&lt;'Tariff Jul 2021'!R2),(0),($F$5-'Tariff Jul 2021'!R2)*'Tariff Jul 2021'!S2/100),IF(AND('Tariff Jul 2021'!P2&gt;0,'Tariff Jul 2021'!R2=""),IF(($F$5&lt;'Tariff Jul 2021'!P2),(0),($F$5-'Tariff Jul 2021'!P2)*'Tariff Jul 2021'!Q2/100),0)))</f>
        <v>0</v>
      </c>
      <c r="J10" s="188">
        <f>SUM(C10:I10)</f>
        <v>356.69090036363639</v>
      </c>
      <c r="K10" s="283">
        <f>(J10-C10)*4</f>
        <v>1099.6930560000001</v>
      </c>
      <c r="L10" s="283">
        <f>J10*4</f>
        <v>1426.7636014545456</v>
      </c>
      <c r="M10" s="191">
        <f>L10*1.1</f>
        <v>1569.4399616000003</v>
      </c>
      <c r="N10" s="187">
        <f>'Tariff Jul 2021'!AZ2</f>
        <v>0</v>
      </c>
      <c r="O10" s="187">
        <f>'Tariff Jul 2021'!BA2</f>
        <v>0</v>
      </c>
      <c r="P10" s="187">
        <f>'Tariff Jul 2021'!BB2</f>
        <v>0</v>
      </c>
      <c r="Q10" s="187">
        <f>'Tariff Jul 2021'!BC2</f>
        <v>0</v>
      </c>
      <c r="R10" s="192">
        <f>($F$6*'Tariff Jul 2021'!AT2/100)*4</f>
        <v>511.10912000000002</v>
      </c>
      <c r="S10" s="193" t="str">
        <f t="shared" ref="S10:S35" si="0">IF(SUM(N10:Q10)=0,"No discount",IF(N10&gt;0,"Guaranteed off bill",IF(O10&gt;0,"Guaranteed off usage",IF(P10&gt;0,"Pay-on-time off bill","Pay-on-time off usage"))))</f>
        <v>No discount</v>
      </c>
      <c r="T10" s="193" t="str">
        <f t="shared" ref="T10:T35" si="1">IF(OR(A10="Origin Energy",A10="Red Energy",A10="Powershop"),"Inclusive","Exclusive")</f>
        <v>Exclusive</v>
      </c>
      <c r="U10" s="304">
        <f t="shared" ref="U10:U35" si="2">IF(AND(S10="Guaranteed off bill",T10="Inclusive"),((L10*1.1)-((L10*1.1)*N10/100))/1.1,IF(AND(S10="Guaranteed off usage",T10="Inclusive"),((L10*1.1)-((K10*1.1)*O10/100))/1.1,IF(AND(S10="Guaranteed off bill",T10="Exclusive"),L10-(L10*N10/100),IF(AND(S10="Guaranteed off usage",T10="Exclusive"),L10-(K10*O10/100),IF(T10="Inclusive",((L10*1.1))/1.1,L10)))))</f>
        <v>1426.7636014545456</v>
      </c>
      <c r="V10" s="283">
        <f t="shared" ref="V10:V35" si="3">IF(AND(S10="Pay-on-time off bill",T10="Inclusive"),((U10*1.1)-((U10*1.1)*P10/100))/1.1,IF(AND(S10="Pay-on-time off usage",T10="Inclusive"),((U10*1.1)-((K10*1.1)*Q10/100))/1.1,IF(AND(S10="Pay-on-time off bill",T10="Exclusive"),U10-(U10*P10/100),IF(AND(S10="Pay-on-time off usage",T10="Exclusive"),U10-(K10*Q10/100),IF(T10="Inclusive",((U10*1.1))/1.1,U10)))))</f>
        <v>1426.7636014545456</v>
      </c>
      <c r="W10" s="283">
        <f t="shared" ref="W10:W33" si="4">U10-R10</f>
        <v>915.65448145454548</v>
      </c>
      <c r="X10" s="283">
        <f t="shared" ref="X10:X33" si="5">V10-R10</f>
        <v>915.65448145454548</v>
      </c>
      <c r="Y10" s="285">
        <f t="shared" ref="Y10:Z25" si="6">W10*1.1</f>
        <v>1007.2199296000001</v>
      </c>
      <c r="Z10" s="285">
        <f t="shared" si="6"/>
        <v>1007.2199296000001</v>
      </c>
      <c r="AA10" s="194">
        <f>'Tariff Jul 2021'!AT2</f>
        <v>16</v>
      </c>
      <c r="AB10" s="195">
        <f>'Tariff Jul 2021'!BL2</f>
        <v>0</v>
      </c>
      <c r="AC10" s="195" t="str">
        <f>'Tariff Jul 2021'!BM2</f>
        <v>n</v>
      </c>
      <c r="AD10" s="196">
        <f>'Tariff Jul 2021'!G2</f>
        <v>42922</v>
      </c>
      <c r="AE10" s="327"/>
      <c r="AF10" s="327"/>
      <c r="AG10" s="327"/>
      <c r="AH10" s="327"/>
      <c r="AI10" s="327"/>
      <c r="AJ10" s="327"/>
      <c r="AK10" s="327"/>
      <c r="AL10" s="327"/>
      <c r="AM10" s="327"/>
      <c r="AN10" s="327"/>
      <c r="AO10" s="327"/>
      <c r="AP10" s="327"/>
      <c r="AQ10" s="327"/>
      <c r="AR10" s="327"/>
      <c r="AS10" s="327"/>
      <c r="AT10" s="327"/>
      <c r="AU10" s="327"/>
      <c r="AV10" s="327"/>
    </row>
    <row r="11" spans="1:48" s="187" customFormat="1" x14ac:dyDescent="0.15">
      <c r="A11" s="186" t="str">
        <f>'Tariff Jul 2021'!K3</f>
        <v>Alinta Energy</v>
      </c>
      <c r="B11" s="187" t="str">
        <f>'Tariff Jul 2021'!L3</f>
        <v>Home Deal</v>
      </c>
      <c r="C11" s="188">
        <f>IF('Tariff Jul 2021'!BP3=0,91*'Tariff Jul 2021'!M3/100,(91*'Tariff Jul 2021'!M3/100)+'Tariff Jul 2021'!BP3/4)</f>
        <v>75.53</v>
      </c>
      <c r="D11" s="188">
        <f>IF('Tariff Jul 2021'!O3="",$F$5*'Tariff Jul 2021'!N3/100,IF($F$5&gt;='Tariff Jul 2021'!P3,('Tariff Jul 2021'!P3*'Tariff Jul 2021'!N3/100),($F$5*'Tariff Jul 2021'!N3/100)))</f>
        <v>72.190909090909088</v>
      </c>
      <c r="E11" s="188">
        <f>IF(AND('Tariff Jul 2021'!P3&gt;0,'Tariff Jul 2021'!R3&gt;0),IF($F$5&lt;'Tariff Jul 2021'!P3,0,IF($F$5&lt;=('Tariff Jul 2021'!R3+'Tariff Jul 2021'!P3),(($F$5-'Tariff Jul 2021'!P3)*'Tariff Jul 2021'!Q3/100),(('Tariff Jul 2021'!R3)*'Tariff Jul 2021'!Q3/100))),0)</f>
        <v>0</v>
      </c>
      <c r="F11" s="189">
        <f>IF(AND('Tariff Jul 2021'!Q3&gt;0,'Tariff Jul 2021'!S3&gt;0),IF($F$5&lt;('Tariff Jul 2021'!R3+'Tariff Jul 2021'!P3),0,IF($F$5&lt;=('Tariff Jul 2021'!T3+'Tariff Jul 2021'!R3+'Tariff Jul 2021'!P3),(($F$5-('Tariff Jul 2021'!R3+'Tariff Jul 2021'!P3))*'Tariff Jul 2021'!S3/100),('Tariff Jul 2021'!T3*'Tariff Jul 2021'!S3/100))),0)</f>
        <v>0</v>
      </c>
      <c r="G11" s="188">
        <v>0</v>
      </c>
      <c r="H11" s="188">
        <v>0</v>
      </c>
      <c r="I11" s="189">
        <f>IF('Tariff Jul 2021'!T3&gt;0,IF(($F$5&lt;'Tariff Jul 2021'!T3),(0),($F$5-'Tariff Jul 2021'!T3)*'Tariff Jul 2021'!U3/100),IF(AND('Tariff Jul 2021'!R3&gt;0,'Tariff Jul 2021'!T3=""),IF(($F$5&lt;'Tariff Jul 2021'!R3),(0),($F$5-'Tariff Jul 2021'!R3)*'Tariff Jul 2021'!S3/100),IF(AND('Tariff Jul 2021'!P3&gt;0,'Tariff Jul 2021'!R3=""),IF(($F$5&lt;'Tariff Jul 2021'!P3),(0),($F$5-'Tariff Jul 2021'!P3)*'Tariff Jul 2021'!Q3/100),0)))</f>
        <v>158.81894399999999</v>
      </c>
      <c r="J11" s="188">
        <f t="shared" ref="J11:J33" si="7">SUM(C11:I11)</f>
        <v>306.53985309090911</v>
      </c>
      <c r="K11" s="283">
        <f>(J11-C11)*4</f>
        <v>924.03941236363642</v>
      </c>
      <c r="L11" s="283">
        <f t="shared" ref="L11:L33" si="8">J11*4</f>
        <v>1226.1594123636364</v>
      </c>
      <c r="M11" s="191">
        <f t="shared" ref="M11:M33" si="9">L11*1.1</f>
        <v>1348.7753536000002</v>
      </c>
      <c r="N11" s="187">
        <f>'Tariff Jul 2021'!AZ3</f>
        <v>0</v>
      </c>
      <c r="O11" s="187">
        <f>'Tariff Jul 2021'!BA3</f>
        <v>0</v>
      </c>
      <c r="P11" s="187">
        <f>'Tariff Jul 2021'!BB3</f>
        <v>0</v>
      </c>
      <c r="Q11" s="187">
        <f>'Tariff Jul 2021'!BC3</f>
        <v>0</v>
      </c>
      <c r="R11" s="192">
        <f>($F$6*'Tariff Jul 2021'!AT3/100)*4</f>
        <v>303.47104000000002</v>
      </c>
      <c r="S11" s="193" t="str">
        <f t="shared" si="0"/>
        <v>No discount</v>
      </c>
      <c r="T11" s="193" t="str">
        <f t="shared" si="1"/>
        <v>Exclusive</v>
      </c>
      <c r="U11" s="304">
        <f t="shared" si="2"/>
        <v>1226.1594123636364</v>
      </c>
      <c r="V11" s="283">
        <f t="shared" si="3"/>
        <v>1226.1594123636364</v>
      </c>
      <c r="W11" s="283">
        <f t="shared" si="4"/>
        <v>922.6883723636364</v>
      </c>
      <c r="X11" s="283">
        <f t="shared" si="5"/>
        <v>922.6883723636364</v>
      </c>
      <c r="Y11" s="285">
        <f t="shared" si="6"/>
        <v>1014.9572096000002</v>
      </c>
      <c r="Z11" s="285">
        <f t="shared" si="6"/>
        <v>1014.9572096000002</v>
      </c>
      <c r="AA11" s="194">
        <f>'Tariff Jul 2021'!AT3</f>
        <v>9.5</v>
      </c>
      <c r="AB11" s="195">
        <f>'Tariff Jul 2021'!BL3</f>
        <v>0</v>
      </c>
      <c r="AC11" s="195" t="str">
        <f>'Tariff Jul 2021'!BM3</f>
        <v>n</v>
      </c>
      <c r="AD11" s="196">
        <f>'Tariff Jul 2021'!G3</f>
        <v>42916</v>
      </c>
      <c r="AE11" s="327"/>
      <c r="AF11" s="327"/>
      <c r="AG11" s="327"/>
      <c r="AH11" s="327"/>
      <c r="AI11" s="327"/>
      <c r="AJ11" s="327"/>
      <c r="AK11" s="327"/>
      <c r="AL11" s="327"/>
      <c r="AM11" s="327"/>
      <c r="AN11" s="327"/>
      <c r="AO11" s="327"/>
      <c r="AP11" s="327"/>
      <c r="AQ11" s="327"/>
      <c r="AR11" s="327"/>
      <c r="AS11" s="327"/>
      <c r="AT11" s="327"/>
      <c r="AU11" s="327"/>
      <c r="AV11" s="327"/>
    </row>
    <row r="12" spans="1:48" s="187" customFormat="1" x14ac:dyDescent="0.15">
      <c r="A12" s="186" t="str">
        <f>'Tariff Jul 2021'!K4</f>
        <v>Diamond Energy</v>
      </c>
      <c r="B12" s="187" t="str">
        <f>'Tariff Jul 2021'!L4</f>
        <v>Renewable Saver POT</v>
      </c>
      <c r="C12" s="188">
        <f>IF('Tariff Jul 2021'!BP4=0,91*'Tariff Jul 2021'!M4/100,(91*'Tariff Jul 2021'!M4/100)+'Tariff Jul 2021'!BP4/4)</f>
        <v>79.124499999999998</v>
      </c>
      <c r="D12" s="188">
        <f>IF('Tariff Jul 2021'!O4="",$F$5*'Tariff Jul 2021'!N4/100,IF($F$5&gt;='Tariff Jul 2021'!P4,('Tariff Jul 2021'!P4*'Tariff Jul 2021'!N4/100),($F$5*'Tariff Jul 2021'!N4/100)))</f>
        <v>99.78</v>
      </c>
      <c r="E12" s="188">
        <f>IF(AND('Tariff Jul 2021'!P4&gt;0,'Tariff Jul 2021'!R4&gt;0),IF($F$5&lt;'Tariff Jul 2021'!P4,0,IF($F$5&lt;=('Tariff Jul 2021'!R4+'Tariff Jul 2021'!P4),(($F$5-'Tariff Jul 2021'!P4)*'Tariff Jul 2021'!Q4/100),(('Tariff Jul 2021'!R4)*'Tariff Jul 2021'!Q4/100))),0)</f>
        <v>212.68701120000003</v>
      </c>
      <c r="F12" s="189">
        <f>IF(AND('Tariff Jul 2021'!Q4&gt;0,'Tariff Jul 2021'!S4&gt;0),IF($F$5&lt;('Tariff Jul 2021'!R4+'Tariff Jul 2021'!P4),0,IF($F$5&lt;=('Tariff Jul 2021'!T4+'Tariff Jul 2021'!R4+'Tariff Jul 2021'!P4),(($F$5-('Tariff Jul 2021'!R4+'Tariff Jul 2021'!P4))*'Tariff Jul 2021'!S4/100),('Tariff Jul 2021'!T4*'Tariff Jul 2021'!S4/100))),0)</f>
        <v>0</v>
      </c>
      <c r="G12" s="188">
        <v>0</v>
      </c>
      <c r="H12" s="188">
        <v>0</v>
      </c>
      <c r="I12" s="189">
        <f>IF('Tariff Jul 2021'!T4&gt;0,IF(($F$5&lt;'Tariff Jul 2021'!T4),(0),($F$5-'Tariff Jul 2021'!T4)*'Tariff Jul 2021'!U4/100),IF(AND('Tariff Jul 2021'!R4&gt;0,'Tariff Jul 2021'!T4=""),IF(($F$5&lt;'Tariff Jul 2021'!R4),(0),($F$5-'Tariff Jul 2021'!R4)*'Tariff Jul 2021'!S4/100),IF(AND('Tariff Jul 2021'!P4&gt;0,'Tariff Jul 2021'!R4=""),IF(($F$5&lt;'Tariff Jul 2021'!P4),(0),($F$5-'Tariff Jul 2021'!P4)*'Tariff Jul 2021'!Q4/100),0)))</f>
        <v>0</v>
      </c>
      <c r="J12" s="188">
        <f t="shared" si="7"/>
        <v>391.59151120000001</v>
      </c>
      <c r="K12" s="283">
        <f t="shared" ref="K12:K33" si="10">(J12-C12)*4</f>
        <v>1249.8680448</v>
      </c>
      <c r="L12" s="283">
        <f t="shared" si="8"/>
        <v>1566.3660448000001</v>
      </c>
      <c r="M12" s="191">
        <f t="shared" si="9"/>
        <v>1723.0026492800002</v>
      </c>
      <c r="N12" s="187">
        <f>'Tariff Jul 2021'!AZ4</f>
        <v>0</v>
      </c>
      <c r="O12" s="187">
        <f>'Tariff Jul 2021'!BA4</f>
        <v>0</v>
      </c>
      <c r="P12" s="187">
        <f>'Tariff Jul 2021'!BB4</f>
        <v>7</v>
      </c>
      <c r="Q12" s="187">
        <f>'Tariff Jul 2021'!BC4</f>
        <v>0</v>
      </c>
      <c r="R12" s="192">
        <f>($F$6*'Tariff Jul 2021'!AT4/100)*4</f>
        <v>325.832064</v>
      </c>
      <c r="S12" s="193" t="str">
        <f t="shared" si="0"/>
        <v>Pay-on-time off bill</v>
      </c>
      <c r="T12" s="193" t="str">
        <f t="shared" si="1"/>
        <v>Exclusive</v>
      </c>
      <c r="U12" s="304">
        <f t="shared" si="2"/>
        <v>1566.3660448000001</v>
      </c>
      <c r="V12" s="283">
        <f t="shared" si="3"/>
        <v>1456.720421664</v>
      </c>
      <c r="W12" s="283">
        <f t="shared" si="4"/>
        <v>1240.5339808000001</v>
      </c>
      <c r="X12" s="283">
        <f t="shared" si="5"/>
        <v>1130.8883576640001</v>
      </c>
      <c r="Y12" s="285">
        <f t="shared" si="6"/>
        <v>1364.5873788800002</v>
      </c>
      <c r="Z12" s="285">
        <f t="shared" si="6"/>
        <v>1243.9771934304001</v>
      </c>
      <c r="AA12" s="194">
        <f>'Tariff Jul 2021'!AT4</f>
        <v>10.199999999999999</v>
      </c>
      <c r="AB12" s="195">
        <f>'Tariff Jul 2021'!BL4</f>
        <v>0</v>
      </c>
      <c r="AC12" s="195" t="str">
        <f>'Tariff Jul 2021'!BM4</f>
        <v>n</v>
      </c>
      <c r="AD12" s="196">
        <f>'Tariff Jul 2021'!G4</f>
        <v>42643</v>
      </c>
      <c r="AE12" s="327"/>
      <c r="AF12" s="327"/>
      <c r="AG12" s="327"/>
      <c r="AH12" s="327"/>
      <c r="AI12" s="327"/>
      <c r="AJ12" s="327"/>
      <c r="AK12" s="327"/>
      <c r="AL12" s="327"/>
      <c r="AM12" s="327"/>
      <c r="AN12" s="327"/>
      <c r="AO12" s="327"/>
      <c r="AP12" s="327"/>
      <c r="AQ12" s="327"/>
      <c r="AR12" s="327"/>
      <c r="AS12" s="327"/>
      <c r="AT12" s="327"/>
      <c r="AU12" s="327"/>
      <c r="AV12" s="327"/>
    </row>
    <row r="13" spans="1:48" s="187" customFormat="1" x14ac:dyDescent="0.15">
      <c r="A13" s="186" t="str">
        <f>'Tariff Jul 2021'!K5</f>
        <v>Dodo Power &amp; Gas</v>
      </c>
      <c r="B13" s="187" t="str">
        <f>'Tariff Jul 2021'!L5</f>
        <v>Market offer</v>
      </c>
      <c r="C13" s="188">
        <f>IF('Tariff Jul 2021'!BP5=0,91*'Tariff Jul 2021'!M5/100,(91*'Tariff Jul 2021'!M5/100)+'Tariff Jul 2021'!BP5/4)</f>
        <v>86.1190909090909</v>
      </c>
      <c r="D13" s="188">
        <f>IF('Tariff Jul 2021'!O5="",$F$5*'Tariff Jul 2021'!N5/100,IF($F$5&gt;='Tariff Jul 2021'!P5,('Tariff Jul 2021'!P5*'Tariff Jul 2021'!N5/100),($F$5*'Tariff Jul 2021'!N5/100)))</f>
        <v>261.93987490909092</v>
      </c>
      <c r="E13" s="188">
        <f>IF(AND('Tariff Jul 2021'!P5&gt;0,'Tariff Jul 2021'!R5&gt;0),IF($F$5&lt;'Tariff Jul 2021'!P5,0,IF($F$5&lt;=('Tariff Jul 2021'!R5+'Tariff Jul 2021'!P5),(($F$5-'Tariff Jul 2021'!P5)*'Tariff Jul 2021'!Q5/100),(('Tariff Jul 2021'!R5)*'Tariff Jul 2021'!Q5/100))),0)</f>
        <v>0</v>
      </c>
      <c r="F13" s="189">
        <f>IF(AND('Tariff Jul 2021'!Q5&gt;0,'Tariff Jul 2021'!S5&gt;0),IF($F$5&lt;('Tariff Jul 2021'!R5+'Tariff Jul 2021'!P5),0,IF($F$5&lt;=('Tariff Jul 2021'!T5+'Tariff Jul 2021'!R5+'Tariff Jul 2021'!P5),(($F$5-('Tariff Jul 2021'!R5+'Tariff Jul 2021'!P5))*'Tariff Jul 2021'!S5/100),('Tariff Jul 2021'!T5*'Tariff Jul 2021'!S5/100))),0)</f>
        <v>0</v>
      </c>
      <c r="G13" s="188">
        <v>0</v>
      </c>
      <c r="H13" s="188">
        <v>0</v>
      </c>
      <c r="I13" s="189">
        <f>IF('Tariff Jul 2021'!T5&gt;0,IF(($F$5&lt;'Tariff Jul 2021'!T5),(0),($F$5-'Tariff Jul 2021'!T5)*'Tariff Jul 2021'!U5/100),IF(AND('Tariff Jul 2021'!R5&gt;0,'Tariff Jul 2021'!T5=""),IF(($F$5&lt;'Tariff Jul 2021'!R5),(0),($F$5-'Tariff Jul 2021'!R5)*'Tariff Jul 2021'!S5/100),IF(AND('Tariff Jul 2021'!P5&gt;0,'Tariff Jul 2021'!R5=""),IF(($F$5&lt;'Tariff Jul 2021'!P5),(0),($F$5-'Tariff Jul 2021'!P5)*'Tariff Jul 2021'!Q5/100),0)))</f>
        <v>0</v>
      </c>
      <c r="J13" s="188">
        <f t="shared" si="7"/>
        <v>348.05896581818183</v>
      </c>
      <c r="K13" s="283">
        <f t="shared" si="10"/>
        <v>1047.7594996363637</v>
      </c>
      <c r="L13" s="283">
        <f t="shared" si="8"/>
        <v>1392.2358632727273</v>
      </c>
      <c r="M13" s="191">
        <f t="shared" si="9"/>
        <v>1531.4594496000002</v>
      </c>
      <c r="N13" s="187">
        <f>'Tariff Jul 2021'!AZ5</f>
        <v>0</v>
      </c>
      <c r="O13" s="187">
        <f>'Tariff Jul 2021'!BA5</f>
        <v>0</v>
      </c>
      <c r="P13" s="187">
        <f>'Tariff Jul 2021'!BB5</f>
        <v>0</v>
      </c>
      <c r="Q13" s="187">
        <f>'Tariff Jul 2021'!BC5</f>
        <v>0</v>
      </c>
      <c r="R13" s="192">
        <f>($F$6*'Tariff Jul 2021'!AT5/100)*4</f>
        <v>370.55411200000003</v>
      </c>
      <c r="S13" s="193" t="str">
        <f t="shared" si="0"/>
        <v>No discount</v>
      </c>
      <c r="T13" s="193" t="str">
        <f t="shared" si="1"/>
        <v>Exclusive</v>
      </c>
      <c r="U13" s="304">
        <f t="shared" si="2"/>
        <v>1392.2358632727273</v>
      </c>
      <c r="V13" s="283">
        <f t="shared" si="3"/>
        <v>1392.2358632727273</v>
      </c>
      <c r="W13" s="283">
        <f t="shared" si="4"/>
        <v>1021.6817512727273</v>
      </c>
      <c r="X13" s="283">
        <f t="shared" si="5"/>
        <v>1021.6817512727273</v>
      </c>
      <c r="Y13" s="285">
        <f t="shared" si="6"/>
        <v>1123.8499264000002</v>
      </c>
      <c r="Z13" s="285">
        <f t="shared" si="6"/>
        <v>1123.8499264000002</v>
      </c>
      <c r="AA13" s="194">
        <f>'Tariff Jul 2021'!AT5</f>
        <v>11.6</v>
      </c>
      <c r="AB13" s="195">
        <f>'Tariff Jul 2021'!BL5</f>
        <v>0</v>
      </c>
      <c r="AC13" s="195" t="str">
        <f>'Tariff Jul 2021'!BM5</f>
        <v>n</v>
      </c>
      <c r="AD13" s="196">
        <f>'Tariff Jul 2021'!G5</f>
        <v>42916</v>
      </c>
      <c r="AE13" s="327"/>
      <c r="AF13" s="327"/>
      <c r="AG13" s="327"/>
      <c r="AH13" s="327"/>
      <c r="AI13" s="327"/>
      <c r="AJ13" s="327"/>
      <c r="AK13" s="327"/>
      <c r="AL13" s="327"/>
      <c r="AM13" s="327"/>
      <c r="AN13" s="327"/>
      <c r="AO13" s="327"/>
      <c r="AP13" s="327"/>
      <c r="AQ13" s="327"/>
      <c r="AR13" s="327"/>
      <c r="AS13" s="327"/>
      <c r="AT13" s="327"/>
      <c r="AU13" s="327"/>
      <c r="AV13" s="327"/>
    </row>
    <row r="14" spans="1:48" s="187" customFormat="1" x14ac:dyDescent="0.15">
      <c r="A14" s="186" t="str">
        <f>'Tariff Jul 2021'!K6</f>
        <v>EnergyAustralia</v>
      </c>
      <c r="B14" s="187" t="str">
        <f>'Tariff Jul 2021'!L6</f>
        <v>Total Plan Home</v>
      </c>
      <c r="C14" s="188">
        <f>IF('Tariff Jul 2021'!BP6=0,91*'Tariff Jul 2021'!M6/100,(91*'Tariff Jul 2021'!M6/100)+'Tariff Jul 2021'!BP6/4)</f>
        <v>73.254999999999995</v>
      </c>
      <c r="D14" s="188">
        <f>IF('Tariff Jul 2021'!O6="",$F$5*'Tariff Jul 2021'!N6/100,IF($F$5&gt;='Tariff Jul 2021'!P6,('Tariff Jul 2021'!P6*'Tariff Jul 2021'!N6/100),($F$5*'Tariff Jul 2021'!N6/100)))</f>
        <v>282.55100509090909</v>
      </c>
      <c r="E14" s="188">
        <f>IF(AND('Tariff Jul 2021'!P6&gt;0,'Tariff Jul 2021'!R6&gt;0),IF($F$5&lt;'Tariff Jul 2021'!P6,0,IF($F$5&lt;=('Tariff Jul 2021'!R6+'Tariff Jul 2021'!P6),(($F$5-'Tariff Jul 2021'!P6)*'Tariff Jul 2021'!Q6/100),(('Tariff Jul 2021'!R6)*'Tariff Jul 2021'!Q6/100))),0)</f>
        <v>0</v>
      </c>
      <c r="F14" s="189">
        <f>IF(AND('Tariff Jul 2021'!Q6&gt;0,'Tariff Jul 2021'!S6&gt;0),IF($F$5&lt;('Tariff Jul 2021'!R6+'Tariff Jul 2021'!P6),0,IF($F$5&lt;=('Tariff Jul 2021'!T6+'Tariff Jul 2021'!R6+'Tariff Jul 2021'!P6),(($F$5-('Tariff Jul 2021'!R6+'Tariff Jul 2021'!P6))*'Tariff Jul 2021'!S6/100),('Tariff Jul 2021'!T6*'Tariff Jul 2021'!S6/100))),0)</f>
        <v>0</v>
      </c>
      <c r="G14" s="188">
        <v>0</v>
      </c>
      <c r="H14" s="188">
        <v>0</v>
      </c>
      <c r="I14" s="189">
        <f>IF('Tariff Jul 2021'!T6&gt;0,IF(($F$5&lt;'Tariff Jul 2021'!T6),(0),($F$5-'Tariff Jul 2021'!T6)*'Tariff Jul 2021'!U6/100),IF(AND('Tariff Jul 2021'!R6&gt;0,'Tariff Jul 2021'!T6=""),IF(($F$5&lt;'Tariff Jul 2021'!R6),(0),($F$5-'Tariff Jul 2021'!R6)*'Tariff Jul 2021'!S6/100),IF(AND('Tariff Jul 2021'!P6&gt;0,'Tariff Jul 2021'!R6=""),IF(($F$5&lt;'Tariff Jul 2021'!P6),(0),($F$5-'Tariff Jul 2021'!P6)*'Tariff Jul 2021'!Q6/100),0)))</f>
        <v>0</v>
      </c>
      <c r="J14" s="188">
        <f t="shared" si="7"/>
        <v>355.80600509090908</v>
      </c>
      <c r="K14" s="283">
        <f t="shared" si="10"/>
        <v>1130.2040203636363</v>
      </c>
      <c r="L14" s="283">
        <f t="shared" si="8"/>
        <v>1423.2240203636363</v>
      </c>
      <c r="M14" s="191">
        <f t="shared" si="9"/>
        <v>1565.5464224</v>
      </c>
      <c r="N14" s="187">
        <f>'Tariff Jul 2021'!AZ6</f>
        <v>6</v>
      </c>
      <c r="O14" s="187">
        <f>'Tariff Jul 2021'!BA6</f>
        <v>0</v>
      </c>
      <c r="P14" s="187">
        <f>'Tariff Jul 2021'!BB6</f>
        <v>0</v>
      </c>
      <c r="Q14" s="187">
        <f>'Tariff Jul 2021'!BC6</f>
        <v>0</v>
      </c>
      <c r="R14" s="192">
        <f>($F$6*'Tariff Jul 2021'!AT6/100)*4</f>
        <v>335.41536000000002</v>
      </c>
      <c r="S14" s="193" t="str">
        <f t="shared" si="0"/>
        <v>Guaranteed off bill</v>
      </c>
      <c r="T14" s="193" t="str">
        <f t="shared" si="1"/>
        <v>Exclusive</v>
      </c>
      <c r="U14" s="304">
        <f t="shared" si="2"/>
        <v>1337.8305791418181</v>
      </c>
      <c r="V14" s="283">
        <f t="shared" si="3"/>
        <v>1337.8305791418181</v>
      </c>
      <c r="W14" s="283">
        <f t="shared" si="4"/>
        <v>1002.4152191418182</v>
      </c>
      <c r="X14" s="283">
        <f t="shared" si="5"/>
        <v>1002.4152191418182</v>
      </c>
      <c r="Y14" s="285">
        <f t="shared" si="6"/>
        <v>1102.6567410560001</v>
      </c>
      <c r="Z14" s="285">
        <f t="shared" si="6"/>
        <v>1102.6567410560001</v>
      </c>
      <c r="AA14" s="194">
        <f>'Tariff Jul 2021'!AT6</f>
        <v>10.5</v>
      </c>
      <c r="AB14" s="195">
        <f>'Tariff Jul 2021'!BL6</f>
        <v>0</v>
      </c>
      <c r="AC14" s="195" t="str">
        <f>'Tariff Jul 2021'!BM6</f>
        <v>n</v>
      </c>
      <c r="AD14" s="196">
        <f>'Tariff Jul 2021'!G6</f>
        <v>42916</v>
      </c>
      <c r="AE14" s="327"/>
      <c r="AF14" s="327"/>
      <c r="AG14" s="327"/>
      <c r="AH14" s="327"/>
      <c r="AI14" s="327"/>
      <c r="AJ14" s="327"/>
      <c r="AK14" s="327"/>
      <c r="AL14" s="327"/>
      <c r="AM14" s="327"/>
      <c r="AN14" s="327"/>
      <c r="AO14" s="327"/>
      <c r="AP14" s="327"/>
      <c r="AQ14" s="327"/>
      <c r="AR14" s="327"/>
      <c r="AS14" s="327"/>
      <c r="AT14" s="327"/>
      <c r="AU14" s="327"/>
      <c r="AV14" s="327"/>
    </row>
    <row r="15" spans="1:48" s="187" customFormat="1" x14ac:dyDescent="0.15">
      <c r="A15" s="186" t="str">
        <f>'Tariff Jul 2021'!K7</f>
        <v>Lumo Energy</v>
      </c>
      <c r="B15" s="187" t="str">
        <f>'Tariff Jul 2021'!L7</f>
        <v>Plus</v>
      </c>
      <c r="C15" s="188">
        <f>IF('Tariff Jul 2021'!BP7=0,91*'Tariff Jul 2021'!M7/100,(91*'Tariff Jul 2021'!M7/100)+'Tariff Jul 2021'!BP7/4)</f>
        <v>72.709000000000003</v>
      </c>
      <c r="D15" s="188">
        <f>IF('Tariff Jul 2021'!O7="",$F$5*'Tariff Jul 2021'!N7/100,IF($F$5&gt;='Tariff Jul 2021'!P7,('Tariff Jul 2021'!P7*'Tariff Jul 2021'!N7/100),($F$5*'Tariff Jul 2021'!N7/100)))</f>
        <v>276.30274909090906</v>
      </c>
      <c r="E15" s="188">
        <f>IF(AND('Tariff Jul 2021'!P7&gt;0,'Tariff Jul 2021'!R7&gt;0),IF($F$5&lt;'Tariff Jul 2021'!P7,0,IF($F$5&lt;=('Tariff Jul 2021'!R7+'Tariff Jul 2021'!P7),(($F$5-'Tariff Jul 2021'!P7)*'Tariff Jul 2021'!Q7/100),(('Tariff Jul 2021'!R7)*'Tariff Jul 2021'!Q7/100))),0)</f>
        <v>0</v>
      </c>
      <c r="F15" s="189">
        <f>IF(AND('Tariff Jul 2021'!Q7&gt;0,'Tariff Jul 2021'!S7&gt;0),IF($F$5&lt;('Tariff Jul 2021'!R7+'Tariff Jul 2021'!P7),0,IF($F$5&lt;=('Tariff Jul 2021'!T7+'Tariff Jul 2021'!R7+'Tariff Jul 2021'!P7),(($F$5-('Tariff Jul 2021'!R7+'Tariff Jul 2021'!P7))*'Tariff Jul 2021'!S7/100),('Tariff Jul 2021'!T7*'Tariff Jul 2021'!S7/100))),0)</f>
        <v>0</v>
      </c>
      <c r="G15" s="188">
        <v>0</v>
      </c>
      <c r="H15" s="188">
        <v>0</v>
      </c>
      <c r="I15" s="189">
        <f>IF('Tariff Jul 2021'!T7&gt;0,IF(($F$5&lt;'Tariff Jul 2021'!T7),(0),($F$5-'Tariff Jul 2021'!T7)*'Tariff Jul 2021'!U7/100),IF(AND('Tariff Jul 2021'!R7&gt;0,'Tariff Jul 2021'!T7=""),IF(($F$5&lt;'Tariff Jul 2021'!R7),(0),($F$5-'Tariff Jul 2021'!R7)*'Tariff Jul 2021'!S7/100),IF(AND('Tariff Jul 2021'!P7&gt;0,'Tariff Jul 2021'!R7=""),IF(($F$5&lt;'Tariff Jul 2021'!P7),(0),($F$5-'Tariff Jul 2021'!P7)*'Tariff Jul 2021'!Q7/100),0)))</f>
        <v>0</v>
      </c>
      <c r="J15" s="188">
        <f t="shared" si="7"/>
        <v>349.01174909090906</v>
      </c>
      <c r="K15" s="283">
        <f t="shared" si="10"/>
        <v>1105.2109963636362</v>
      </c>
      <c r="L15" s="283">
        <f t="shared" si="8"/>
        <v>1396.0469963636363</v>
      </c>
      <c r="M15" s="191">
        <f t="shared" si="9"/>
        <v>1535.6516959999999</v>
      </c>
      <c r="N15" s="187">
        <f>'Tariff Jul 2021'!AZ7</f>
        <v>0</v>
      </c>
      <c r="O15" s="187">
        <f>'Tariff Jul 2021'!BA7</f>
        <v>0</v>
      </c>
      <c r="P15" s="187">
        <f>'Tariff Jul 2021'!BB7</f>
        <v>0</v>
      </c>
      <c r="Q15" s="187">
        <f>'Tariff Jul 2021'!BC7</f>
        <v>0</v>
      </c>
      <c r="R15" s="192">
        <f>($F$6*'Tariff Jul 2021'!AT7/100)*4</f>
        <v>95.83296</v>
      </c>
      <c r="S15" s="193" t="str">
        <f t="shared" si="0"/>
        <v>No discount</v>
      </c>
      <c r="T15" s="193" t="str">
        <f t="shared" si="1"/>
        <v>Exclusive</v>
      </c>
      <c r="U15" s="304">
        <f t="shared" si="2"/>
        <v>1396.0469963636363</v>
      </c>
      <c r="V15" s="283">
        <f t="shared" si="3"/>
        <v>1396.0469963636363</v>
      </c>
      <c r="W15" s="283">
        <f t="shared" si="4"/>
        <v>1300.2140363636363</v>
      </c>
      <c r="X15" s="283">
        <f t="shared" si="5"/>
        <v>1300.2140363636363</v>
      </c>
      <c r="Y15" s="285">
        <f t="shared" si="6"/>
        <v>1430.2354400000002</v>
      </c>
      <c r="Z15" s="285">
        <f t="shared" si="6"/>
        <v>1430.2354400000002</v>
      </c>
      <c r="AA15" s="194">
        <f>'Tariff Jul 2021'!AT7</f>
        <v>3</v>
      </c>
      <c r="AB15" s="195">
        <f>'Tariff Jul 2021'!BL7</f>
        <v>0</v>
      </c>
      <c r="AC15" s="195" t="str">
        <f>'Tariff Jul 2021'!BM7</f>
        <v>n</v>
      </c>
      <c r="AD15" s="196">
        <f>'Tariff Jul 2021'!G7</f>
        <v>42916</v>
      </c>
      <c r="AE15" s="327"/>
      <c r="AF15" s="327"/>
      <c r="AG15" s="327"/>
      <c r="AH15" s="327"/>
      <c r="AI15" s="327"/>
      <c r="AJ15" s="327"/>
      <c r="AK15" s="327"/>
      <c r="AL15" s="327"/>
      <c r="AM15" s="327"/>
      <c r="AN15" s="327"/>
      <c r="AO15" s="327"/>
      <c r="AP15" s="327"/>
      <c r="AQ15" s="327"/>
      <c r="AR15" s="327"/>
      <c r="AS15" s="327"/>
      <c r="AT15" s="327"/>
      <c r="AU15" s="327"/>
      <c r="AV15" s="327"/>
    </row>
    <row r="16" spans="1:48" s="187" customFormat="1" x14ac:dyDescent="0.15">
      <c r="A16" s="186" t="str">
        <f>'Tariff Jul 2021'!K8</f>
        <v>Momentum Energy</v>
      </c>
      <c r="B16" s="187" t="str">
        <f>'Tariff Jul 2021'!L8</f>
        <v>Solar Step Up</v>
      </c>
      <c r="C16" s="188">
        <f>IF('Tariff Jul 2021'!BP8=0,91*'Tariff Jul 2021'!M8/100,(91*'Tariff Jul 2021'!M8/100)+'Tariff Jul 2021'!BP8/4)</f>
        <v>86.689909090909097</v>
      </c>
      <c r="D16" s="188">
        <f>IF('Tariff Jul 2021'!O8="",$F$5*'Tariff Jul 2021'!N8/100,IF($F$5&gt;='Tariff Jul 2021'!P8,('Tariff Jul 2021'!P8*'Tariff Jul 2021'!N8/100),($F$5*'Tariff Jul 2021'!N8/100)))</f>
        <v>270.46022399999998</v>
      </c>
      <c r="E16" s="188">
        <f>IF(AND('Tariff Jul 2021'!P8&gt;0,'Tariff Jul 2021'!R8&gt;0),IF($F$5&lt;'Tariff Jul 2021'!P8,0,IF($F$5&lt;=('Tariff Jul 2021'!R8+'Tariff Jul 2021'!P8),(($F$5-'Tariff Jul 2021'!P8)*'Tariff Jul 2021'!Q8/100),(('Tariff Jul 2021'!R8)*'Tariff Jul 2021'!Q8/100))),0)</f>
        <v>0</v>
      </c>
      <c r="F16" s="189">
        <f>IF(AND('Tariff Jul 2021'!Q8&gt;0,'Tariff Jul 2021'!S8&gt;0),IF($F$5&lt;('Tariff Jul 2021'!R8+'Tariff Jul 2021'!P8),0,IF($F$5&lt;=('Tariff Jul 2021'!T8+'Tariff Jul 2021'!R8+'Tariff Jul 2021'!P8),(($F$5-('Tariff Jul 2021'!R8+'Tariff Jul 2021'!P8))*'Tariff Jul 2021'!S8/100),('Tariff Jul 2021'!T8*'Tariff Jul 2021'!S8/100))),0)</f>
        <v>0</v>
      </c>
      <c r="G16" s="188">
        <v>0</v>
      </c>
      <c r="H16" s="188">
        <v>0</v>
      </c>
      <c r="I16" s="189">
        <f>IF('Tariff Jul 2021'!T8&gt;0,IF(($F$5&lt;'Tariff Jul 2021'!T8),(0),($F$5-'Tariff Jul 2021'!T8)*'Tariff Jul 2021'!U8/100),IF(AND('Tariff Jul 2021'!R8&gt;0,'Tariff Jul 2021'!T8=""),IF(($F$5&lt;'Tariff Jul 2021'!R8),(0),($F$5-'Tariff Jul 2021'!R8)*'Tariff Jul 2021'!S8/100),IF(AND('Tariff Jul 2021'!P8&gt;0,'Tariff Jul 2021'!R8=""),IF(($F$5&lt;'Tariff Jul 2021'!P8),(0),($F$5-'Tariff Jul 2021'!P8)*'Tariff Jul 2021'!Q8/100),0)))</f>
        <v>0</v>
      </c>
      <c r="J16" s="188">
        <f t="shared" si="7"/>
        <v>357.15013309090909</v>
      </c>
      <c r="K16" s="283">
        <f t="shared" si="10"/>
        <v>1081.8408959999999</v>
      </c>
      <c r="L16" s="283">
        <f t="shared" si="8"/>
        <v>1428.6005323636364</v>
      </c>
      <c r="M16" s="191">
        <f t="shared" si="9"/>
        <v>1571.4605856000001</v>
      </c>
      <c r="N16" s="187">
        <f>'Tariff Jul 2021'!AZ8</f>
        <v>0</v>
      </c>
      <c r="O16" s="187">
        <f>'Tariff Jul 2021'!BA8</f>
        <v>0</v>
      </c>
      <c r="P16" s="187">
        <f>'Tariff Jul 2021'!BB8</f>
        <v>0</v>
      </c>
      <c r="Q16" s="187">
        <f>'Tariff Jul 2021'!BC8</f>
        <v>0</v>
      </c>
      <c r="R16" s="192">
        <f>($F$6*'Tariff Jul 2021'!AT8/100)*4</f>
        <v>319.44320000000005</v>
      </c>
      <c r="S16" s="193" t="str">
        <f t="shared" si="0"/>
        <v>No discount</v>
      </c>
      <c r="T16" s="193" t="str">
        <f t="shared" si="1"/>
        <v>Exclusive</v>
      </c>
      <c r="U16" s="304">
        <f t="shared" si="2"/>
        <v>1428.6005323636364</v>
      </c>
      <c r="V16" s="283">
        <f t="shared" si="3"/>
        <v>1428.6005323636364</v>
      </c>
      <c r="W16" s="283">
        <f t="shared" si="4"/>
        <v>1109.1573323636362</v>
      </c>
      <c r="X16" s="283">
        <f t="shared" si="5"/>
        <v>1109.1573323636362</v>
      </c>
      <c r="Y16" s="285">
        <f t="shared" si="6"/>
        <v>1220.0730655999998</v>
      </c>
      <c r="Z16" s="285">
        <f t="shared" si="6"/>
        <v>1220.0730655999998</v>
      </c>
      <c r="AA16" s="194">
        <f>'Tariff Jul 2021'!AT8</f>
        <v>10</v>
      </c>
      <c r="AB16" s="195">
        <f>'Tariff Jul 2021'!BL8</f>
        <v>0</v>
      </c>
      <c r="AC16" s="195" t="str">
        <f>'Tariff Jul 2021'!BM8</f>
        <v>n</v>
      </c>
      <c r="AD16" s="196">
        <f>'Tariff Jul 2021'!G8</f>
        <v>42916</v>
      </c>
      <c r="AE16" s="327"/>
      <c r="AF16" s="327"/>
      <c r="AG16" s="327"/>
      <c r="AH16" s="327"/>
      <c r="AI16" s="327"/>
      <c r="AJ16" s="327"/>
      <c r="AK16" s="327"/>
      <c r="AL16" s="327"/>
      <c r="AM16" s="327"/>
      <c r="AN16" s="327"/>
      <c r="AO16" s="327"/>
      <c r="AP16" s="327"/>
      <c r="AQ16" s="327"/>
      <c r="AR16" s="327"/>
      <c r="AS16" s="327"/>
      <c r="AT16" s="327"/>
      <c r="AU16" s="327"/>
      <c r="AV16" s="327"/>
    </row>
    <row r="17" spans="1:48" s="187" customFormat="1" x14ac:dyDescent="0.15">
      <c r="A17" s="186" t="str">
        <f>'Tariff Jul 2021'!K9</f>
        <v>Origin Energy</v>
      </c>
      <c r="B17" s="187" t="str">
        <f>'Tariff Jul 2021'!L9</f>
        <v>Solar Boost</v>
      </c>
      <c r="C17" s="188">
        <f>IF('Tariff Jul 2021'!BP9=0,91*'Tariff Jul 2021'!M9/100,(91*'Tariff Jul 2021'!M9/100)+'Tariff Jul 2021'!BP9/4)</f>
        <v>74.371818181818171</v>
      </c>
      <c r="D17" s="188">
        <f>IF('Tariff Jul 2021'!O9="",$F$5*'Tariff Jul 2021'!N9/100,IF($F$5&gt;='Tariff Jul 2021'!P9,('Tariff Jul 2021'!P9*'Tariff Jul 2021'!N9/100),($F$5*'Tariff Jul 2021'!N9/100)))</f>
        <v>281.49610472727272</v>
      </c>
      <c r="E17" s="188">
        <f>IF(AND('Tariff Jul 2021'!P9&gt;0,'Tariff Jul 2021'!R9&gt;0),IF($F$5&lt;'Tariff Jul 2021'!P9,0,IF($F$5&lt;=('Tariff Jul 2021'!R9+'Tariff Jul 2021'!P9),(($F$5-'Tariff Jul 2021'!P9)*'Tariff Jul 2021'!Q9/100),(('Tariff Jul 2021'!R9)*'Tariff Jul 2021'!Q9/100))),0)</f>
        <v>0</v>
      </c>
      <c r="F17" s="189">
        <f>IF(AND('Tariff Jul 2021'!Q9&gt;0,'Tariff Jul 2021'!S9&gt;0),IF($F$5&lt;('Tariff Jul 2021'!R9+'Tariff Jul 2021'!P9),0,IF($F$5&lt;=('Tariff Jul 2021'!T9+'Tariff Jul 2021'!R9+'Tariff Jul 2021'!P9),(($F$5-('Tariff Jul 2021'!R9+'Tariff Jul 2021'!P9))*'Tariff Jul 2021'!S9/100),('Tariff Jul 2021'!T9*'Tariff Jul 2021'!S9/100))),0)</f>
        <v>0</v>
      </c>
      <c r="G17" s="188">
        <v>0</v>
      </c>
      <c r="H17" s="188">
        <v>0</v>
      </c>
      <c r="I17" s="189">
        <f>IF('Tariff Jul 2021'!T9&gt;0,IF(($F$5&lt;'Tariff Jul 2021'!T9),(0),($F$5-'Tariff Jul 2021'!T9)*'Tariff Jul 2021'!U9/100),IF(AND('Tariff Jul 2021'!R9&gt;0,'Tariff Jul 2021'!T9=""),IF(($F$5&lt;'Tariff Jul 2021'!R9),(0),($F$5-'Tariff Jul 2021'!R9)*'Tariff Jul 2021'!S9/100),IF(AND('Tariff Jul 2021'!P9&gt;0,'Tariff Jul 2021'!R9=""),IF(($F$5&lt;'Tariff Jul 2021'!P9),(0),($F$5-'Tariff Jul 2021'!P9)*'Tariff Jul 2021'!Q9/100),0)))</f>
        <v>0</v>
      </c>
      <c r="J17" s="188">
        <f t="shared" si="7"/>
        <v>355.86792290909091</v>
      </c>
      <c r="K17" s="283">
        <f t="shared" si="10"/>
        <v>1125.9844189090909</v>
      </c>
      <c r="L17" s="283">
        <f t="shared" si="8"/>
        <v>1423.4716916363636</v>
      </c>
      <c r="M17" s="191">
        <f t="shared" si="9"/>
        <v>1565.8188608</v>
      </c>
      <c r="N17" s="187">
        <f>'Tariff Jul 2021'!AZ9</f>
        <v>0</v>
      </c>
      <c r="O17" s="187">
        <f>'Tariff Jul 2021'!BA9</f>
        <v>0</v>
      </c>
      <c r="P17" s="187">
        <f>'Tariff Jul 2021'!BB9</f>
        <v>0</v>
      </c>
      <c r="Q17" s="187">
        <f>'Tariff Jul 2021'!BC9</f>
        <v>0</v>
      </c>
      <c r="R17" s="192">
        <f>($F$6*'Tariff Jul 2021'!AT9/100)*4</f>
        <v>415.27616</v>
      </c>
      <c r="S17" s="193" t="str">
        <f t="shared" si="0"/>
        <v>No discount</v>
      </c>
      <c r="T17" s="193" t="str">
        <f t="shared" si="1"/>
        <v>Inclusive</v>
      </c>
      <c r="U17" s="304">
        <f t="shared" si="2"/>
        <v>1423.4716916363636</v>
      </c>
      <c r="V17" s="283">
        <f t="shared" si="3"/>
        <v>1423.4716916363636</v>
      </c>
      <c r="W17" s="283">
        <f t="shared" si="4"/>
        <v>1008.1955316363636</v>
      </c>
      <c r="X17" s="283">
        <f t="shared" si="5"/>
        <v>1008.1955316363636</v>
      </c>
      <c r="Y17" s="285">
        <f t="shared" si="6"/>
        <v>1109.0150848000001</v>
      </c>
      <c r="Z17" s="285">
        <f t="shared" si="6"/>
        <v>1109.0150848000001</v>
      </c>
      <c r="AA17" s="194">
        <f>'Tariff Jul 2021'!AT9</f>
        <v>13</v>
      </c>
      <c r="AB17" s="195">
        <f>'Tariff Jul 2021'!BL9</f>
        <v>0</v>
      </c>
      <c r="AC17" s="195" t="str">
        <f>'Tariff Jul 2021'!BM9</f>
        <v>n</v>
      </c>
      <c r="AD17" s="196">
        <f>'Tariff Jul 2021'!G9</f>
        <v>42916</v>
      </c>
      <c r="AE17" s="327"/>
      <c r="AF17" s="327"/>
      <c r="AG17" s="327"/>
      <c r="AH17" s="327"/>
      <c r="AI17" s="327"/>
      <c r="AJ17" s="327"/>
      <c r="AK17" s="327"/>
      <c r="AL17" s="327"/>
      <c r="AM17" s="327"/>
      <c r="AN17" s="327"/>
      <c r="AO17" s="327"/>
      <c r="AP17" s="327"/>
      <c r="AQ17" s="327"/>
      <c r="AR17" s="327"/>
      <c r="AS17" s="327"/>
      <c r="AT17" s="327"/>
      <c r="AU17" s="327"/>
      <c r="AV17" s="327"/>
    </row>
    <row r="18" spans="1:48" s="187" customFormat="1" x14ac:dyDescent="0.15">
      <c r="A18" s="186" t="str">
        <f>'Tariff Jul 2021'!K10</f>
        <v>Powerdirect</v>
      </c>
      <c r="B18" s="187" t="str">
        <f>'Tariff Jul 2021'!L10</f>
        <v>Rate Saver</v>
      </c>
      <c r="C18" s="188">
        <f>IF('Tariff Jul 2021'!BP10=0,91*'Tariff Jul 2021'!M10/100,(91*'Tariff Jul 2021'!M10/100)+'Tariff Jul 2021'!BP10/4)</f>
        <v>60.498454545454535</v>
      </c>
      <c r="D18" s="188">
        <f>IF('Tariff Jul 2021'!O10="",$F$5*'Tariff Jul 2021'!N10/100,IF($F$5&gt;='Tariff Jul 2021'!P10,('Tariff Jul 2021'!P10*'Tariff Jul 2021'!N10/100),($F$5*'Tariff Jul 2021'!N10/100)))</f>
        <v>263.88738327272728</v>
      </c>
      <c r="E18" s="188">
        <f>IF(AND('Tariff Jul 2021'!P10&gt;0,'Tariff Jul 2021'!R10&gt;0),IF($F$5&lt;'Tariff Jul 2021'!P10,0,IF($F$5&lt;=('Tariff Jul 2021'!R10+'Tariff Jul 2021'!P10),(($F$5-'Tariff Jul 2021'!P10)*'Tariff Jul 2021'!Q10/100),(('Tariff Jul 2021'!R10)*'Tariff Jul 2021'!Q10/100))),0)</f>
        <v>0</v>
      </c>
      <c r="F18" s="189">
        <f>IF(AND('Tariff Jul 2021'!Q10&gt;0,'Tariff Jul 2021'!S10&gt;0),IF($F$5&lt;('Tariff Jul 2021'!R10+'Tariff Jul 2021'!P10),0,IF($F$5&lt;=('Tariff Jul 2021'!T10+'Tariff Jul 2021'!R10+'Tariff Jul 2021'!P10),(($F$5-('Tariff Jul 2021'!R10+'Tariff Jul 2021'!P10))*'Tariff Jul 2021'!S10/100),('Tariff Jul 2021'!T10*'Tariff Jul 2021'!S10/100))),0)</f>
        <v>0</v>
      </c>
      <c r="G18" s="188">
        <v>0</v>
      </c>
      <c r="H18" s="188">
        <v>0</v>
      </c>
      <c r="I18" s="189">
        <f>IF('Tariff Jul 2021'!T10&gt;0,IF(($F$5&lt;'Tariff Jul 2021'!T10),(0),($F$5-'Tariff Jul 2021'!T10)*'Tariff Jul 2021'!U10/100),IF(AND('Tariff Jul 2021'!R10&gt;0,'Tariff Jul 2021'!T10=""),IF(($F$5&lt;'Tariff Jul 2021'!R10),(0),($F$5-'Tariff Jul 2021'!R10)*'Tariff Jul 2021'!S10/100),IF(AND('Tariff Jul 2021'!P10&gt;0,'Tariff Jul 2021'!R10=""),IF(($F$5&lt;'Tariff Jul 2021'!P10),(0),($F$5-'Tariff Jul 2021'!P10)*'Tariff Jul 2021'!Q10/100),0)))</f>
        <v>0</v>
      </c>
      <c r="J18" s="188">
        <f t="shared" si="7"/>
        <v>324.38583781818181</v>
      </c>
      <c r="K18" s="283">
        <f t="shared" si="10"/>
        <v>1055.5495330909091</v>
      </c>
      <c r="L18" s="283">
        <f t="shared" si="8"/>
        <v>1297.5433512727273</v>
      </c>
      <c r="M18" s="191">
        <f t="shared" si="9"/>
        <v>1427.2976864000002</v>
      </c>
      <c r="N18" s="187">
        <f>'Tariff Jul 2021'!AZ10</f>
        <v>0</v>
      </c>
      <c r="O18" s="187">
        <f>'Tariff Jul 2021'!BA10</f>
        <v>0</v>
      </c>
      <c r="P18" s="187">
        <f>'Tariff Jul 2021'!BB10</f>
        <v>0</v>
      </c>
      <c r="Q18" s="187">
        <f>'Tariff Jul 2021'!BC10</f>
        <v>0</v>
      </c>
      <c r="R18" s="192">
        <f>($F$6*'Tariff Jul 2021'!AT10/100)*4</f>
        <v>255.55456000000001</v>
      </c>
      <c r="S18" s="193" t="str">
        <f t="shared" si="0"/>
        <v>No discount</v>
      </c>
      <c r="T18" s="193" t="str">
        <f t="shared" si="1"/>
        <v>Exclusive</v>
      </c>
      <c r="U18" s="304">
        <f t="shared" si="2"/>
        <v>1297.5433512727273</v>
      </c>
      <c r="V18" s="283">
        <f t="shared" si="3"/>
        <v>1297.5433512727273</v>
      </c>
      <c r="W18" s="283">
        <f t="shared" si="4"/>
        <v>1041.9887912727272</v>
      </c>
      <c r="X18" s="283">
        <f t="shared" si="5"/>
        <v>1041.9887912727272</v>
      </c>
      <c r="Y18" s="285">
        <f t="shared" si="6"/>
        <v>1146.1876704000001</v>
      </c>
      <c r="Z18" s="285">
        <f t="shared" si="6"/>
        <v>1146.1876704000001</v>
      </c>
      <c r="AA18" s="194">
        <f>'Tariff Jul 2021'!AT10</f>
        <v>8</v>
      </c>
      <c r="AB18" s="195">
        <f>'Tariff Jul 2021'!BL10</f>
        <v>0</v>
      </c>
      <c r="AC18" s="195" t="str">
        <f>'Tariff Jul 2021'!BM10</f>
        <v>n</v>
      </c>
      <c r="AD18" s="196">
        <f>'Tariff Jul 2021'!G10</f>
        <v>42922</v>
      </c>
      <c r="AE18" s="327"/>
      <c r="AF18" s="327"/>
      <c r="AG18" s="327"/>
      <c r="AH18" s="327"/>
      <c r="AI18" s="327"/>
      <c r="AJ18" s="327"/>
      <c r="AK18" s="327"/>
      <c r="AL18" s="327"/>
      <c r="AM18" s="327"/>
      <c r="AN18" s="327"/>
      <c r="AO18" s="327"/>
      <c r="AP18" s="327"/>
      <c r="AQ18" s="327"/>
      <c r="AR18" s="327"/>
      <c r="AS18" s="327"/>
      <c r="AT18" s="327"/>
      <c r="AU18" s="327"/>
      <c r="AV18" s="327"/>
    </row>
    <row r="19" spans="1:48" s="187" customFormat="1" x14ac:dyDescent="0.15">
      <c r="A19" s="186" t="str">
        <f>'Tariff Jul 2021'!K11</f>
        <v>Red Energy</v>
      </c>
      <c r="B19" s="187" t="str">
        <f>'Tariff Jul 2021'!L11</f>
        <v>Living Energy Saver</v>
      </c>
      <c r="C19" s="188">
        <f>IF('Tariff Jul 2021'!BP11=0,91*'Tariff Jul 2021'!M11/100,(91*'Tariff Jul 2021'!M11/100)+'Tariff Jul 2021'!BP11/4)</f>
        <v>74.62</v>
      </c>
      <c r="D19" s="188">
        <f>IF('Tariff Jul 2021'!O11="",$F$5*'Tariff Jul 2021'!N11/100,IF($F$5&gt;='Tariff Jul 2021'!P11,('Tariff Jul 2021'!P11*'Tariff Jul 2021'!N11/100),($F$5*'Tariff Jul 2021'!N11/100)))</f>
        <v>277.601088</v>
      </c>
      <c r="E19" s="188">
        <f>IF(AND('Tariff Jul 2021'!P11&gt;0,'Tariff Jul 2021'!R11&gt;0),IF($F$5&lt;'Tariff Jul 2021'!P11,0,IF($F$5&lt;=('Tariff Jul 2021'!R11+'Tariff Jul 2021'!P11),(($F$5-'Tariff Jul 2021'!P11)*'Tariff Jul 2021'!Q11/100),(('Tariff Jul 2021'!R11)*'Tariff Jul 2021'!Q11/100))),0)</f>
        <v>0</v>
      </c>
      <c r="F19" s="189">
        <f>IF(AND('Tariff Jul 2021'!Q11&gt;0,'Tariff Jul 2021'!S11&gt;0),IF($F$5&lt;('Tariff Jul 2021'!R11+'Tariff Jul 2021'!P11),0,IF($F$5&lt;=('Tariff Jul 2021'!T11+'Tariff Jul 2021'!R11+'Tariff Jul 2021'!P11),(($F$5-('Tariff Jul 2021'!R11+'Tariff Jul 2021'!P11))*'Tariff Jul 2021'!S11/100),('Tariff Jul 2021'!T11*'Tariff Jul 2021'!S11/100))),0)</f>
        <v>0</v>
      </c>
      <c r="G19" s="188">
        <v>0</v>
      </c>
      <c r="H19" s="188">
        <v>0</v>
      </c>
      <c r="I19" s="189">
        <f>IF('Tariff Jul 2021'!T11&gt;0,IF(($F$5&lt;'Tariff Jul 2021'!T11),(0),($F$5-'Tariff Jul 2021'!T11)*'Tariff Jul 2021'!U11/100),IF(AND('Tariff Jul 2021'!R11&gt;0,'Tariff Jul 2021'!T11=""),IF(($F$5&lt;'Tariff Jul 2021'!R11),(0),($F$5-'Tariff Jul 2021'!R11)*'Tariff Jul 2021'!S11/100),IF(AND('Tariff Jul 2021'!P11&gt;0,'Tariff Jul 2021'!R11=""),IF(($F$5&lt;'Tariff Jul 2021'!P11),(0),($F$5-'Tariff Jul 2021'!P11)*'Tariff Jul 2021'!Q11/100),0)))</f>
        <v>0</v>
      </c>
      <c r="J19" s="188">
        <f t="shared" si="7"/>
        <v>352.22108800000001</v>
      </c>
      <c r="K19" s="283">
        <f t="shared" si="10"/>
        <v>1110.404352</v>
      </c>
      <c r="L19" s="283">
        <f t="shared" si="8"/>
        <v>1408.884352</v>
      </c>
      <c r="M19" s="191">
        <f t="shared" si="9"/>
        <v>1549.7727872000003</v>
      </c>
      <c r="N19" s="187">
        <f>'Tariff Jul 2021'!AZ11</f>
        <v>0</v>
      </c>
      <c r="O19" s="187">
        <f>'Tariff Jul 2021'!BA11</f>
        <v>0</v>
      </c>
      <c r="P19" s="187">
        <f>'Tariff Jul 2021'!BB11</f>
        <v>0</v>
      </c>
      <c r="Q19" s="187">
        <f>'Tariff Jul 2021'!BC11</f>
        <v>0</v>
      </c>
      <c r="R19" s="192">
        <f>($F$6*'Tariff Jul 2021'!AT11/100)*4</f>
        <v>95.83296</v>
      </c>
      <c r="S19" s="193" t="str">
        <f t="shared" si="0"/>
        <v>No discount</v>
      </c>
      <c r="T19" s="193" t="str">
        <f t="shared" si="1"/>
        <v>Inclusive</v>
      </c>
      <c r="U19" s="304">
        <f t="shared" si="2"/>
        <v>1408.884352</v>
      </c>
      <c r="V19" s="283">
        <f t="shared" si="3"/>
        <v>1408.884352</v>
      </c>
      <c r="W19" s="283">
        <f t="shared" si="4"/>
        <v>1313.0513920000001</v>
      </c>
      <c r="X19" s="283">
        <f t="shared" si="5"/>
        <v>1313.0513920000001</v>
      </c>
      <c r="Y19" s="285">
        <f t="shared" si="6"/>
        <v>1444.3565312000003</v>
      </c>
      <c r="Z19" s="285">
        <f t="shared" si="6"/>
        <v>1444.3565312000003</v>
      </c>
      <c r="AA19" s="194">
        <f>'Tariff Jul 2021'!AT11</f>
        <v>3</v>
      </c>
      <c r="AB19" s="195">
        <f>'Tariff Jul 2021'!BL11</f>
        <v>0</v>
      </c>
      <c r="AC19" s="195" t="str">
        <f>'Tariff Jul 2021'!BM11</f>
        <v>n</v>
      </c>
      <c r="AD19" s="196">
        <f>'Tariff Jul 2021'!G11</f>
        <v>42916</v>
      </c>
      <c r="AE19" s="327"/>
      <c r="AF19" s="327"/>
      <c r="AG19" s="327"/>
      <c r="AH19" s="327"/>
      <c r="AI19" s="327"/>
      <c r="AJ19" s="327"/>
      <c r="AK19" s="327"/>
      <c r="AL19" s="327"/>
      <c r="AM19" s="327"/>
      <c r="AN19" s="327"/>
      <c r="AO19" s="327"/>
      <c r="AP19" s="327"/>
      <c r="AQ19" s="327"/>
      <c r="AR19" s="327"/>
      <c r="AS19" s="327"/>
      <c r="AT19" s="327"/>
      <c r="AU19" s="327"/>
      <c r="AV19" s="327"/>
    </row>
    <row r="20" spans="1:48" s="187" customFormat="1" x14ac:dyDescent="0.15">
      <c r="A20" s="186" t="str">
        <f>'Tariff Jul 2021'!K12</f>
        <v>Energy Locals</v>
      </c>
      <c r="B20" s="187" t="str">
        <f>'Tariff Jul 2021'!L12</f>
        <v>Local Member</v>
      </c>
      <c r="C20" s="188">
        <f>IF('Tariff Jul 2021'!BP12=0,91*'Tariff Jul 2021'!M12/100,(91*'Tariff Jul 2021'!M12/100)+'Tariff Jul 2021'!BP12/4)</f>
        <v>84</v>
      </c>
      <c r="D20" s="188">
        <f>IF('Tariff Jul 2021'!O12="",$F$5*'Tariff Jul 2021'!N12/100,IF($F$5&gt;='Tariff Jul 2021'!P12,('Tariff Jul 2021'!P12*'Tariff Jul 2021'!N12/100),($F$5*'Tariff Jul 2021'!N12/100)))</f>
        <v>219.17583709090911</v>
      </c>
      <c r="E20" s="188">
        <f>IF(AND('Tariff Jul 2021'!P12&gt;0,'Tariff Jul 2021'!R12&gt;0),IF($F$5&lt;'Tariff Jul 2021'!P12,0,IF($F$5&lt;=('Tariff Jul 2021'!R12+'Tariff Jul 2021'!P12),(($F$5-'Tariff Jul 2021'!P12)*'Tariff Jul 2021'!Q12/100),(('Tariff Jul 2021'!R12)*'Tariff Jul 2021'!Q12/100))),0)</f>
        <v>0</v>
      </c>
      <c r="F20" s="189">
        <f>IF(AND('Tariff Jul 2021'!Q12&gt;0,'Tariff Jul 2021'!S12&gt;0),IF($F$5&lt;('Tariff Jul 2021'!R12+'Tariff Jul 2021'!P12),0,IF($F$5&lt;=('Tariff Jul 2021'!T12+'Tariff Jul 2021'!R12+'Tariff Jul 2021'!P12),(($F$5-('Tariff Jul 2021'!R12+'Tariff Jul 2021'!P12))*'Tariff Jul 2021'!S12/100),('Tariff Jul 2021'!T12*'Tariff Jul 2021'!S12/100))),0)</f>
        <v>0</v>
      </c>
      <c r="G20" s="188">
        <v>0</v>
      </c>
      <c r="H20" s="188">
        <v>0</v>
      </c>
      <c r="I20" s="189">
        <f>IF('Tariff Jul 2021'!T12&gt;0,IF(($F$5&lt;'Tariff Jul 2021'!T12),(0),($F$5-'Tariff Jul 2021'!T12)*'Tariff Jul 2021'!U12/100),IF(AND('Tariff Jul 2021'!R12&gt;0,'Tariff Jul 2021'!T12=""),IF(($F$5&lt;'Tariff Jul 2021'!R12),(0),($F$5-'Tariff Jul 2021'!R12)*'Tariff Jul 2021'!S12/100),IF(AND('Tariff Jul 2021'!P12&gt;0,'Tariff Jul 2021'!R12=""),IF(($F$5&lt;'Tariff Jul 2021'!P12),(0),($F$5-'Tariff Jul 2021'!P12)*'Tariff Jul 2021'!Q12/100),0)))</f>
        <v>0</v>
      </c>
      <c r="J20" s="188">
        <f t="shared" si="7"/>
        <v>303.17583709090911</v>
      </c>
      <c r="K20" s="283">
        <f t="shared" si="10"/>
        <v>876.70334836363645</v>
      </c>
      <c r="L20" s="283">
        <f t="shared" si="8"/>
        <v>1212.7033483636365</v>
      </c>
      <c r="M20" s="191">
        <f t="shared" si="9"/>
        <v>1333.9736832000001</v>
      </c>
      <c r="N20" s="187">
        <f>'Tariff Jul 2021'!AZ12</f>
        <v>0</v>
      </c>
      <c r="O20" s="187">
        <f>'Tariff Jul 2021'!BA12</f>
        <v>0</v>
      </c>
      <c r="P20" s="187">
        <f>'Tariff Jul 2021'!BB12</f>
        <v>0</v>
      </c>
      <c r="Q20" s="187">
        <f>'Tariff Jul 2021'!BC12</f>
        <v>0</v>
      </c>
      <c r="R20" s="192">
        <f>($F$6*'Tariff Jul 2021'!AT12/100)*4</f>
        <v>271.52672000000001</v>
      </c>
      <c r="S20" s="193" t="str">
        <f t="shared" si="0"/>
        <v>No discount</v>
      </c>
      <c r="T20" s="193" t="str">
        <f t="shared" si="1"/>
        <v>Exclusive</v>
      </c>
      <c r="U20" s="304">
        <f t="shared" si="2"/>
        <v>1212.7033483636365</v>
      </c>
      <c r="V20" s="283">
        <f t="shared" si="3"/>
        <v>1212.7033483636365</v>
      </c>
      <c r="W20" s="283">
        <f t="shared" si="4"/>
        <v>941.17662836363638</v>
      </c>
      <c r="X20" s="283">
        <f t="shared" si="5"/>
        <v>941.17662836363638</v>
      </c>
      <c r="Y20" s="285">
        <f t="shared" si="6"/>
        <v>1035.2942912000001</v>
      </c>
      <c r="Z20" s="285">
        <f t="shared" si="6"/>
        <v>1035.2942912000001</v>
      </c>
      <c r="AA20" s="194">
        <f>'Tariff Jul 2021'!AT12</f>
        <v>8.5</v>
      </c>
      <c r="AB20" s="195">
        <f>'Tariff Jul 2021'!BL12</f>
        <v>0</v>
      </c>
      <c r="AC20" s="195" t="str">
        <f>'Tariff Jul 2021'!BM12</f>
        <v>n</v>
      </c>
      <c r="AD20" s="196">
        <f>'Tariff Jul 2021'!G12</f>
        <v>42658</v>
      </c>
      <c r="AE20" s="327"/>
      <c r="AF20" s="327"/>
      <c r="AG20" s="327"/>
      <c r="AH20" s="327"/>
      <c r="AI20" s="327"/>
      <c r="AJ20" s="327"/>
      <c r="AK20" s="327"/>
      <c r="AL20" s="327"/>
      <c r="AM20" s="327"/>
      <c r="AN20" s="327"/>
      <c r="AO20" s="327"/>
      <c r="AP20" s="327"/>
      <c r="AQ20" s="327"/>
      <c r="AR20" s="327"/>
      <c r="AS20" s="327"/>
      <c r="AT20" s="327"/>
      <c r="AU20" s="327"/>
      <c r="AV20" s="327"/>
    </row>
    <row r="21" spans="1:48" s="187" customFormat="1" x14ac:dyDescent="0.15">
      <c r="A21" s="186" t="str">
        <f>'Tariff Jul 2021'!K13</f>
        <v>Simply Energy</v>
      </c>
      <c r="B21" s="187" t="str">
        <f>'Tariff Jul 2021'!L13</f>
        <v>Energy Saver</v>
      </c>
      <c r="C21" s="188">
        <f>IF('Tariff Jul 2021'!BP13=0,91*'Tariff Jul 2021'!M13/100,(91*'Tariff Jul 2021'!M13/100)+'Tariff Jul 2021'!BP13/4)</f>
        <v>88.27</v>
      </c>
      <c r="D21" s="188">
        <f>IF('Tariff Jul 2021'!O13="",$F$5*'Tariff Jul 2021'!N13/100,IF($F$5&gt;='Tariff Jul 2021'!P13,('Tariff Jul 2021'!P13*'Tariff Jul 2021'!N13/100),($F$5*'Tariff Jul 2021'!N13/100)))</f>
        <v>268.99959272727273</v>
      </c>
      <c r="E21" s="188">
        <f>IF(AND('Tariff Jul 2021'!P13&gt;0,'Tariff Jul 2021'!R13&gt;0),IF($F$5&lt;'Tariff Jul 2021'!P13,0,IF($F$5&lt;=('Tariff Jul 2021'!R13+'Tariff Jul 2021'!P13),(($F$5-'Tariff Jul 2021'!P13)*'Tariff Jul 2021'!Q13/100),(('Tariff Jul 2021'!R13)*'Tariff Jul 2021'!Q13/100))),0)</f>
        <v>0</v>
      </c>
      <c r="F21" s="189">
        <f>IF(AND('Tariff Jul 2021'!Q13&gt;0,'Tariff Jul 2021'!S13&gt;0),IF($F$5&lt;('Tariff Jul 2021'!R13+'Tariff Jul 2021'!P13),0,IF($F$5&lt;=('Tariff Jul 2021'!T13+'Tariff Jul 2021'!R13+'Tariff Jul 2021'!P13),(($F$5-('Tariff Jul 2021'!R13+'Tariff Jul 2021'!P13))*'Tariff Jul 2021'!S13/100),('Tariff Jul 2021'!T13*'Tariff Jul 2021'!S13/100))),0)</f>
        <v>0</v>
      </c>
      <c r="G21" s="188">
        <v>0</v>
      </c>
      <c r="H21" s="188">
        <v>0</v>
      </c>
      <c r="I21" s="189">
        <f>IF('Tariff Jul 2021'!T13&gt;0,IF(($F$5&lt;'Tariff Jul 2021'!T13),(0),($F$5-'Tariff Jul 2021'!T13)*'Tariff Jul 2021'!U13/100),IF(AND('Tariff Jul 2021'!R13&gt;0,'Tariff Jul 2021'!T13=""),IF(($F$5&lt;'Tariff Jul 2021'!R13),(0),($F$5-'Tariff Jul 2021'!R13)*'Tariff Jul 2021'!S13/100),IF(AND('Tariff Jul 2021'!P13&gt;0,'Tariff Jul 2021'!R13=""),IF(($F$5&lt;'Tariff Jul 2021'!P13),(0),($F$5-'Tariff Jul 2021'!P13)*'Tariff Jul 2021'!Q13/100),0)))</f>
        <v>0</v>
      </c>
      <c r="J21" s="188">
        <f t="shared" si="7"/>
        <v>357.26959272727271</v>
      </c>
      <c r="K21" s="283">
        <f>(J21-C21)*4</f>
        <v>1075.9983709090909</v>
      </c>
      <c r="L21" s="283">
        <f t="shared" si="8"/>
        <v>1429.0783709090908</v>
      </c>
      <c r="M21" s="191">
        <f t="shared" si="9"/>
        <v>1571.986208</v>
      </c>
      <c r="N21" s="187">
        <f>'Tariff Jul 2021'!AZ13</f>
        <v>10</v>
      </c>
      <c r="O21" s="187">
        <f>'Tariff Jul 2021'!BA13</f>
        <v>0</v>
      </c>
      <c r="P21" s="187">
        <f>'Tariff Jul 2021'!BB13</f>
        <v>0</v>
      </c>
      <c r="Q21" s="187">
        <f>'Tariff Jul 2021'!BC13</f>
        <v>0</v>
      </c>
      <c r="R21" s="192">
        <f>($F$6*'Tariff Jul 2021'!AT13/100)*4</f>
        <v>143.74944000000002</v>
      </c>
      <c r="S21" s="193" t="str">
        <f t="shared" si="0"/>
        <v>Guaranteed off bill</v>
      </c>
      <c r="T21" s="193" t="str">
        <f t="shared" si="1"/>
        <v>Exclusive</v>
      </c>
      <c r="U21" s="304">
        <f t="shared" si="2"/>
        <v>1286.1705338181819</v>
      </c>
      <c r="V21" s="283">
        <f t="shared" si="3"/>
        <v>1286.1705338181819</v>
      </c>
      <c r="W21" s="283">
        <f t="shared" si="4"/>
        <v>1142.4210938181818</v>
      </c>
      <c r="X21" s="283">
        <f t="shared" si="5"/>
        <v>1142.4210938181818</v>
      </c>
      <c r="Y21" s="285">
        <f t="shared" si="6"/>
        <v>1256.6632032</v>
      </c>
      <c r="Z21" s="285">
        <f t="shared" si="6"/>
        <v>1256.6632032</v>
      </c>
      <c r="AA21" s="194">
        <f>'Tariff Jul 2021'!AT13</f>
        <v>4.5</v>
      </c>
      <c r="AB21" s="195">
        <f>'Tariff Jul 2021'!BL13</f>
        <v>0</v>
      </c>
      <c r="AC21" s="195" t="str">
        <f>'Tariff Jul 2021'!BM13</f>
        <v>n</v>
      </c>
      <c r="AD21" s="196">
        <f>'Tariff Jul 2021'!G13</f>
        <v>42916</v>
      </c>
      <c r="AE21" s="327"/>
      <c r="AF21" s="327"/>
      <c r="AG21" s="327"/>
      <c r="AH21" s="327"/>
      <c r="AI21" s="327"/>
      <c r="AJ21" s="327"/>
      <c r="AK21" s="327"/>
      <c r="AL21" s="327"/>
      <c r="AM21" s="327"/>
      <c r="AN21" s="327"/>
      <c r="AO21" s="327"/>
      <c r="AP21" s="327"/>
      <c r="AQ21" s="327"/>
      <c r="AR21" s="327"/>
      <c r="AS21" s="327"/>
      <c r="AT21" s="327"/>
      <c r="AU21" s="327"/>
      <c r="AV21" s="327"/>
    </row>
    <row r="22" spans="1:48" s="187" customFormat="1" x14ac:dyDescent="0.15">
      <c r="A22" s="186" t="str">
        <f>'Tariff Jul 2021'!K14</f>
        <v>Powershop</v>
      </c>
      <c r="B22" s="187" t="str">
        <f>'Tariff Jul 2021'!L14</f>
        <v>Carbon neutral</v>
      </c>
      <c r="C22" s="188">
        <f>IF('Tariff Jul 2021'!BP14=0,91*'Tariff Jul 2021'!M14/100,(91*'Tariff Jul 2021'!M14/100)+'Tariff Jul 2021'!BP14/4)</f>
        <v>86.449999999999989</v>
      </c>
      <c r="D22" s="188">
        <f>IF('Tariff Jul 2021'!O14="",$F$5*'Tariff Jul 2021'!N14/100,IF($F$5&gt;='Tariff Jul 2021'!P14,('Tariff Jul 2021'!P14*'Tariff Jul 2021'!N14/100),($F$5*'Tariff Jul 2021'!N14/100)))</f>
        <v>218.68895999999998</v>
      </c>
      <c r="E22" s="188">
        <f>IF(AND('Tariff Jul 2021'!P14&gt;0,'Tariff Jul 2021'!R14&gt;0),IF($F$5&lt;'Tariff Jul 2021'!P14,0,IF($F$5&lt;=('Tariff Jul 2021'!R14+'Tariff Jul 2021'!P14),(($F$5-'Tariff Jul 2021'!P14)*'Tariff Jul 2021'!Q14/100),(('Tariff Jul 2021'!R14)*'Tariff Jul 2021'!Q14/100))),0)</f>
        <v>0</v>
      </c>
      <c r="F22" s="189">
        <f>IF(AND('Tariff Jul 2021'!Q14&gt;0,'Tariff Jul 2021'!S14&gt;0),IF($F$5&lt;('Tariff Jul 2021'!R14+'Tariff Jul 2021'!P14),0,IF($F$5&lt;=('Tariff Jul 2021'!T14+'Tariff Jul 2021'!R14+'Tariff Jul 2021'!P14),(($F$5-('Tariff Jul 2021'!R14+'Tariff Jul 2021'!P14))*'Tariff Jul 2021'!S14/100),('Tariff Jul 2021'!T14*'Tariff Jul 2021'!S14/100))),0)</f>
        <v>0</v>
      </c>
      <c r="G22" s="188">
        <v>0</v>
      </c>
      <c r="H22" s="188">
        <v>0</v>
      </c>
      <c r="I22" s="189">
        <f>IF('Tariff Jul 2021'!T14&gt;0,IF(($F$5&lt;'Tariff Jul 2021'!T14),(0),($F$5-'Tariff Jul 2021'!T14)*'Tariff Jul 2021'!U14/100),IF(AND('Tariff Jul 2021'!R14&gt;0,'Tariff Jul 2021'!T14=""),IF(($F$5&lt;'Tariff Jul 2021'!R14),(0),($F$5-'Tariff Jul 2021'!R14)*'Tariff Jul 2021'!S14/100),IF(AND('Tariff Jul 2021'!P14&gt;0,'Tariff Jul 2021'!R14=""),IF(($F$5&lt;'Tariff Jul 2021'!P14),(0),($F$5-'Tariff Jul 2021'!P14)*'Tariff Jul 2021'!Q14/100),0)))</f>
        <v>0</v>
      </c>
      <c r="J22" s="188">
        <f t="shared" si="7"/>
        <v>305.13896</v>
      </c>
      <c r="K22" s="283">
        <f t="shared" si="10"/>
        <v>874.75584000000003</v>
      </c>
      <c r="L22" s="283">
        <f t="shared" si="8"/>
        <v>1220.55584</v>
      </c>
      <c r="M22" s="191">
        <f t="shared" si="9"/>
        <v>1342.6114240000002</v>
      </c>
      <c r="N22" s="187">
        <f>'Tariff Jul 2021'!AZ14</f>
        <v>0</v>
      </c>
      <c r="O22" s="187">
        <f>'Tariff Jul 2021'!BA14</f>
        <v>0</v>
      </c>
      <c r="P22" s="187">
        <f>'Tariff Jul 2021'!BB14</f>
        <v>0</v>
      </c>
      <c r="Q22" s="187">
        <f>'Tariff Jul 2021'!BC14</f>
        <v>0</v>
      </c>
      <c r="R22" s="192">
        <f>($F$6*'Tariff Jul 2021'!AT14/100)*4</f>
        <v>95.83296</v>
      </c>
      <c r="S22" s="193" t="str">
        <f t="shared" si="0"/>
        <v>No discount</v>
      </c>
      <c r="T22" s="193" t="str">
        <f t="shared" si="1"/>
        <v>Inclusive</v>
      </c>
      <c r="U22" s="304">
        <f t="shared" si="2"/>
        <v>1220.55584</v>
      </c>
      <c r="V22" s="283">
        <f t="shared" si="3"/>
        <v>1220.55584</v>
      </c>
      <c r="W22" s="283">
        <f t="shared" si="4"/>
        <v>1124.72288</v>
      </c>
      <c r="X22" s="283">
        <f t="shared" si="5"/>
        <v>1124.72288</v>
      </c>
      <c r="Y22" s="285">
        <f t="shared" si="6"/>
        <v>1237.1951680000002</v>
      </c>
      <c r="Z22" s="285">
        <f t="shared" si="6"/>
        <v>1237.1951680000002</v>
      </c>
      <c r="AA22" s="194">
        <f>'Tariff Jul 2021'!AT14</f>
        <v>3</v>
      </c>
      <c r="AB22" s="195">
        <f>'Tariff Jul 2021'!BL14</f>
        <v>0</v>
      </c>
      <c r="AC22" s="195" t="str">
        <f>'Tariff Jul 2021'!BM14</f>
        <v>n</v>
      </c>
      <c r="AD22" s="196">
        <f>'Tariff Jul 2021'!G14</f>
        <v>42900</v>
      </c>
      <c r="AE22" s="327"/>
      <c r="AF22" s="327"/>
      <c r="AG22" s="327"/>
      <c r="AH22" s="327"/>
      <c r="AI22" s="327"/>
      <c r="AJ22" s="327"/>
      <c r="AK22" s="327"/>
      <c r="AL22" s="327"/>
      <c r="AM22" s="327"/>
      <c r="AN22" s="327"/>
      <c r="AO22" s="327"/>
      <c r="AP22" s="327"/>
      <c r="AQ22" s="327"/>
      <c r="AR22" s="327"/>
      <c r="AS22" s="327"/>
      <c r="AT22" s="327"/>
      <c r="AU22" s="327"/>
      <c r="AV22" s="327"/>
    </row>
    <row r="23" spans="1:48" s="187" customFormat="1" x14ac:dyDescent="0.15">
      <c r="A23" s="186" t="str">
        <f>'Tariff Jul 2021'!K15</f>
        <v>Powerclub</v>
      </c>
      <c r="B23" s="187" t="str">
        <f>'Tariff Jul 2021'!L15</f>
        <v>Powerbank Home Solar</v>
      </c>
      <c r="C23" s="188">
        <f>IF('Tariff Jul 2021'!BP15=0,91*'Tariff Jul 2021'!M15/100,(91*'Tariff Jul 2021'!M15/100)+'Tariff Jul 2021'!BP15/4)</f>
        <v>108.50863636363636</v>
      </c>
      <c r="D23" s="188">
        <f>IF('Tariff Jul 2021'!O15="",$F$5*'Tariff Jul 2021'!N15/100,IF($F$5&gt;='Tariff Jul 2021'!P15,('Tariff Jul 2021'!P15*'Tariff Jul 2021'!N15/100),($F$5*'Tariff Jul 2021'!N15/100)))</f>
        <v>202.78430836363634</v>
      </c>
      <c r="E23" s="188">
        <f>IF(AND('Tariff Jul 2021'!P15&gt;0,'Tariff Jul 2021'!R15&gt;0),IF($F$5&lt;'Tariff Jul 2021'!P15,0,IF($F$5&lt;=('Tariff Jul 2021'!R15+'Tariff Jul 2021'!P15),(($F$5-'Tariff Jul 2021'!P15)*'Tariff Jul 2021'!Q15/100),(('Tariff Jul 2021'!R15)*'Tariff Jul 2021'!Q15/100))),0)</f>
        <v>0</v>
      </c>
      <c r="F23" s="189">
        <f>IF(AND('Tariff Jul 2021'!Q15&gt;0,'Tariff Jul 2021'!S15&gt;0),IF($F$5&lt;('Tariff Jul 2021'!R15+'Tariff Jul 2021'!P15),0,IF($F$5&lt;=('Tariff Jul 2021'!T15+'Tariff Jul 2021'!R15+'Tariff Jul 2021'!P15),(($F$5-('Tariff Jul 2021'!R15+'Tariff Jul 2021'!P15))*'Tariff Jul 2021'!S15/100),('Tariff Jul 2021'!T15*'Tariff Jul 2021'!S15/100))),0)</f>
        <v>0</v>
      </c>
      <c r="G23" s="188">
        <v>0</v>
      </c>
      <c r="H23" s="188">
        <v>0</v>
      </c>
      <c r="I23" s="189">
        <f>IF('Tariff Jul 2021'!T15&gt;0,IF(($F$5&lt;'Tariff Jul 2021'!T15),(0),($F$5-'Tariff Jul 2021'!T15)*'Tariff Jul 2021'!U15/100),IF(AND('Tariff Jul 2021'!R15&gt;0,'Tariff Jul 2021'!T15=""),IF(($F$5&lt;'Tariff Jul 2021'!R15),(0),($F$5-'Tariff Jul 2021'!R15)*'Tariff Jul 2021'!S15/100),IF(AND('Tariff Jul 2021'!P15&gt;0,'Tariff Jul 2021'!R15=""),IF(($F$5&lt;'Tariff Jul 2021'!P15),(0),($F$5-'Tariff Jul 2021'!P15)*'Tariff Jul 2021'!Q15/100),0)))</f>
        <v>0</v>
      </c>
      <c r="J23" s="188">
        <f t="shared" si="7"/>
        <v>311.2929447272727</v>
      </c>
      <c r="K23" s="283">
        <f t="shared" si="10"/>
        <v>811.13723345454537</v>
      </c>
      <c r="L23" s="283">
        <f t="shared" si="8"/>
        <v>1245.1717789090908</v>
      </c>
      <c r="M23" s="191">
        <f t="shared" si="9"/>
        <v>1369.6889567999999</v>
      </c>
      <c r="N23" s="187">
        <f>'Tariff Jul 2021'!AZ15</f>
        <v>0</v>
      </c>
      <c r="O23" s="187">
        <f>'Tariff Jul 2021'!BA15</f>
        <v>0</v>
      </c>
      <c r="P23" s="187">
        <f>'Tariff Jul 2021'!BB15</f>
        <v>0</v>
      </c>
      <c r="Q23" s="187">
        <f>'Tariff Jul 2021'!BC15</f>
        <v>0</v>
      </c>
      <c r="R23" s="192">
        <f>($F$6*'Tariff Jul 2021'!AT15/100)*4</f>
        <v>31.944320000000001</v>
      </c>
      <c r="S23" s="193" t="str">
        <f t="shared" si="0"/>
        <v>No discount</v>
      </c>
      <c r="T23" s="193" t="str">
        <f t="shared" si="1"/>
        <v>Exclusive</v>
      </c>
      <c r="U23" s="304">
        <f t="shared" si="2"/>
        <v>1245.1717789090908</v>
      </c>
      <c r="V23" s="283">
        <f t="shared" si="3"/>
        <v>1245.1717789090908</v>
      </c>
      <c r="W23" s="283">
        <f t="shared" si="4"/>
        <v>1213.2274589090907</v>
      </c>
      <c r="X23" s="283">
        <f t="shared" si="5"/>
        <v>1213.2274589090907</v>
      </c>
      <c r="Y23" s="285">
        <f t="shared" si="6"/>
        <v>1334.5502047999998</v>
      </c>
      <c r="Z23" s="285">
        <f t="shared" si="6"/>
        <v>1334.5502047999998</v>
      </c>
      <c r="AA23" s="194">
        <f>'Tariff Jul 2021'!AT15</f>
        <v>1</v>
      </c>
      <c r="AB23" s="195">
        <f>'Tariff Jul 2021'!BL15</f>
        <v>0</v>
      </c>
      <c r="AC23" s="195" t="str">
        <f>'Tariff Jul 2021'!BM15</f>
        <v>n</v>
      </c>
      <c r="AD23" s="196">
        <f>'Tariff Jul 2021'!G15</f>
        <v>42916</v>
      </c>
      <c r="AE23" s="327"/>
      <c r="AF23" s="327"/>
      <c r="AG23" s="327"/>
      <c r="AH23" s="327"/>
      <c r="AI23" s="327"/>
      <c r="AJ23" s="327"/>
      <c r="AK23" s="327"/>
      <c r="AL23" s="327"/>
      <c r="AM23" s="327"/>
      <c r="AN23" s="327"/>
      <c r="AO23" s="327"/>
      <c r="AP23" s="327"/>
      <c r="AQ23" s="327"/>
      <c r="AR23" s="327"/>
      <c r="AS23" s="327"/>
      <c r="AT23" s="327"/>
      <c r="AU23" s="327"/>
      <c r="AV23" s="327"/>
    </row>
    <row r="24" spans="1:48" s="187" customFormat="1" x14ac:dyDescent="0.15">
      <c r="A24" s="186" t="str">
        <f>'Tariff Jul 2021'!K16</f>
        <v>Amber Electric</v>
      </c>
      <c r="B24" s="187" t="str">
        <f>'Tariff Jul 2021'!L16</f>
        <v>Amber 15</v>
      </c>
      <c r="C24" s="188">
        <f>IF('Tariff Jul 2021'!BP16=0,91*'Tariff Jul 2021'!M16/100,(91*'Tariff Jul 2021'!M16/100)+'Tariff Jul 2021'!BP16/4)</f>
        <v>124.25522727272725</v>
      </c>
      <c r="D24" s="188">
        <f>IF('Tariff Jul 2021'!O16="",$F$5*'Tariff Jul 2021'!N16/100,IF($F$5&gt;='Tariff Jul 2021'!P16,('Tariff Jul 2021'!P16*'Tariff Jul 2021'!N16/100),($F$5*'Tariff Jul 2021'!N16/100)))</f>
        <v>237.02799709090911</v>
      </c>
      <c r="E24" s="188">
        <f>IF(AND('Tariff Jul 2021'!P16&gt;0,'Tariff Jul 2021'!R16&gt;0),IF($F$5&lt;'Tariff Jul 2021'!P16,0,IF($F$5&lt;=('Tariff Jul 2021'!R16+'Tariff Jul 2021'!P16),(($F$5-'Tariff Jul 2021'!P16)*'Tariff Jul 2021'!Q16/100),(('Tariff Jul 2021'!R16)*'Tariff Jul 2021'!Q16/100))),0)</f>
        <v>0</v>
      </c>
      <c r="F24" s="189">
        <f>IF(AND('Tariff Jul 2021'!Q16&gt;0,'Tariff Jul 2021'!S16&gt;0),IF($F$5&lt;('Tariff Jul 2021'!R16+'Tariff Jul 2021'!P16),0,IF($F$5&lt;=('Tariff Jul 2021'!T16+'Tariff Jul 2021'!R16+'Tariff Jul 2021'!P16),(($F$5-('Tariff Jul 2021'!R16+'Tariff Jul 2021'!P16))*'Tariff Jul 2021'!S16/100),('Tariff Jul 2021'!T16*'Tariff Jul 2021'!S16/100))),0)</f>
        <v>0</v>
      </c>
      <c r="G24" s="188">
        <v>0</v>
      </c>
      <c r="H24" s="188">
        <v>0</v>
      </c>
      <c r="I24" s="189">
        <f>IF('Tariff Jul 2021'!T16&gt;0,IF(($F$5&lt;'Tariff Jul 2021'!T16),(0),($F$5-'Tariff Jul 2021'!T16)*'Tariff Jul 2021'!U16/100),IF(AND('Tariff Jul 2021'!R16&gt;0,'Tariff Jul 2021'!T16=""),IF(($F$5&lt;'Tariff Jul 2021'!R16),(0),($F$5-'Tariff Jul 2021'!R16)*'Tariff Jul 2021'!S16/100),IF(AND('Tariff Jul 2021'!P16&gt;0,'Tariff Jul 2021'!R16=""),IF(($F$5&lt;'Tariff Jul 2021'!P16),(0),($F$5-'Tariff Jul 2021'!P16)*'Tariff Jul 2021'!Q16/100),0)))</f>
        <v>0</v>
      </c>
      <c r="J24" s="188">
        <f t="shared" si="7"/>
        <v>361.28322436363635</v>
      </c>
      <c r="K24" s="283">
        <f t="shared" si="10"/>
        <v>948.11198836363633</v>
      </c>
      <c r="L24" s="283">
        <f t="shared" si="8"/>
        <v>1445.1328974545454</v>
      </c>
      <c r="M24" s="191">
        <f t="shared" si="9"/>
        <v>1589.6461872</v>
      </c>
      <c r="N24" s="187">
        <f>'Tariff Jul 2021'!AZ16</f>
        <v>0</v>
      </c>
      <c r="O24" s="187">
        <f>'Tariff Jul 2021'!BA16</f>
        <v>0</v>
      </c>
      <c r="P24" s="187">
        <f>'Tariff Jul 2021'!BB16</f>
        <v>0</v>
      </c>
      <c r="Q24" s="187">
        <f>'Tariff Jul 2021'!BC16</f>
        <v>0</v>
      </c>
      <c r="R24" s="192">
        <f>($F$6*'Tariff Jul 2021'!AT16/100)*4</f>
        <v>255.55456000000001</v>
      </c>
      <c r="S24" s="193" t="str">
        <f t="shared" si="0"/>
        <v>No discount</v>
      </c>
      <c r="T24" s="193" t="str">
        <f t="shared" si="1"/>
        <v>Exclusive</v>
      </c>
      <c r="U24" s="304">
        <f t="shared" si="2"/>
        <v>1445.1328974545454</v>
      </c>
      <c r="V24" s="283">
        <f t="shared" si="3"/>
        <v>1445.1328974545454</v>
      </c>
      <c r="W24" s="283">
        <f t="shared" si="4"/>
        <v>1189.5783374545454</v>
      </c>
      <c r="X24" s="283">
        <f t="shared" si="5"/>
        <v>1189.5783374545454</v>
      </c>
      <c r="Y24" s="285">
        <f t="shared" si="6"/>
        <v>1308.5361711999999</v>
      </c>
      <c r="Z24" s="285">
        <f t="shared" si="6"/>
        <v>1308.5361711999999</v>
      </c>
      <c r="AA24" s="194">
        <f>'Tariff Jul 2021'!AT16</f>
        <v>8</v>
      </c>
      <c r="AB24" s="195">
        <f>'Tariff Jul 2021'!BL16</f>
        <v>0</v>
      </c>
      <c r="AC24" s="195" t="str">
        <f>'Tariff Jul 2021'!BM16</f>
        <v>n</v>
      </c>
      <c r="AD24" s="196">
        <f>'Tariff Jul 2021'!G16</f>
        <v>42917</v>
      </c>
      <c r="AE24" s="327"/>
      <c r="AF24" s="327"/>
      <c r="AG24" s="327"/>
      <c r="AH24" s="327"/>
      <c r="AI24" s="327"/>
      <c r="AJ24" s="327"/>
      <c r="AK24" s="327"/>
      <c r="AL24" s="327"/>
      <c r="AM24" s="327"/>
      <c r="AN24" s="327"/>
      <c r="AO24" s="327"/>
      <c r="AP24" s="327"/>
      <c r="AQ24" s="327"/>
      <c r="AR24" s="327"/>
      <c r="AS24" s="327"/>
      <c r="AT24" s="327"/>
      <c r="AU24" s="327"/>
      <c r="AV24" s="327"/>
    </row>
    <row r="25" spans="1:48" s="187" customFormat="1" x14ac:dyDescent="0.15">
      <c r="A25" s="186" t="str">
        <f>'Tariff Jul 2021'!K17</f>
        <v>Discover Energy</v>
      </c>
      <c r="B25" s="187" t="str">
        <f>'Tariff Jul 2021'!L17</f>
        <v>Solar Smart</v>
      </c>
      <c r="C25" s="188">
        <f>IF('Tariff Jul 2021'!BP17=0,91*'Tariff Jul 2021'!M17/100,(91*'Tariff Jul 2021'!M17/100)+'Tariff Jul 2021'!BP17/4)</f>
        <v>56.246272727272718</v>
      </c>
      <c r="D25" s="188">
        <f>IF('Tariff Jul 2021'!O17="",$F$5*'Tariff Jul 2021'!N17/100,IF($F$5&gt;='Tariff Jul 2021'!P17,('Tariff Jul 2021'!P17*'Tariff Jul 2021'!N17/100),($F$5*'Tariff Jul 2021'!N17/100)))</f>
        <v>277.19535709090906</v>
      </c>
      <c r="E25" s="188">
        <f>IF(AND('Tariff Jul 2021'!P17&gt;0,'Tariff Jul 2021'!R17&gt;0),IF($F$5&lt;'Tariff Jul 2021'!P17,0,IF($F$5&lt;=('Tariff Jul 2021'!R17+'Tariff Jul 2021'!P17),(($F$5-'Tariff Jul 2021'!P17)*'Tariff Jul 2021'!Q17/100),(('Tariff Jul 2021'!R17)*'Tariff Jul 2021'!Q17/100))),0)</f>
        <v>0</v>
      </c>
      <c r="F25" s="189">
        <f>IF(AND('Tariff Jul 2021'!Q17&gt;0,'Tariff Jul 2021'!S17&gt;0),IF($F$5&lt;('Tariff Jul 2021'!R17+'Tariff Jul 2021'!P17),0,IF($F$5&lt;=('Tariff Jul 2021'!T17+'Tariff Jul 2021'!R17+'Tariff Jul 2021'!P17),(($F$5-('Tariff Jul 2021'!R17+'Tariff Jul 2021'!P17))*'Tariff Jul 2021'!S17/100),('Tariff Jul 2021'!T17*'Tariff Jul 2021'!S17/100))),0)</f>
        <v>0</v>
      </c>
      <c r="G25" s="188">
        <v>0</v>
      </c>
      <c r="H25" s="188">
        <v>0</v>
      </c>
      <c r="I25" s="189">
        <f>IF('Tariff Jul 2021'!T17&gt;0,IF(($F$5&lt;'Tariff Jul 2021'!T17),(0),($F$5-'Tariff Jul 2021'!T17)*'Tariff Jul 2021'!U17/100),IF(AND('Tariff Jul 2021'!R17&gt;0,'Tariff Jul 2021'!T17=""),IF(($F$5&lt;'Tariff Jul 2021'!R17),(0),($F$5-'Tariff Jul 2021'!R17)*'Tariff Jul 2021'!S17/100),IF(AND('Tariff Jul 2021'!P17&gt;0,'Tariff Jul 2021'!R17=""),IF(($F$5&lt;'Tariff Jul 2021'!P17),(0),($F$5-'Tariff Jul 2021'!P17)*'Tariff Jul 2021'!Q17/100),0)))</f>
        <v>0</v>
      </c>
      <c r="J25" s="188">
        <f t="shared" si="7"/>
        <v>333.44162981818175</v>
      </c>
      <c r="K25" s="283">
        <f t="shared" si="10"/>
        <v>1108.7814283636362</v>
      </c>
      <c r="L25" s="283">
        <f t="shared" si="8"/>
        <v>1333.766519272727</v>
      </c>
      <c r="M25" s="191">
        <f t="shared" si="9"/>
        <v>1467.1431711999999</v>
      </c>
      <c r="N25" s="187">
        <f>'Tariff Jul 2021'!AZ17</f>
        <v>0</v>
      </c>
      <c r="O25" s="187">
        <f>'Tariff Jul 2021'!BA17</f>
        <v>24</v>
      </c>
      <c r="P25" s="187">
        <f>'Tariff Jul 2021'!BB17</f>
        <v>0</v>
      </c>
      <c r="Q25" s="187">
        <f>'Tariff Jul 2021'!BC17</f>
        <v>0</v>
      </c>
      <c r="R25" s="192">
        <f>($F$6*'Tariff Jul 2021'!AT17/100)*4</f>
        <v>511.10912000000002</v>
      </c>
      <c r="S25" s="193" t="str">
        <f t="shared" si="0"/>
        <v>Guaranteed off usage</v>
      </c>
      <c r="T25" s="193" t="str">
        <f t="shared" si="1"/>
        <v>Exclusive</v>
      </c>
      <c r="U25" s="304">
        <f t="shared" si="2"/>
        <v>1067.6589764654543</v>
      </c>
      <c r="V25" s="283">
        <f t="shared" si="3"/>
        <v>1067.6589764654543</v>
      </c>
      <c r="W25" s="283">
        <f t="shared" si="4"/>
        <v>556.54985646545424</v>
      </c>
      <c r="X25" s="283">
        <f t="shared" si="5"/>
        <v>556.54985646545424</v>
      </c>
      <c r="Y25" s="285">
        <f t="shared" si="6"/>
        <v>612.20484211199971</v>
      </c>
      <c r="Z25" s="285">
        <f t="shared" si="6"/>
        <v>612.20484211199971</v>
      </c>
      <c r="AA25" s="194">
        <f>'Tariff Jul 2021'!AT17</f>
        <v>16</v>
      </c>
      <c r="AB25" s="195">
        <f>'Tariff Jul 2021'!BL17</f>
        <v>0</v>
      </c>
      <c r="AC25" s="195" t="str">
        <f>'Tariff Jul 2021'!BM17</f>
        <v>n</v>
      </c>
      <c r="AD25" s="196">
        <f>'Tariff Jul 2021'!G17</f>
        <v>42916</v>
      </c>
      <c r="AE25" s="327"/>
      <c r="AF25" s="327"/>
      <c r="AG25" s="327"/>
      <c r="AH25" s="327"/>
      <c r="AI25" s="327"/>
      <c r="AJ25" s="327"/>
      <c r="AK25" s="327"/>
      <c r="AL25" s="327"/>
      <c r="AM25" s="327"/>
      <c r="AN25" s="327"/>
      <c r="AO25" s="327"/>
      <c r="AP25" s="327"/>
      <c r="AQ25" s="327"/>
      <c r="AR25" s="327"/>
      <c r="AS25" s="327"/>
      <c r="AT25" s="327"/>
      <c r="AU25" s="327"/>
      <c r="AV25" s="327"/>
    </row>
    <row r="26" spans="1:48" s="187" customFormat="1" x14ac:dyDescent="0.15">
      <c r="A26" s="186" t="str">
        <f>'Tariff Jul 2021'!K18</f>
        <v>Future X Power</v>
      </c>
      <c r="B26" s="187" t="str">
        <f>'Tariff Jul 2021'!L18</f>
        <v>Flexi Saver</v>
      </c>
      <c r="C26" s="188">
        <f>IF('Tariff Jul 2021'!BP18=0,91*'Tariff Jul 2021'!M18/100,(91*'Tariff Jul 2021'!M18/100)+'Tariff Jul 2021'!BP18/4)</f>
        <v>78.077999999999989</v>
      </c>
      <c r="D26" s="188">
        <f>IF('Tariff Jul 2021'!O18="",$F$5*'Tariff Jul 2021'!N18/100,IF($F$5&gt;='Tariff Jul 2021'!P18,('Tariff Jul 2021'!P18*'Tariff Jul 2021'!N18/100),($F$5*'Tariff Jul 2021'!N18/100)))</f>
        <v>252.20233309090909</v>
      </c>
      <c r="E26" s="188">
        <f>IF(AND('Tariff Jul 2021'!P18&gt;0,'Tariff Jul 2021'!R18&gt;0),IF($F$5&lt;'Tariff Jul 2021'!P18,0,IF($F$5&lt;=('Tariff Jul 2021'!R18+'Tariff Jul 2021'!P18),(($F$5-'Tariff Jul 2021'!P18)*'Tariff Jul 2021'!Q18/100),(('Tariff Jul 2021'!R18)*'Tariff Jul 2021'!Q18/100))),0)</f>
        <v>0</v>
      </c>
      <c r="F26" s="189">
        <f>IF(AND('Tariff Jul 2021'!Q18&gt;0,'Tariff Jul 2021'!S18&gt;0),IF($F$5&lt;('Tariff Jul 2021'!R18+'Tariff Jul 2021'!P18),0,IF($F$5&lt;=('Tariff Jul 2021'!T18+'Tariff Jul 2021'!R18+'Tariff Jul 2021'!P18),(($F$5-('Tariff Jul 2021'!R18+'Tariff Jul 2021'!P18))*'Tariff Jul 2021'!S18/100),('Tariff Jul 2021'!T18*'Tariff Jul 2021'!S18/100))),0)</f>
        <v>0</v>
      </c>
      <c r="G26" s="188">
        <v>0</v>
      </c>
      <c r="H26" s="188">
        <v>0</v>
      </c>
      <c r="I26" s="189">
        <f>IF('Tariff Jul 2021'!T18&gt;0,IF(($F$5&lt;'Tariff Jul 2021'!T18),(0),($F$5-'Tariff Jul 2021'!T18)*'Tariff Jul 2021'!U18/100),IF(AND('Tariff Jul 2021'!R18&gt;0,'Tariff Jul 2021'!T18=""),IF(($F$5&lt;'Tariff Jul 2021'!R18),(0),($F$5-'Tariff Jul 2021'!R18)*'Tariff Jul 2021'!S18/100),IF(AND('Tariff Jul 2021'!P18&gt;0,'Tariff Jul 2021'!R18=""),IF(($F$5&lt;'Tariff Jul 2021'!P18),(0),($F$5-'Tariff Jul 2021'!P18)*'Tariff Jul 2021'!Q18/100),0)))</f>
        <v>0</v>
      </c>
      <c r="J26" s="188">
        <f t="shared" si="7"/>
        <v>330.2803330909091</v>
      </c>
      <c r="K26" s="283">
        <f t="shared" si="10"/>
        <v>1008.8093323636365</v>
      </c>
      <c r="L26" s="283">
        <f t="shared" si="8"/>
        <v>1321.1213323636364</v>
      </c>
      <c r="M26" s="191">
        <f t="shared" si="9"/>
        <v>1453.2334656</v>
      </c>
      <c r="N26" s="187">
        <f>'Tariff Jul 2021'!AZ18</f>
        <v>0</v>
      </c>
      <c r="O26" s="187">
        <f>'Tariff Jul 2021'!BA18</f>
        <v>0</v>
      </c>
      <c r="P26" s="187">
        <f>'Tariff Jul 2021'!BB18</f>
        <v>0</v>
      </c>
      <c r="Q26" s="187">
        <f>'Tariff Jul 2021'!BC18</f>
        <v>0</v>
      </c>
      <c r="R26" s="192">
        <f>($F$6*'Tariff Jul 2021'!AT18/100)*4</f>
        <v>127.77728</v>
      </c>
      <c r="S26" s="193" t="str">
        <f t="shared" si="0"/>
        <v>No discount</v>
      </c>
      <c r="T26" s="193" t="str">
        <f t="shared" si="1"/>
        <v>Exclusive</v>
      </c>
      <c r="U26" s="304">
        <f t="shared" si="2"/>
        <v>1321.1213323636364</v>
      </c>
      <c r="V26" s="283">
        <f t="shared" si="3"/>
        <v>1321.1213323636364</v>
      </c>
      <c r="W26" s="283">
        <f t="shared" si="4"/>
        <v>1193.3440523636364</v>
      </c>
      <c r="X26" s="283">
        <f t="shared" si="5"/>
        <v>1193.3440523636364</v>
      </c>
      <c r="Y26" s="285">
        <f t="shared" ref="Y26:Z33" si="11">W26*1.1</f>
        <v>1312.6784576</v>
      </c>
      <c r="Z26" s="285">
        <f t="shared" si="11"/>
        <v>1312.6784576</v>
      </c>
      <c r="AA26" s="194">
        <f>'Tariff Jul 2021'!AT18</f>
        <v>4</v>
      </c>
      <c r="AB26" s="195">
        <f>'Tariff Jul 2021'!BL18</f>
        <v>0</v>
      </c>
      <c r="AC26" s="195" t="str">
        <f>'Tariff Jul 2021'!BM18</f>
        <v>n</v>
      </c>
      <c r="AD26" s="196">
        <f>'Tariff Jul 2021'!G18</f>
        <v>42587</v>
      </c>
      <c r="AE26" s="327"/>
      <c r="AF26" s="327"/>
      <c r="AG26" s="327"/>
      <c r="AH26" s="327"/>
      <c r="AI26" s="327"/>
      <c r="AJ26" s="327"/>
      <c r="AK26" s="327"/>
      <c r="AL26" s="327"/>
      <c r="AM26" s="327"/>
      <c r="AN26" s="327"/>
      <c r="AO26" s="327"/>
      <c r="AP26" s="327"/>
      <c r="AQ26" s="327"/>
      <c r="AR26" s="327"/>
      <c r="AS26" s="327"/>
      <c r="AT26" s="327"/>
      <c r="AU26" s="327"/>
      <c r="AV26" s="327"/>
    </row>
    <row r="27" spans="1:48" s="187" customFormat="1" x14ac:dyDescent="0.15">
      <c r="A27" s="186" t="str">
        <f>'Tariff Jul 2021'!K19</f>
        <v>GloBird Energy</v>
      </c>
      <c r="B27" s="187" t="str">
        <f>'Tariff Jul 2021'!L19</f>
        <v>SureSave</v>
      </c>
      <c r="C27" s="188">
        <f>IF('Tariff Jul 2021'!BP19=0,91*'Tariff Jul 2021'!M19/100,(91*'Tariff Jul 2021'!M19/100)+'Tariff Jul 2021'!BP19/4)</f>
        <v>99.19</v>
      </c>
      <c r="D27" s="188">
        <f>IF('Tariff Jul 2021'!O19="",$F$5*'Tariff Jul 2021'!N19/100,IF($F$5&gt;='Tariff Jul 2021'!P19,('Tariff Jul 2021'!P19*'Tariff Jul 2021'!N19/100),($F$5*'Tariff Jul 2021'!N19/100)))</f>
        <v>258.85631999999998</v>
      </c>
      <c r="E27" s="188">
        <f>IF(AND('Tariff Jul 2021'!P19&gt;0,'Tariff Jul 2021'!R19&gt;0),IF($F$5&lt;'Tariff Jul 2021'!P19,0,IF($F$5&lt;=('Tariff Jul 2021'!R19+'Tariff Jul 2021'!P19),(($F$5-'Tariff Jul 2021'!P19)*'Tariff Jul 2021'!Q19/100),(('Tariff Jul 2021'!R19)*'Tariff Jul 2021'!Q19/100))),0)</f>
        <v>0</v>
      </c>
      <c r="F27" s="189">
        <f>IF(AND('Tariff Jul 2021'!Q19&gt;0,'Tariff Jul 2021'!S19&gt;0),IF($F$5&lt;('Tariff Jul 2021'!R19+'Tariff Jul 2021'!P19),0,IF($F$5&lt;=('Tariff Jul 2021'!T19+'Tariff Jul 2021'!R19+'Tariff Jul 2021'!P19),(($F$5-('Tariff Jul 2021'!R19+'Tariff Jul 2021'!P19))*'Tariff Jul 2021'!S19/100),('Tariff Jul 2021'!T19*'Tariff Jul 2021'!S19/100))),0)</f>
        <v>0</v>
      </c>
      <c r="G27" s="188">
        <v>0</v>
      </c>
      <c r="H27" s="188">
        <v>0</v>
      </c>
      <c r="I27" s="189">
        <f>IF('Tariff Jul 2021'!T19&gt;0,IF(($F$5&lt;'Tariff Jul 2021'!T19),(0),($F$5-'Tariff Jul 2021'!T19)*'Tariff Jul 2021'!U19/100),IF(AND('Tariff Jul 2021'!R19&gt;0,'Tariff Jul 2021'!T19=""),IF(($F$5&lt;'Tariff Jul 2021'!R19),(0),($F$5-'Tariff Jul 2021'!R19)*'Tariff Jul 2021'!S19/100),IF(AND('Tariff Jul 2021'!P19&gt;0,'Tariff Jul 2021'!R19=""),IF(($F$5&lt;'Tariff Jul 2021'!P19),(0),($F$5-'Tariff Jul 2021'!P19)*'Tariff Jul 2021'!Q19/100),0)))</f>
        <v>0</v>
      </c>
      <c r="J27" s="188">
        <f t="shared" si="7"/>
        <v>358.04631999999998</v>
      </c>
      <c r="K27" s="283">
        <f t="shared" si="10"/>
        <v>1035.4252799999999</v>
      </c>
      <c r="L27" s="283">
        <f t="shared" si="8"/>
        <v>1432.1852799999999</v>
      </c>
      <c r="M27" s="191">
        <f t="shared" si="9"/>
        <v>1575.403808</v>
      </c>
      <c r="N27" s="187">
        <f>'Tariff Jul 2021'!AZ19</f>
        <v>0</v>
      </c>
      <c r="O27" s="187">
        <f>'Tariff Jul 2021'!BA19</f>
        <v>0</v>
      </c>
      <c r="P27" s="187">
        <f>'Tariff Jul 2021'!BB19</f>
        <v>0</v>
      </c>
      <c r="Q27" s="187">
        <f>'Tariff Jul 2021'!BC19</f>
        <v>0</v>
      </c>
      <c r="R27" s="192">
        <f>($F$6*'Tariff Jul 2021'!AT19/100)*4</f>
        <v>95.83296</v>
      </c>
      <c r="S27" s="193" t="str">
        <f t="shared" si="0"/>
        <v>No discount</v>
      </c>
      <c r="T27" s="193" t="str">
        <f t="shared" si="1"/>
        <v>Exclusive</v>
      </c>
      <c r="U27" s="304">
        <f t="shared" si="2"/>
        <v>1432.1852799999999</v>
      </c>
      <c r="V27" s="283">
        <f t="shared" si="3"/>
        <v>1432.1852799999999</v>
      </c>
      <c r="W27" s="283">
        <f t="shared" si="4"/>
        <v>1336.35232</v>
      </c>
      <c r="X27" s="283">
        <f t="shared" si="5"/>
        <v>1336.35232</v>
      </c>
      <c r="Y27" s="285">
        <f t="shared" si="11"/>
        <v>1469.9875520000001</v>
      </c>
      <c r="Z27" s="285">
        <f t="shared" si="11"/>
        <v>1469.9875520000001</v>
      </c>
      <c r="AA27" s="194">
        <f>'Tariff Jul 2021'!AT19</f>
        <v>3</v>
      </c>
      <c r="AB27" s="195">
        <f>'Tariff Jul 2021'!BL19</f>
        <v>0</v>
      </c>
      <c r="AC27" s="195" t="str">
        <f>'Tariff Jul 2021'!BM19</f>
        <v>n</v>
      </c>
      <c r="AD27" s="196">
        <f>'Tariff Jul 2021'!G19</f>
        <v>42916</v>
      </c>
      <c r="AE27" s="327"/>
      <c r="AF27" s="327"/>
      <c r="AG27" s="327"/>
      <c r="AH27" s="327"/>
      <c r="AI27" s="327"/>
      <c r="AJ27" s="327"/>
      <c r="AK27" s="327"/>
      <c r="AL27" s="327"/>
      <c r="AM27" s="327"/>
      <c r="AN27" s="327"/>
      <c r="AO27" s="327"/>
      <c r="AP27" s="327"/>
      <c r="AQ27" s="327"/>
      <c r="AR27" s="327"/>
      <c r="AS27" s="327"/>
      <c r="AT27" s="327"/>
      <c r="AU27" s="327"/>
      <c r="AV27" s="327"/>
    </row>
    <row r="28" spans="1:48" s="187" customFormat="1" x14ac:dyDescent="0.15">
      <c r="A28" s="186" t="str">
        <f>'Tariff Jul 2021'!K20</f>
        <v>Kogan Energy</v>
      </c>
      <c r="B28" s="187" t="str">
        <f>'Tariff Jul 2021'!L20</f>
        <v>Market offer</v>
      </c>
      <c r="C28" s="188">
        <f>IF('Tariff Jul 2021'!BP20=0,91*'Tariff Jul 2021'!M20/100,(91*'Tariff Jul 2021'!M20/100)+'Tariff Jul 2021'!BP20/4)</f>
        <v>96.766090909090906</v>
      </c>
      <c r="D28" s="188">
        <f>IF('Tariff Jul 2021'!O20="",$F$5*'Tariff Jul 2021'!N20/100,IF($F$5&gt;='Tariff Jul 2021'!P20,('Tariff Jul 2021'!P20*'Tariff Jul 2021'!N20/100),($F$5*'Tariff Jul 2021'!N20/100)))</f>
        <v>203.83920872727273</v>
      </c>
      <c r="E28" s="188">
        <f>IF(AND('Tariff Jul 2021'!P20&gt;0,'Tariff Jul 2021'!R20&gt;0),IF($F$5&lt;'Tariff Jul 2021'!P20,0,IF($F$5&lt;=('Tariff Jul 2021'!R20+'Tariff Jul 2021'!P20),(($F$5-'Tariff Jul 2021'!P20)*'Tariff Jul 2021'!Q20/100),(('Tariff Jul 2021'!R20)*'Tariff Jul 2021'!Q20/100))),0)</f>
        <v>0</v>
      </c>
      <c r="F28" s="189">
        <f>IF(AND('Tariff Jul 2021'!Q20&gt;0,'Tariff Jul 2021'!S20&gt;0),IF($F$5&lt;('Tariff Jul 2021'!R20+'Tariff Jul 2021'!P20),0,IF($F$5&lt;=('Tariff Jul 2021'!T20+'Tariff Jul 2021'!R20+'Tariff Jul 2021'!P20),(($F$5-('Tariff Jul 2021'!R20+'Tariff Jul 2021'!P20))*'Tariff Jul 2021'!S20/100),('Tariff Jul 2021'!T20*'Tariff Jul 2021'!S20/100))),0)</f>
        <v>0</v>
      </c>
      <c r="G28" s="188">
        <v>0</v>
      </c>
      <c r="H28" s="188">
        <v>0</v>
      </c>
      <c r="I28" s="189">
        <f>IF('Tariff Jul 2021'!T20&gt;0,IF(($F$5&lt;'Tariff Jul 2021'!T20),(0),($F$5-'Tariff Jul 2021'!T20)*'Tariff Jul 2021'!U20/100),IF(AND('Tariff Jul 2021'!R20&gt;0,'Tariff Jul 2021'!T20=""),IF(($F$5&lt;'Tariff Jul 2021'!R20),(0),($F$5-'Tariff Jul 2021'!R20)*'Tariff Jul 2021'!S20/100),IF(AND('Tariff Jul 2021'!P20&gt;0,'Tariff Jul 2021'!R20=""),IF(($F$5&lt;'Tariff Jul 2021'!P20),(0),($F$5-'Tariff Jul 2021'!P20)*'Tariff Jul 2021'!Q20/100),0)))</f>
        <v>0</v>
      </c>
      <c r="J28" s="188">
        <f t="shared" si="7"/>
        <v>300.60529963636361</v>
      </c>
      <c r="K28" s="283">
        <f t="shared" si="10"/>
        <v>815.35683490909082</v>
      </c>
      <c r="L28" s="283">
        <f t="shared" si="8"/>
        <v>1202.4211985454544</v>
      </c>
      <c r="M28" s="191">
        <f t="shared" si="9"/>
        <v>1322.6633184</v>
      </c>
      <c r="N28" s="187">
        <f>'Tariff Jul 2021'!AZ20</f>
        <v>0</v>
      </c>
      <c r="O28" s="187">
        <f>'Tariff Jul 2021'!BA20</f>
        <v>0</v>
      </c>
      <c r="P28" s="187">
        <f>'Tariff Jul 2021'!BB20</f>
        <v>0</v>
      </c>
      <c r="Q28" s="187">
        <f>'Tariff Jul 2021'!BC20</f>
        <v>0</v>
      </c>
      <c r="R28" s="192">
        <f>($F$6*'Tariff Jul 2021'!AT20/100)*4</f>
        <v>65.805299200000007</v>
      </c>
      <c r="S28" s="193" t="str">
        <f t="shared" si="0"/>
        <v>No discount</v>
      </c>
      <c r="T28" s="193" t="str">
        <f t="shared" si="1"/>
        <v>Exclusive</v>
      </c>
      <c r="U28" s="304">
        <f t="shared" si="2"/>
        <v>1202.4211985454544</v>
      </c>
      <c r="V28" s="283">
        <f t="shared" si="3"/>
        <v>1202.4211985454544</v>
      </c>
      <c r="W28" s="283">
        <f t="shared" si="4"/>
        <v>1136.6158993454544</v>
      </c>
      <c r="X28" s="283">
        <f t="shared" si="5"/>
        <v>1136.6158993454544</v>
      </c>
      <c r="Y28" s="285">
        <f t="shared" si="11"/>
        <v>1250.2774892800001</v>
      </c>
      <c r="Z28" s="285">
        <f t="shared" si="11"/>
        <v>1250.2774892800001</v>
      </c>
      <c r="AA28" s="194">
        <f>'Tariff Jul 2021'!AT20</f>
        <v>2.06</v>
      </c>
      <c r="AB28" s="195">
        <f>'Tariff Jul 2021'!BL20</f>
        <v>0</v>
      </c>
      <c r="AC28" s="195" t="str">
        <f>'Tariff Jul 2021'!BM20</f>
        <v>n</v>
      </c>
      <c r="AD28" s="196">
        <f>'Tariff Jul 2021'!G20</f>
        <v>42900</v>
      </c>
      <c r="AE28" s="327"/>
      <c r="AF28" s="327"/>
      <c r="AG28" s="327"/>
      <c r="AH28" s="327"/>
      <c r="AI28" s="327"/>
      <c r="AJ28" s="327"/>
      <c r="AK28" s="327"/>
      <c r="AL28" s="327"/>
      <c r="AM28" s="327"/>
      <c r="AN28" s="327"/>
      <c r="AO28" s="327"/>
      <c r="AP28" s="327"/>
      <c r="AQ28" s="327"/>
      <c r="AR28" s="327"/>
      <c r="AS28" s="327"/>
      <c r="AT28" s="327"/>
      <c r="AU28" s="327"/>
      <c r="AV28" s="327"/>
    </row>
    <row r="29" spans="1:48" s="187" customFormat="1" x14ac:dyDescent="0.15">
      <c r="A29" s="186" t="str">
        <f>'Tariff Jul 2021'!K21</f>
        <v>OVO Energy</v>
      </c>
      <c r="B29" s="187" t="str">
        <f>'Tariff Jul 2021'!L21</f>
        <v>The One Plan</v>
      </c>
      <c r="C29" s="188">
        <f>IF('Tariff Jul 2021'!BP21=0,91*'Tariff Jul 2021'!M21/100,(91*'Tariff Jul 2021'!M21/100)+'Tariff Jul 2021'!BP21/4)</f>
        <v>70.069999999999993</v>
      </c>
      <c r="D29" s="188">
        <f>IF('Tariff Jul 2021'!O21="",$F$5*'Tariff Jul 2021'!N21/100,IF($F$5&gt;='Tariff Jul 2021'!P21,('Tariff Jul 2021'!P21*'Tariff Jul 2021'!N21/100),($F$5*'Tariff Jul 2021'!N21/100)))</f>
        <v>223.15199999999996</v>
      </c>
      <c r="E29" s="188">
        <f>IF(AND('Tariff Jul 2021'!P21&gt;0,'Tariff Jul 2021'!R21&gt;0),IF($F$5&lt;'Tariff Jul 2021'!P21,0,IF($F$5&lt;=('Tariff Jul 2021'!R21+'Tariff Jul 2021'!P21),(($F$5-'Tariff Jul 2021'!P21)*'Tariff Jul 2021'!Q21/100),(('Tariff Jul 2021'!R21)*'Tariff Jul 2021'!Q21/100))),0)</f>
        <v>0</v>
      </c>
      <c r="F29" s="189">
        <f>IF(AND('Tariff Jul 2021'!Q21&gt;0,'Tariff Jul 2021'!S21&gt;0),IF($F$5&lt;('Tariff Jul 2021'!R21+'Tariff Jul 2021'!P21),0,IF($F$5&lt;=('Tariff Jul 2021'!T21+'Tariff Jul 2021'!R21+'Tariff Jul 2021'!P21),(($F$5-('Tariff Jul 2021'!R21+'Tariff Jul 2021'!P21))*'Tariff Jul 2021'!S21/100),('Tariff Jul 2021'!T21*'Tariff Jul 2021'!S21/100))),0)</f>
        <v>0</v>
      </c>
      <c r="G29" s="188">
        <v>0</v>
      </c>
      <c r="H29" s="188">
        <v>0</v>
      </c>
      <c r="I29" s="189">
        <f>IF('Tariff Jul 2021'!T21&gt;0,IF(($F$5&lt;'Tariff Jul 2021'!T21),(0),($F$5-'Tariff Jul 2021'!T21)*'Tariff Jul 2021'!U21/100),IF(AND('Tariff Jul 2021'!R21&gt;0,'Tariff Jul 2021'!T21=""),IF(($F$5&lt;'Tariff Jul 2021'!R21),(0),($F$5-'Tariff Jul 2021'!R21)*'Tariff Jul 2021'!S21/100),IF(AND('Tariff Jul 2021'!P21&gt;0,'Tariff Jul 2021'!R21=""),IF(($F$5&lt;'Tariff Jul 2021'!P21),(0),($F$5-'Tariff Jul 2021'!P21)*'Tariff Jul 2021'!Q21/100),0)))</f>
        <v>0</v>
      </c>
      <c r="J29" s="188">
        <f t="shared" si="7"/>
        <v>293.22199999999998</v>
      </c>
      <c r="K29" s="283">
        <f t="shared" si="10"/>
        <v>892.60799999999995</v>
      </c>
      <c r="L29" s="283">
        <f t="shared" si="8"/>
        <v>1172.8879999999999</v>
      </c>
      <c r="M29" s="191">
        <f t="shared" si="9"/>
        <v>1290.1768</v>
      </c>
      <c r="N29" s="187">
        <f>'Tariff Jul 2021'!AZ21</f>
        <v>0</v>
      </c>
      <c r="O29" s="187">
        <f>'Tariff Jul 2021'!BA21</f>
        <v>0</v>
      </c>
      <c r="P29" s="187">
        <f>'Tariff Jul 2021'!BB21</f>
        <v>0</v>
      </c>
      <c r="Q29" s="187">
        <f>'Tariff Jul 2021'!BC21</f>
        <v>0</v>
      </c>
      <c r="R29" s="192">
        <f>($F$6*'Tariff Jul 2021'!AT21/100)*4</f>
        <v>255.55456000000001</v>
      </c>
      <c r="S29" s="193" t="str">
        <f t="shared" si="0"/>
        <v>No discount</v>
      </c>
      <c r="T29" s="193" t="str">
        <f t="shared" si="1"/>
        <v>Exclusive</v>
      </c>
      <c r="U29" s="304">
        <f t="shared" si="2"/>
        <v>1172.8879999999999</v>
      </c>
      <c r="V29" s="283">
        <f t="shared" si="3"/>
        <v>1172.8879999999999</v>
      </c>
      <c r="W29" s="283">
        <f t="shared" si="4"/>
        <v>917.33343999999988</v>
      </c>
      <c r="X29" s="283">
        <f t="shared" si="5"/>
        <v>917.33343999999988</v>
      </c>
      <c r="Y29" s="285">
        <f t="shared" si="11"/>
        <v>1009.066784</v>
      </c>
      <c r="Z29" s="285">
        <f t="shared" si="11"/>
        <v>1009.066784</v>
      </c>
      <c r="AA29" s="194">
        <f>'Tariff Jul 2021'!AT21</f>
        <v>8</v>
      </c>
      <c r="AB29" s="195">
        <f>'Tariff Jul 2021'!BL21</f>
        <v>0</v>
      </c>
      <c r="AC29" s="195" t="str">
        <f>'Tariff Jul 2021'!BM21</f>
        <v>n</v>
      </c>
      <c r="AD29" s="196">
        <f>'Tariff Jul 2021'!G21</f>
        <v>42916</v>
      </c>
      <c r="AE29" s="327"/>
      <c r="AF29" s="327"/>
      <c r="AG29" s="327"/>
      <c r="AH29" s="327"/>
      <c r="AI29" s="327"/>
      <c r="AJ29" s="327"/>
      <c r="AK29" s="327"/>
      <c r="AL29" s="327"/>
      <c r="AM29" s="327"/>
      <c r="AN29" s="327"/>
      <c r="AO29" s="327"/>
      <c r="AP29" s="327"/>
      <c r="AQ29" s="327"/>
      <c r="AR29" s="327"/>
      <c r="AS29" s="327"/>
      <c r="AT29" s="327"/>
      <c r="AU29" s="327"/>
      <c r="AV29" s="327"/>
    </row>
    <row r="30" spans="1:48" s="187" customFormat="1" x14ac:dyDescent="0.15">
      <c r="A30" s="186" t="str">
        <f>'Tariff Jul 2021'!K22</f>
        <v>ReAmped Energy</v>
      </c>
      <c r="B30" s="187" t="str">
        <f>'Tariff Jul 2021'!L22</f>
        <v>Solar</v>
      </c>
      <c r="C30" s="188">
        <f>IF('Tariff Jul 2021'!BP22=0,91*'Tariff Jul 2021'!M22/100,(91*'Tariff Jul 2021'!M22/100)+'Tariff Jul 2021'!BP22/4)</f>
        <v>72.030636363636347</v>
      </c>
      <c r="D30" s="188">
        <f>IF('Tariff Jul 2021'!O22="",$F$5*'Tariff Jul 2021'!N22/100,IF($F$5&gt;='Tariff Jul 2021'!P22,('Tariff Jul 2021'!P22*'Tariff Jul 2021'!N22/100),($F$5*'Tariff Jul 2021'!N22/100)))</f>
        <v>307.13829818181819</v>
      </c>
      <c r="E30" s="188">
        <f>IF(AND('Tariff Jul 2021'!P22&gt;0,'Tariff Jul 2021'!R22&gt;0),IF($F$5&lt;'Tariff Jul 2021'!P22,0,IF($F$5&lt;=('Tariff Jul 2021'!R22+'Tariff Jul 2021'!P22),(($F$5-'Tariff Jul 2021'!P22)*'Tariff Jul 2021'!Q22/100),(('Tariff Jul 2021'!R22)*'Tariff Jul 2021'!Q22/100))),0)</f>
        <v>0</v>
      </c>
      <c r="F30" s="189">
        <f>IF(AND('Tariff Jul 2021'!Q22&gt;0,'Tariff Jul 2021'!S22&gt;0),IF($F$5&lt;('Tariff Jul 2021'!R22+'Tariff Jul 2021'!P22),0,IF($F$5&lt;=('Tariff Jul 2021'!T22+'Tariff Jul 2021'!R22+'Tariff Jul 2021'!P22),(($F$5-('Tariff Jul 2021'!R22+'Tariff Jul 2021'!P22))*'Tariff Jul 2021'!S22/100),('Tariff Jul 2021'!T22*'Tariff Jul 2021'!S22/100))),0)</f>
        <v>0</v>
      </c>
      <c r="G30" s="188">
        <v>0</v>
      </c>
      <c r="H30" s="188">
        <v>0</v>
      </c>
      <c r="I30" s="189">
        <f>IF('Tariff Jul 2021'!T22&gt;0,IF(($F$5&lt;'Tariff Jul 2021'!T22),(0),($F$5-'Tariff Jul 2021'!T22)*'Tariff Jul 2021'!U22/100),IF(AND('Tariff Jul 2021'!R22&gt;0,'Tariff Jul 2021'!T22=""),IF(($F$5&lt;'Tariff Jul 2021'!R22),(0),($F$5-'Tariff Jul 2021'!R22)*'Tariff Jul 2021'!S22/100),IF(AND('Tariff Jul 2021'!P22&gt;0,'Tariff Jul 2021'!R22=""),IF(($F$5&lt;'Tariff Jul 2021'!P22),(0),($F$5-'Tariff Jul 2021'!P22)*'Tariff Jul 2021'!Q22/100),0)))</f>
        <v>0</v>
      </c>
      <c r="J30" s="188">
        <f t="shared" si="7"/>
        <v>379.16893454545453</v>
      </c>
      <c r="K30" s="283">
        <f t="shared" si="10"/>
        <v>1228.5531927272727</v>
      </c>
      <c r="L30" s="283">
        <f t="shared" si="8"/>
        <v>1516.6757381818181</v>
      </c>
      <c r="M30" s="191">
        <f t="shared" si="9"/>
        <v>1668.343312</v>
      </c>
      <c r="N30" s="187">
        <f>'Tariff Jul 2021'!AZ22</f>
        <v>0</v>
      </c>
      <c r="O30" s="187">
        <f>'Tariff Jul 2021'!BA22</f>
        <v>0</v>
      </c>
      <c r="P30" s="187">
        <f>'Tariff Jul 2021'!BB22</f>
        <v>0</v>
      </c>
      <c r="Q30" s="187">
        <f>'Tariff Jul 2021'!BC22</f>
        <v>0</v>
      </c>
      <c r="R30" s="192">
        <f>($F$6*'Tariff Jul 2021'!AT22/100)*4</f>
        <v>606.94208000000003</v>
      </c>
      <c r="S30" s="193" t="str">
        <f t="shared" si="0"/>
        <v>No discount</v>
      </c>
      <c r="T30" s="193" t="str">
        <f t="shared" si="1"/>
        <v>Exclusive</v>
      </c>
      <c r="U30" s="304">
        <f t="shared" si="2"/>
        <v>1516.6757381818181</v>
      </c>
      <c r="V30" s="283">
        <f t="shared" si="3"/>
        <v>1516.6757381818181</v>
      </c>
      <c r="W30" s="283">
        <f t="shared" si="4"/>
        <v>909.7336581818181</v>
      </c>
      <c r="X30" s="283">
        <f t="shared" si="5"/>
        <v>909.7336581818181</v>
      </c>
      <c r="Y30" s="285">
        <f t="shared" si="11"/>
        <v>1000.707024</v>
      </c>
      <c r="Z30" s="285">
        <f t="shared" si="11"/>
        <v>1000.707024</v>
      </c>
      <c r="AA30" s="194">
        <f>'Tariff Jul 2021'!AT22</f>
        <v>19</v>
      </c>
      <c r="AB30" s="195">
        <f>'Tariff Jul 2021'!BL22</f>
        <v>0</v>
      </c>
      <c r="AC30" s="195" t="str">
        <f>'Tariff Jul 2021'!BM22</f>
        <v>n</v>
      </c>
      <c r="AD30" s="196">
        <f>'Tariff Jul 2021'!G22</f>
        <v>42642</v>
      </c>
      <c r="AE30" s="327"/>
      <c r="AF30" s="327"/>
      <c r="AG30" s="327"/>
      <c r="AH30" s="327"/>
      <c r="AI30" s="327"/>
      <c r="AJ30" s="327"/>
      <c r="AK30" s="327"/>
      <c r="AL30" s="327"/>
      <c r="AM30" s="327"/>
      <c r="AN30" s="327"/>
      <c r="AO30" s="327"/>
      <c r="AP30" s="327"/>
      <c r="AQ30" s="327"/>
      <c r="AR30" s="327"/>
      <c r="AS30" s="327"/>
      <c r="AT30" s="327"/>
      <c r="AU30" s="327"/>
      <c r="AV30" s="327"/>
    </row>
    <row r="31" spans="1:48" s="187" customFormat="1" x14ac:dyDescent="0.15">
      <c r="A31" s="186" t="str">
        <f>'Tariff Jul 2021'!K23</f>
        <v>1st Energy</v>
      </c>
      <c r="B31" s="187" t="str">
        <f>'Tariff Jul 2021'!L23</f>
        <v>Solar Bonus</v>
      </c>
      <c r="C31" s="188">
        <f>IF('Tariff Jul 2021'!BP23=0,91*'Tariff Jul 2021'!M23/100,(91*'Tariff Jul 2021'!M23/100)+'Tariff Jul 2021'!BP23/4)</f>
        <v>73.668636363636352</v>
      </c>
      <c r="D31" s="188">
        <f>IF('Tariff Jul 2021'!O23="",$F$5*'Tariff Jul 2021'!N23/100,IF($F$5&gt;='Tariff Jul 2021'!P23,('Tariff Jul 2021'!P23*'Tariff Jul 2021'!N23/100),($F$5*'Tariff Jul 2021'!N23/100)))</f>
        <v>281.00922763636368</v>
      </c>
      <c r="E31" s="188">
        <f>IF(AND('Tariff Jul 2021'!P23&gt;0,'Tariff Jul 2021'!R23&gt;0),IF($F$5&lt;'Tariff Jul 2021'!P23,0,IF($F$5&lt;=('Tariff Jul 2021'!R23+'Tariff Jul 2021'!P23),(($F$5-'Tariff Jul 2021'!P23)*'Tariff Jul 2021'!Q23/100),(('Tariff Jul 2021'!R23)*'Tariff Jul 2021'!Q23/100))),0)</f>
        <v>0</v>
      </c>
      <c r="F31" s="189">
        <f>IF(AND('Tariff Jul 2021'!Q23&gt;0,'Tariff Jul 2021'!S23&gt;0),IF($F$5&lt;('Tariff Jul 2021'!R23+'Tariff Jul 2021'!P23),0,IF($F$5&lt;=('Tariff Jul 2021'!T23+'Tariff Jul 2021'!R23+'Tariff Jul 2021'!P23),(($F$5-('Tariff Jul 2021'!R23+'Tariff Jul 2021'!P23))*'Tariff Jul 2021'!S23/100),('Tariff Jul 2021'!T23*'Tariff Jul 2021'!S23/100))),0)</f>
        <v>0</v>
      </c>
      <c r="G31" s="188">
        <v>0</v>
      </c>
      <c r="H31" s="188">
        <v>0</v>
      </c>
      <c r="I31" s="189">
        <f>IF('Tariff Jul 2021'!T23&gt;0,IF(($F$5&lt;'Tariff Jul 2021'!T23),(0),($F$5-'Tariff Jul 2021'!T23)*'Tariff Jul 2021'!U23/100),IF(AND('Tariff Jul 2021'!R23&gt;0,'Tariff Jul 2021'!T23=""),IF(($F$5&lt;'Tariff Jul 2021'!R23),(0),($F$5-'Tariff Jul 2021'!R23)*'Tariff Jul 2021'!S23/100),IF(AND('Tariff Jul 2021'!P23&gt;0,'Tariff Jul 2021'!R23=""),IF(($F$5&lt;'Tariff Jul 2021'!P23),(0),($F$5-'Tariff Jul 2021'!P23)*'Tariff Jul 2021'!Q23/100),0)))</f>
        <v>0</v>
      </c>
      <c r="J31" s="188">
        <f t="shared" si="7"/>
        <v>354.677864</v>
      </c>
      <c r="K31" s="283">
        <f t="shared" si="10"/>
        <v>1124.0369105454547</v>
      </c>
      <c r="L31" s="283">
        <f t="shared" si="8"/>
        <v>1418.711456</v>
      </c>
      <c r="M31" s="191">
        <f t="shared" si="9"/>
        <v>1560.5826016000001</v>
      </c>
      <c r="N31" s="187">
        <f>'Tariff Jul 2021'!AZ23</f>
        <v>0</v>
      </c>
      <c r="O31" s="187">
        <f>'Tariff Jul 2021'!BA23</f>
        <v>0</v>
      </c>
      <c r="P31" s="187">
        <f>'Tariff Jul 2021'!BB23</f>
        <v>0</v>
      </c>
      <c r="Q31" s="187">
        <f>'Tariff Jul 2021'!BC23</f>
        <v>0</v>
      </c>
      <c r="R31" s="192">
        <f>($F$6*'Tariff Jul 2021'!AT23/100)*4</f>
        <v>415.27616</v>
      </c>
      <c r="S31" s="193" t="str">
        <f t="shared" si="0"/>
        <v>No discount</v>
      </c>
      <c r="T31" s="193" t="str">
        <f t="shared" si="1"/>
        <v>Exclusive</v>
      </c>
      <c r="U31" s="304">
        <f t="shared" si="2"/>
        <v>1418.711456</v>
      </c>
      <c r="V31" s="283">
        <f t="shared" si="3"/>
        <v>1418.711456</v>
      </c>
      <c r="W31" s="283">
        <f t="shared" si="4"/>
        <v>1003.435296</v>
      </c>
      <c r="X31" s="283">
        <f t="shared" si="5"/>
        <v>1003.435296</v>
      </c>
      <c r="Y31" s="285">
        <f t="shared" si="11"/>
        <v>1103.7788256000001</v>
      </c>
      <c r="Z31" s="285">
        <f t="shared" si="11"/>
        <v>1103.7788256000001</v>
      </c>
      <c r="AA31" s="194">
        <f>'Tariff Jul 2021'!AT23</f>
        <v>13</v>
      </c>
      <c r="AB31" s="195">
        <f>'Tariff Jul 2021'!BL23</f>
        <v>0</v>
      </c>
      <c r="AC31" s="195" t="str">
        <f>'Tariff Jul 2021'!BM23</f>
        <v>n</v>
      </c>
      <c r="AD31" s="196">
        <f>'Tariff Jul 2021'!G23</f>
        <v>42916</v>
      </c>
      <c r="AE31" s="327"/>
      <c r="AF31" s="327"/>
      <c r="AG31" s="327"/>
      <c r="AH31" s="327"/>
      <c r="AI31" s="327"/>
      <c r="AJ31" s="327"/>
      <c r="AK31" s="327"/>
      <c r="AL31" s="327"/>
      <c r="AM31" s="327"/>
      <c r="AN31" s="327"/>
      <c r="AO31" s="327"/>
      <c r="AP31" s="327"/>
      <c r="AQ31" s="327"/>
      <c r="AR31" s="327"/>
      <c r="AS31" s="327"/>
      <c r="AT31" s="327"/>
      <c r="AU31" s="327"/>
      <c r="AV31" s="327"/>
    </row>
    <row r="32" spans="1:48" s="187" customFormat="1" x14ac:dyDescent="0.15">
      <c r="A32" s="186" t="str">
        <f>'Tariff Jul 2021'!K24</f>
        <v>IO Energy</v>
      </c>
      <c r="B32" s="187" t="str">
        <f>'Tariff Jul 2021'!L24</f>
        <v>Spark</v>
      </c>
      <c r="C32" s="188">
        <f>IF('Tariff Jul 2021'!BP24=0,91*'Tariff Jul 2021'!M24/100,(91*'Tariff Jul 2021'!M24/100)+'Tariff Jul 2021'!BP24/4)</f>
        <v>90.999999999999986</v>
      </c>
      <c r="D32" s="188">
        <f>IF('Tariff Jul 2021'!O24="",$F$5*'Tariff Jul 2021'!N24/100,IF($F$5&gt;='Tariff Jul 2021'!P24,('Tariff Jul 2021'!P24*'Tariff Jul 2021'!N24/100),($F$5*'Tariff Jul 2021'!N24/100)))</f>
        <v>243.43854545454545</v>
      </c>
      <c r="E32" s="188">
        <f>IF(AND('Tariff Jul 2021'!P24&gt;0,'Tariff Jul 2021'!R24&gt;0),IF($F$5&lt;'Tariff Jul 2021'!P24,0,IF($F$5&lt;=('Tariff Jul 2021'!R24+'Tariff Jul 2021'!P24),(($F$5-'Tariff Jul 2021'!P24)*'Tariff Jul 2021'!Q24/100),(('Tariff Jul 2021'!R24)*'Tariff Jul 2021'!Q24/100))),0)</f>
        <v>0</v>
      </c>
      <c r="F32" s="189">
        <f>IF(AND('Tariff Jul 2021'!Q24&gt;0,'Tariff Jul 2021'!S24&gt;0),IF($F$5&lt;('Tariff Jul 2021'!R24+'Tariff Jul 2021'!P24),0,IF($F$5&lt;=('Tariff Jul 2021'!T24+'Tariff Jul 2021'!R24+'Tariff Jul 2021'!P24),(($F$5-('Tariff Jul 2021'!R24+'Tariff Jul 2021'!P24))*'Tariff Jul 2021'!S24/100),('Tariff Jul 2021'!T24*'Tariff Jul 2021'!S24/100))),0)</f>
        <v>0</v>
      </c>
      <c r="G32" s="188">
        <v>0</v>
      </c>
      <c r="H32" s="188">
        <v>0</v>
      </c>
      <c r="I32" s="189">
        <f>IF('Tariff Jul 2021'!T24&gt;0,IF(($F$5&lt;'Tariff Jul 2021'!T24),(0),($F$5-'Tariff Jul 2021'!T24)*'Tariff Jul 2021'!U24/100),IF(AND('Tariff Jul 2021'!R24&gt;0,'Tariff Jul 2021'!T24=""),IF(($F$5&lt;'Tariff Jul 2021'!R24),(0),($F$5-'Tariff Jul 2021'!R24)*'Tariff Jul 2021'!S24/100),IF(AND('Tariff Jul 2021'!P24&gt;0,'Tariff Jul 2021'!R24=""),IF(($F$5&lt;'Tariff Jul 2021'!P24),(0),($F$5-'Tariff Jul 2021'!P24)*'Tariff Jul 2021'!Q24/100),0)))</f>
        <v>0</v>
      </c>
      <c r="J32" s="188">
        <f t="shared" si="7"/>
        <v>334.43854545454542</v>
      </c>
      <c r="K32" s="283">
        <f t="shared" si="10"/>
        <v>973.75418181818168</v>
      </c>
      <c r="L32" s="283">
        <f t="shared" si="8"/>
        <v>1337.7541818181817</v>
      </c>
      <c r="M32" s="191">
        <f t="shared" si="9"/>
        <v>1471.5296000000001</v>
      </c>
      <c r="N32" s="187">
        <f>'Tariff Jul 2021'!AZ24</f>
        <v>0</v>
      </c>
      <c r="O32" s="187">
        <f>'Tariff Jul 2021'!BA24</f>
        <v>0</v>
      </c>
      <c r="P32" s="187">
        <f>'Tariff Jul 2021'!BB24</f>
        <v>0</v>
      </c>
      <c r="Q32" s="187">
        <f>'Tariff Jul 2021'!BC24</f>
        <v>0</v>
      </c>
      <c r="R32" s="192">
        <f>($F$6*'Tariff Jul 2021'!AT24/100)*4</f>
        <v>255.55456000000001</v>
      </c>
      <c r="S32" s="193" t="str">
        <f t="shared" si="0"/>
        <v>No discount</v>
      </c>
      <c r="T32" s="193" t="str">
        <f t="shared" si="1"/>
        <v>Exclusive</v>
      </c>
      <c r="U32" s="304">
        <f t="shared" si="2"/>
        <v>1337.7541818181817</v>
      </c>
      <c r="V32" s="283">
        <f t="shared" si="3"/>
        <v>1337.7541818181817</v>
      </c>
      <c r="W32" s="283">
        <f t="shared" si="4"/>
        <v>1082.1996218181816</v>
      </c>
      <c r="X32" s="283">
        <f t="shared" si="5"/>
        <v>1082.1996218181816</v>
      </c>
      <c r="Y32" s="285">
        <f t="shared" si="11"/>
        <v>1190.419584</v>
      </c>
      <c r="Z32" s="285">
        <f t="shared" si="11"/>
        <v>1190.419584</v>
      </c>
      <c r="AA32" s="194">
        <f>'Tariff Jul 2021'!AT24</f>
        <v>8</v>
      </c>
      <c r="AB32" s="195">
        <f>'Tariff Jul 2021'!BL24</f>
        <v>0</v>
      </c>
      <c r="AC32" s="195" t="str">
        <f>'Tariff Jul 2021'!BM24</f>
        <v>n</v>
      </c>
      <c r="AD32" s="196">
        <f>'Tariff Jul 2021'!G24</f>
        <v>42614</v>
      </c>
      <c r="AE32" s="327"/>
      <c r="AF32" s="327"/>
      <c r="AG32" s="327"/>
      <c r="AH32" s="327"/>
      <c r="AI32" s="327"/>
      <c r="AJ32" s="327"/>
      <c r="AK32" s="327"/>
      <c r="AL32" s="327"/>
      <c r="AM32" s="327"/>
      <c r="AN32" s="327"/>
      <c r="AO32" s="327"/>
      <c r="AP32" s="327"/>
      <c r="AQ32" s="327"/>
      <c r="AR32" s="327"/>
      <c r="AS32" s="327"/>
      <c r="AT32" s="327"/>
      <c r="AU32" s="327"/>
      <c r="AV32" s="327"/>
    </row>
    <row r="33" spans="1:48" s="187" customFormat="1" x14ac:dyDescent="0.15">
      <c r="A33" s="186" t="str">
        <f>'Tariff Jul 2021'!K25</f>
        <v>Nectr</v>
      </c>
      <c r="B33" s="187" t="str">
        <f>'Tariff Jul 2021'!L25</f>
        <v>Friends Clean</v>
      </c>
      <c r="C33" s="188">
        <f>IF('Tariff Jul 2021'!BP25=0,91*'Tariff Jul 2021'!M25/100,(91*'Tariff Jul 2021'!M25/100)+'Tariff Jul 2021'!BP25/4)</f>
        <v>93.274999999999977</v>
      </c>
      <c r="D33" s="188">
        <f>IF('Tariff Jul 2021'!O25="",$F$5*'Tariff Jul 2021'!N25/100,IF($F$5&gt;='Tariff Jul 2021'!P25,('Tariff Jul 2021'!P25*'Tariff Jul 2021'!N25/100),($F$5*'Tariff Jul 2021'!N25/100)))</f>
        <v>230.29286399999998</v>
      </c>
      <c r="E33" s="188">
        <f>IF(AND('Tariff Jul 2021'!P25&gt;0,'Tariff Jul 2021'!R25&gt;0),IF($F$5&lt;'Tariff Jul 2021'!P25,0,IF($F$5&lt;=('Tariff Jul 2021'!R25+'Tariff Jul 2021'!P25),(($F$5-'Tariff Jul 2021'!P25)*'Tariff Jul 2021'!Q25/100),(('Tariff Jul 2021'!R25)*'Tariff Jul 2021'!Q25/100))),0)</f>
        <v>0</v>
      </c>
      <c r="F33" s="189">
        <f>IF(AND('Tariff Jul 2021'!Q25&gt;0,'Tariff Jul 2021'!S25&gt;0),IF($F$5&lt;('Tariff Jul 2021'!R25+'Tariff Jul 2021'!P25),0,IF($F$5&lt;=('Tariff Jul 2021'!T25+'Tariff Jul 2021'!R25+'Tariff Jul 2021'!P25),(($F$5-('Tariff Jul 2021'!R25+'Tariff Jul 2021'!P25))*'Tariff Jul 2021'!S25/100),('Tariff Jul 2021'!T25*'Tariff Jul 2021'!S25/100))),0)</f>
        <v>0</v>
      </c>
      <c r="G33" s="188">
        <v>0</v>
      </c>
      <c r="H33" s="188">
        <v>0</v>
      </c>
      <c r="I33" s="189">
        <f>IF('Tariff Jul 2021'!T25&gt;0,IF(($F$5&lt;'Tariff Jul 2021'!T25),(0),($F$5-'Tariff Jul 2021'!T25)*'Tariff Jul 2021'!U25/100),IF(AND('Tariff Jul 2021'!R25&gt;0,'Tariff Jul 2021'!T25=""),IF(($F$5&lt;'Tariff Jul 2021'!R25),(0),($F$5-'Tariff Jul 2021'!R25)*'Tariff Jul 2021'!S25/100),IF(AND('Tariff Jul 2021'!P25&gt;0,'Tariff Jul 2021'!R25=""),IF(($F$5&lt;'Tariff Jul 2021'!P25),(0),($F$5-'Tariff Jul 2021'!P25)*'Tariff Jul 2021'!Q25/100),0)))</f>
        <v>0</v>
      </c>
      <c r="J33" s="188">
        <f t="shared" si="7"/>
        <v>323.56786399999999</v>
      </c>
      <c r="K33" s="283">
        <f t="shared" si="10"/>
        <v>921.17145600000003</v>
      </c>
      <c r="L33" s="283">
        <f t="shared" si="8"/>
        <v>1294.2714559999999</v>
      </c>
      <c r="M33" s="191">
        <f t="shared" si="9"/>
        <v>1423.6986016000001</v>
      </c>
      <c r="N33" s="187">
        <f>'Tariff Jul 2021'!AZ25</f>
        <v>0</v>
      </c>
      <c r="O33" s="187">
        <f>'Tariff Jul 2021'!BA25</f>
        <v>0</v>
      </c>
      <c r="P33" s="187">
        <f>'Tariff Jul 2021'!BB25</f>
        <v>0</v>
      </c>
      <c r="Q33" s="187">
        <f>'Tariff Jul 2021'!BC25</f>
        <v>0</v>
      </c>
      <c r="R33" s="192">
        <f>($F$6*'Tariff Jul 2021'!AT25/100)*4</f>
        <v>63.888640000000002</v>
      </c>
      <c r="S33" s="193" t="str">
        <f t="shared" si="0"/>
        <v>No discount</v>
      </c>
      <c r="T33" s="193" t="str">
        <f t="shared" si="1"/>
        <v>Exclusive</v>
      </c>
      <c r="U33" s="304">
        <f t="shared" si="2"/>
        <v>1294.2714559999999</v>
      </c>
      <c r="V33" s="283">
        <f t="shared" si="3"/>
        <v>1294.2714559999999</v>
      </c>
      <c r="W33" s="283">
        <f t="shared" si="4"/>
        <v>1230.382816</v>
      </c>
      <c r="X33" s="283">
        <f t="shared" si="5"/>
        <v>1230.382816</v>
      </c>
      <c r="Y33" s="285">
        <f t="shared" si="11"/>
        <v>1353.4210976000002</v>
      </c>
      <c r="Z33" s="285">
        <f t="shared" si="11"/>
        <v>1353.4210976000002</v>
      </c>
      <c r="AA33" s="194">
        <f>'Tariff Jul 2021'!AT25</f>
        <v>2</v>
      </c>
      <c r="AB33" s="195">
        <f>'Tariff Jul 2021'!BL25</f>
        <v>0</v>
      </c>
      <c r="AC33" s="195" t="str">
        <f>'Tariff Jul 2021'!BM25</f>
        <v>n</v>
      </c>
      <c r="AD33" s="196">
        <f>'Tariff Jul 2021'!G25</f>
        <v>42916</v>
      </c>
      <c r="AE33" s="327"/>
      <c r="AF33" s="327"/>
      <c r="AG33" s="327"/>
      <c r="AH33" s="327"/>
      <c r="AI33" s="327"/>
      <c r="AJ33" s="327"/>
      <c r="AK33" s="327"/>
      <c r="AL33" s="327"/>
      <c r="AM33" s="327"/>
      <c r="AN33" s="327"/>
      <c r="AO33" s="327"/>
      <c r="AP33" s="327"/>
      <c r="AQ33" s="327"/>
      <c r="AR33" s="327"/>
      <c r="AS33" s="327"/>
      <c r="AT33" s="327"/>
      <c r="AU33" s="327"/>
      <c r="AV33" s="327"/>
    </row>
    <row r="34" spans="1:48" s="187" customFormat="1" x14ac:dyDescent="0.15">
      <c r="A34" s="186" t="str">
        <f>'Tariff Jul 2021'!K26</f>
        <v>Tango Energy</v>
      </c>
      <c r="B34" s="187" t="str">
        <f>'Tariff Jul 2021'!L26</f>
        <v>Solar Plus</v>
      </c>
      <c r="C34" s="188">
        <f>IF('Tariff Jul 2021'!BP26=0,91*'Tariff Jul 2021'!M26/100,(91*'Tariff Jul 2021'!M26/100)+'Tariff Jul 2021'!BP26/4)</f>
        <v>93.729999999999976</v>
      </c>
      <c r="D34" s="188">
        <f>IF('Tariff Jul 2021'!O26="",$F$5*'Tariff Jul 2021'!N26/100,IF($F$5&gt;='Tariff Jul 2021'!P26,('Tariff Jul 2021'!P26*'Tariff Jul 2021'!N26/100),($F$5*'Tariff Jul 2021'!N26/100)))</f>
        <v>307.05715200000003</v>
      </c>
      <c r="E34" s="188">
        <f>IF(AND('Tariff Jul 2021'!P26&gt;0,'Tariff Jul 2021'!R26&gt;0),IF($F$5&lt;'Tariff Jul 2021'!P26,0,IF($F$5&lt;=('Tariff Jul 2021'!R26+'Tariff Jul 2021'!P26),(($F$5-'Tariff Jul 2021'!P26)*'Tariff Jul 2021'!Q26/100),(('Tariff Jul 2021'!R26)*'Tariff Jul 2021'!Q26/100))),0)</f>
        <v>0</v>
      </c>
      <c r="F34" s="189">
        <f>IF(AND('Tariff Jul 2021'!Q26&gt;0,'Tariff Jul 2021'!S26&gt;0),IF($F$5&lt;('Tariff Jul 2021'!R26+'Tariff Jul 2021'!P26),0,IF($F$5&lt;=('Tariff Jul 2021'!T26+'Tariff Jul 2021'!R26+'Tariff Jul 2021'!P26),(($F$5-('Tariff Jul 2021'!R26+'Tariff Jul 2021'!P26))*'Tariff Jul 2021'!S26/100),('Tariff Jul 2021'!T26*'Tariff Jul 2021'!S26/100))),0)</f>
        <v>0</v>
      </c>
      <c r="G34" s="188">
        <v>0</v>
      </c>
      <c r="H34" s="188">
        <v>0</v>
      </c>
      <c r="I34" s="189">
        <f>IF('Tariff Jul 2021'!T26&gt;0,IF(($F$5&lt;'Tariff Jul 2021'!T26),(0),($F$5-'Tariff Jul 2021'!T26)*'Tariff Jul 2021'!U26/100),IF(AND('Tariff Jul 2021'!R26&gt;0,'Tariff Jul 2021'!T26=""),IF(($F$5&lt;'Tariff Jul 2021'!R26),(0),($F$5-'Tariff Jul 2021'!R26)*'Tariff Jul 2021'!S26/100),IF(AND('Tariff Jul 2021'!P26&gt;0,'Tariff Jul 2021'!R26=""),IF(($F$5&lt;'Tariff Jul 2021'!P26),(0),($F$5-'Tariff Jul 2021'!P26)*'Tariff Jul 2021'!Q26/100),0)))</f>
        <v>0</v>
      </c>
      <c r="J34" s="188">
        <f t="shared" ref="J34:J35" si="12">SUM(C34:I34)</f>
        <v>400.78715199999999</v>
      </c>
      <c r="K34" s="283">
        <f t="shared" ref="K34:K35" si="13">(J34-C34)*4</f>
        <v>1228.2286080000001</v>
      </c>
      <c r="L34" s="283">
        <f t="shared" ref="L34:L35" si="14">J34*4</f>
        <v>1603.148608</v>
      </c>
      <c r="M34" s="191">
        <f t="shared" ref="M34:M35" si="15">L34*1.1</f>
        <v>1763.4634688000001</v>
      </c>
      <c r="N34" s="187">
        <f>'Tariff Jul 2021'!AZ26</f>
        <v>0</v>
      </c>
      <c r="O34" s="187">
        <f>'Tariff Jul 2021'!BA26</f>
        <v>0</v>
      </c>
      <c r="P34" s="187">
        <f>'Tariff Jul 2021'!BB26</f>
        <v>0</v>
      </c>
      <c r="Q34" s="187">
        <f>'Tariff Jul 2021'!BC26</f>
        <v>0</v>
      </c>
      <c r="R34" s="192">
        <f>($F$6*'Tariff Jul 2021'!AT26/100)*4</f>
        <v>638.88640000000009</v>
      </c>
      <c r="S34" s="193" t="str">
        <f t="shared" si="0"/>
        <v>No discount</v>
      </c>
      <c r="T34" s="193" t="str">
        <f t="shared" si="1"/>
        <v>Exclusive</v>
      </c>
      <c r="U34" s="304">
        <f t="shared" si="2"/>
        <v>1603.148608</v>
      </c>
      <c r="V34" s="283">
        <f t="shared" si="3"/>
        <v>1603.148608</v>
      </c>
      <c r="W34" s="283">
        <f t="shared" ref="W34:W35" si="16">U34-R34</f>
        <v>964.26220799999987</v>
      </c>
      <c r="X34" s="283">
        <f t="shared" ref="X34:X35" si="17">V34-R34</f>
        <v>964.26220799999987</v>
      </c>
      <c r="Y34" s="285">
        <f t="shared" ref="Y34:Y35" si="18">W34*1.1</f>
        <v>1060.6884287999999</v>
      </c>
      <c r="Z34" s="285">
        <f t="shared" ref="Z34:Z35" si="19">X34*1.1</f>
        <v>1060.6884287999999</v>
      </c>
      <c r="AA34" s="194">
        <f>'Tariff Jul 2021'!AT26</f>
        <v>20</v>
      </c>
      <c r="AB34" s="195">
        <f>'Tariff Jul 2021'!BL26</f>
        <v>0</v>
      </c>
      <c r="AC34" s="195" t="str">
        <f>'Tariff Jul 2021'!BM26</f>
        <v>n</v>
      </c>
      <c r="AD34" s="196">
        <f>'Tariff Jul 2021'!G26</f>
        <v>42857</v>
      </c>
      <c r="AE34" s="327"/>
      <c r="AF34" s="327"/>
      <c r="AG34" s="327"/>
      <c r="AH34" s="327"/>
      <c r="AI34" s="327"/>
      <c r="AJ34" s="327"/>
      <c r="AK34" s="327"/>
      <c r="AL34" s="327"/>
      <c r="AM34" s="327"/>
      <c r="AN34" s="327"/>
      <c r="AO34" s="327"/>
      <c r="AP34" s="327"/>
      <c r="AQ34" s="327"/>
      <c r="AR34" s="327"/>
      <c r="AS34" s="327"/>
      <c r="AT34" s="327"/>
      <c r="AU34" s="327"/>
      <c r="AV34" s="327"/>
    </row>
    <row r="35" spans="1:48" s="187" customFormat="1" ht="15" thickBot="1" x14ac:dyDescent="0.2">
      <c r="A35" s="197" t="str">
        <f>'Tariff Jul 2021'!K27</f>
        <v>Covau</v>
      </c>
      <c r="B35" s="198" t="str">
        <f>'Tariff Jul 2021'!L27</f>
        <v>Freedom Solar</v>
      </c>
      <c r="C35" s="199">
        <f>IF('Tariff Jul 2021'!BP27=0,91*'Tariff Jul 2021'!M27/100,(91*'Tariff Jul 2021'!M27/100)+'Tariff Jul 2021'!BP27/4)</f>
        <v>60.515000000000001</v>
      </c>
      <c r="D35" s="199">
        <f>IF('Tariff Jul 2021'!O27="",$F$5*'Tariff Jul 2021'!N27/100,IF($F$5&gt;='Tariff Jul 2021'!P27,('Tariff Jul 2021'!P27*'Tariff Jul 2021'!N27/100),($F$5*'Tariff Jul 2021'!N27/100)))</f>
        <v>254.96130327272726</v>
      </c>
      <c r="E35" s="199">
        <f>IF(AND('Tariff Jul 2021'!P27&gt;0,'Tariff Jul 2021'!R27&gt;0),IF($F$5&lt;'Tariff Jul 2021'!P27,0,IF($F$5&lt;=('Tariff Jul 2021'!R27+'Tariff Jul 2021'!P27),(($F$5-'Tariff Jul 2021'!P27)*'Tariff Jul 2021'!Q27/100),(('Tariff Jul 2021'!R27)*'Tariff Jul 2021'!Q27/100))),0)</f>
        <v>0</v>
      </c>
      <c r="F35" s="200">
        <f>IF(AND('Tariff Jul 2021'!Q27&gt;0,'Tariff Jul 2021'!S27&gt;0),IF($F$5&lt;('Tariff Jul 2021'!R27+'Tariff Jul 2021'!P27),0,IF($F$5&lt;=('Tariff Jul 2021'!T27+'Tariff Jul 2021'!R27+'Tariff Jul 2021'!P27),(($F$5-('Tariff Jul 2021'!R27+'Tariff Jul 2021'!P27))*'Tariff Jul 2021'!S27/100),('Tariff Jul 2021'!T27*'Tariff Jul 2021'!S27/100))),0)</f>
        <v>0</v>
      </c>
      <c r="G35" s="199">
        <v>0</v>
      </c>
      <c r="H35" s="199">
        <v>0</v>
      </c>
      <c r="I35" s="200">
        <f>IF('Tariff Jul 2021'!T27&gt;0,IF(($F$5&lt;'Tariff Jul 2021'!T27),(0),($F$5-'Tariff Jul 2021'!T27)*'Tariff Jul 2021'!U27/100),IF(AND('Tariff Jul 2021'!R27&gt;0,'Tariff Jul 2021'!T27=""),IF(($F$5&lt;'Tariff Jul 2021'!R27),(0),($F$5-'Tariff Jul 2021'!R27)*'Tariff Jul 2021'!S27/100),IF(AND('Tariff Jul 2021'!P27&gt;0,'Tariff Jul 2021'!R27=""),IF(($F$5&lt;'Tariff Jul 2021'!P27),(0),($F$5-'Tariff Jul 2021'!P27)*'Tariff Jul 2021'!Q27/100),0)))</f>
        <v>0</v>
      </c>
      <c r="J35" s="199">
        <f t="shared" si="12"/>
        <v>315.47630327272725</v>
      </c>
      <c r="K35" s="284">
        <f t="shared" si="13"/>
        <v>1019.8452130909091</v>
      </c>
      <c r="L35" s="284">
        <f t="shared" si="14"/>
        <v>1261.905213090909</v>
      </c>
      <c r="M35" s="202">
        <f t="shared" si="15"/>
        <v>1388.0957344000001</v>
      </c>
      <c r="N35" s="198">
        <f>'Tariff Jul 2021'!AZ27</f>
        <v>0</v>
      </c>
      <c r="O35" s="198">
        <f>'Tariff Jul 2021'!BA27</f>
        <v>5</v>
      </c>
      <c r="P35" s="198">
        <f>'Tariff Jul 2021'!BB27</f>
        <v>0</v>
      </c>
      <c r="Q35" s="198">
        <f>'Tariff Jul 2021'!BC27</f>
        <v>0</v>
      </c>
      <c r="R35" s="203">
        <f>($F$6*'Tariff Jul 2021'!AT27/100)*4</f>
        <v>175.69376</v>
      </c>
      <c r="S35" s="204" t="str">
        <f t="shared" si="0"/>
        <v>Guaranteed off usage</v>
      </c>
      <c r="T35" s="204" t="str">
        <f t="shared" si="1"/>
        <v>Exclusive</v>
      </c>
      <c r="U35" s="305">
        <f t="shared" si="2"/>
        <v>1210.9129524363636</v>
      </c>
      <c r="V35" s="284">
        <f t="shared" si="3"/>
        <v>1210.9129524363636</v>
      </c>
      <c r="W35" s="284">
        <f t="shared" si="16"/>
        <v>1035.2191924363638</v>
      </c>
      <c r="X35" s="284">
        <f t="shared" si="17"/>
        <v>1035.2191924363638</v>
      </c>
      <c r="Y35" s="286">
        <f t="shared" si="18"/>
        <v>1138.7411116800001</v>
      </c>
      <c r="Z35" s="286">
        <f t="shared" si="19"/>
        <v>1138.7411116800001</v>
      </c>
      <c r="AA35" s="205">
        <f>'Tariff Jul 2021'!AT27</f>
        <v>5.5</v>
      </c>
      <c r="AB35" s="206">
        <f>'Tariff Jul 2021'!BL27</f>
        <v>0</v>
      </c>
      <c r="AC35" s="206" t="str">
        <f>'Tariff Jul 2021'!BM27</f>
        <v>n</v>
      </c>
      <c r="AD35" s="207">
        <f>'Tariff Jul 2021'!G27</f>
        <v>42941</v>
      </c>
      <c r="AE35" s="327"/>
      <c r="AF35" s="327"/>
      <c r="AG35" s="327"/>
      <c r="AH35" s="327"/>
      <c r="AI35" s="327"/>
      <c r="AJ35" s="327"/>
      <c r="AK35" s="327"/>
      <c r="AL35" s="327"/>
      <c r="AM35" s="327"/>
      <c r="AN35" s="327"/>
      <c r="AO35" s="327"/>
      <c r="AP35" s="327"/>
      <c r="AQ35" s="327"/>
      <c r="AR35" s="327"/>
      <c r="AS35" s="327"/>
      <c r="AT35" s="327"/>
      <c r="AU35" s="327"/>
      <c r="AV35" s="327"/>
    </row>
    <row r="36" spans="1:48" s="187" customFormat="1" x14ac:dyDescent="0.15">
      <c r="A36" s="327"/>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row>
    <row r="37" spans="1:48" s="187" customFormat="1" ht="15" thickBot="1" x14ac:dyDescent="0.2">
      <c r="A37" s="327"/>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row>
    <row r="38" spans="1:48" s="187" customFormat="1" x14ac:dyDescent="0.15">
      <c r="A38" s="336" t="s">
        <v>154</v>
      </c>
      <c r="B38" s="337"/>
      <c r="C38" s="338"/>
      <c r="D38" s="338"/>
      <c r="E38" s="338"/>
      <c r="F38" s="338"/>
      <c r="G38" s="339"/>
      <c r="H38" s="339"/>
      <c r="I38" s="337"/>
      <c r="J38" s="337"/>
      <c r="K38" s="339"/>
      <c r="L38" s="337"/>
      <c r="M38" s="337"/>
      <c r="N38" s="337"/>
      <c r="O38" s="337"/>
      <c r="P38" s="337"/>
      <c r="Q38" s="337"/>
      <c r="R38" s="337"/>
      <c r="S38" s="337"/>
      <c r="T38" s="337"/>
      <c r="U38" s="337"/>
      <c r="V38" s="337"/>
      <c r="W38" s="337"/>
      <c r="X38" s="337"/>
      <c r="Y38" s="337"/>
      <c r="Z38" s="337"/>
      <c r="AA38" s="337"/>
      <c r="AB38" s="337"/>
      <c r="AC38" s="337"/>
      <c r="AD38" s="268"/>
      <c r="AE38" s="327"/>
      <c r="AF38" s="327"/>
      <c r="AG38" s="327"/>
      <c r="AH38" s="327"/>
      <c r="AI38" s="327"/>
      <c r="AJ38" s="327"/>
      <c r="AK38" s="327"/>
      <c r="AL38" s="327"/>
      <c r="AM38" s="327"/>
      <c r="AN38" s="327"/>
      <c r="AO38" s="327"/>
      <c r="AP38" s="327"/>
      <c r="AQ38" s="327"/>
      <c r="AR38" s="327"/>
      <c r="AS38" s="327"/>
      <c r="AT38" s="327"/>
      <c r="AU38" s="327"/>
      <c r="AV38" s="327"/>
    </row>
    <row r="39" spans="1:48" s="187" customFormat="1" ht="90" x14ac:dyDescent="0.15">
      <c r="A39" s="271" t="s">
        <v>231</v>
      </c>
      <c r="B39" s="272" t="s">
        <v>243</v>
      </c>
      <c r="C39" s="279" t="s">
        <v>244</v>
      </c>
      <c r="D39" s="279" t="s">
        <v>227</v>
      </c>
      <c r="E39" s="279" t="s">
        <v>357</v>
      </c>
      <c r="F39" s="279" t="s">
        <v>358</v>
      </c>
      <c r="G39" s="279" t="s">
        <v>329</v>
      </c>
      <c r="H39" s="279" t="s">
        <v>222</v>
      </c>
      <c r="I39" s="279" t="s">
        <v>223</v>
      </c>
      <c r="J39" s="273" t="s">
        <v>799</v>
      </c>
      <c r="K39" s="280" t="s">
        <v>246</v>
      </c>
      <c r="L39" s="280" t="s">
        <v>247</v>
      </c>
      <c r="M39" s="274" t="s">
        <v>636</v>
      </c>
      <c r="N39" s="275" t="s">
        <v>249</v>
      </c>
      <c r="O39" s="275" t="s">
        <v>250</v>
      </c>
      <c r="P39" s="275" t="s">
        <v>251</v>
      </c>
      <c r="Q39" s="275" t="s">
        <v>365</v>
      </c>
      <c r="R39" s="276" t="s">
        <v>373</v>
      </c>
      <c r="S39" s="281" t="s">
        <v>637</v>
      </c>
      <c r="T39" s="281" t="s">
        <v>638</v>
      </c>
      <c r="U39" s="282" t="s">
        <v>255</v>
      </c>
      <c r="V39" s="282" t="s">
        <v>224</v>
      </c>
      <c r="W39" s="282" t="s">
        <v>374</v>
      </c>
      <c r="X39" s="282" t="s">
        <v>375</v>
      </c>
      <c r="Y39" s="276" t="s">
        <v>376</v>
      </c>
      <c r="Z39" s="276" t="s">
        <v>436</v>
      </c>
      <c r="AA39" s="275" t="s">
        <v>155</v>
      </c>
      <c r="AB39" s="275" t="s">
        <v>225</v>
      </c>
      <c r="AC39" s="275" t="s">
        <v>226</v>
      </c>
      <c r="AD39" s="277" t="s">
        <v>221</v>
      </c>
      <c r="AE39" s="327"/>
      <c r="AF39" s="327"/>
      <c r="AG39" s="327"/>
      <c r="AH39" s="327"/>
      <c r="AI39" s="327"/>
      <c r="AJ39" s="327"/>
      <c r="AK39" s="327"/>
      <c r="AL39" s="327"/>
      <c r="AM39" s="327"/>
      <c r="AN39" s="327"/>
      <c r="AO39" s="327"/>
      <c r="AP39" s="327"/>
      <c r="AQ39" s="327"/>
      <c r="AR39" s="327"/>
      <c r="AS39" s="327"/>
      <c r="AT39" s="327"/>
      <c r="AU39" s="327"/>
      <c r="AV39" s="327"/>
    </row>
    <row r="40" spans="1:48" s="187" customFormat="1" x14ac:dyDescent="0.15">
      <c r="A40" s="186" t="str">
        <f>'Tariff Jul 2021'!K28</f>
        <v>AGL</v>
      </c>
      <c r="B40" s="187" t="str">
        <f>'Tariff Jul 2021'!L28</f>
        <v>Solar Savers</v>
      </c>
      <c r="C40" s="208">
        <f>IF('Tariff Jul 2021'!BP28=0,91*'Tariff Jul 2021'!M28/100,(91*'Tariff Jul 2021'!M28/100)+'Tariff Jul 2021'!BP28/4)</f>
        <v>81.767636363636356</v>
      </c>
      <c r="D40" s="208">
        <f>IF('Tariff Jul 2021'!O28="",$H$5*'Tariff Jul 2021'!N28/100,IF($H$5&gt;='Tariff Jul 2021'!P28,('Tariff Jul 2021'!P28*'Tariff Jul 2021'!N28/100),($H$5*'Tariff Jul 2021'!N28/100)))</f>
        <v>219.93861120000003</v>
      </c>
      <c r="E40" s="208">
        <f>IF(AND('Tariff Jul 2021'!P28&gt;0,'Tariff Jul 2021'!R28&gt;0),IF($H$5&lt;'Tariff Jul 2021'!P28,0,IF($H$5&lt;=('Tariff Jul 2021'!R28+'Tariff Jul 2021'!P28),(($H$5-'Tariff Jul 2021'!P28)*'Tariff Jul 2021'!Q28/100),(('Tariff Jul 2021'!R28)*'Tariff Jul 2021'!Q28/100))),0)</f>
        <v>0</v>
      </c>
      <c r="F40" s="208">
        <f>IF(AND('Tariff Jul 2021'!Q28&gt;0,'Tariff Jul 2021'!S28&gt;0),IF($H$5&lt;('Tariff Jul 2021'!R28+'Tariff Jul 2021'!P28),0,IF($H$5&lt;=('Tariff Jul 2021'!T28+'Tariff Jul 2021'!R28+'Tariff Jul 2021'!P28),(($H$5-('Tariff Jul 2021'!R28+'Tariff Jul 2021'!P28))*'Tariff Jul 2021'!S28/100),('Tariff Jul 2021'!T28*'Tariff Jul 2021'!S28/100))),0)</f>
        <v>0</v>
      </c>
      <c r="G40" s="208">
        <f>IF('Tariff Jul 2021'!T28&gt;0,IF(($H$5&lt;'Tariff Jul 2021'!T28),(0),($H$5-'Tariff Jul 2021'!T28)*'Tariff Jul 2021'!U28/100),IF(AND('Tariff Jul 2021'!R28&gt;0,'Tariff Jul 2021'!T28=""),IF(($H$5&lt;'Tariff Jul 2021'!R28),(0),($H$5-'Tariff Jul 2021'!R28)*'Tariff Jul 2021'!S28/100),IF(AND('Tariff Jul 2021'!P28&gt;0,'Tariff Jul 2021'!R28=""),IF(($H$5&lt;'Tariff Jul 2021'!P28),(0),($H$5-'Tariff Jul 2021'!P28)*'Tariff Jul 2021'!Q28/100),0)))</f>
        <v>0</v>
      </c>
      <c r="H40" s="208">
        <f>($I$5)*'Tariff Jul 2021'!AE28/100</f>
        <v>26.437426036363632</v>
      </c>
      <c r="I40" s="208">
        <v>0</v>
      </c>
      <c r="J40" s="208">
        <f>SUM(C40:I40)</f>
        <v>328.14367360000006</v>
      </c>
      <c r="K40" s="283">
        <f>(J40-C40)*4</f>
        <v>985.50414894545474</v>
      </c>
      <c r="L40" s="283">
        <f>J40*4</f>
        <v>1312.5746944000002</v>
      </c>
      <c r="M40" s="191">
        <f>L40*1.1</f>
        <v>1443.8321638400005</v>
      </c>
      <c r="N40" s="187">
        <f>'Tariff Jul 2021'!AZ28</f>
        <v>0</v>
      </c>
      <c r="O40" s="187">
        <f>'Tariff Jul 2021'!BA28</f>
        <v>0</v>
      </c>
      <c r="P40" s="187">
        <f>'Tariff Jul 2021'!BB28</f>
        <v>0</v>
      </c>
      <c r="Q40" s="187">
        <f>'Tariff Jul 2021'!BC28</f>
        <v>0</v>
      </c>
      <c r="R40" s="192">
        <f>($F$6*'Tariff Jul 2021'!AT28/100)*4</f>
        <v>511.10912000000002</v>
      </c>
      <c r="S40" s="193" t="str">
        <f t="shared" ref="S40:S64" si="20">IF(SUM(N40:Q40)=0,"No discount",IF(N40&gt;0,"Guaranteed off bill",IF(O40&gt;0,"Guaranteed off usage",IF(P40&gt;0,"Pay-on-time off bill","Pay-on-time off usage"))))</f>
        <v>No discount</v>
      </c>
      <c r="T40" s="193" t="str">
        <f t="shared" ref="T40:T64" si="21">IF(OR(A40="Origin Energy",A40="Red Energy",A40="Powershop"),"Inclusive","Exclusive")</f>
        <v>Exclusive</v>
      </c>
      <c r="U40" s="304">
        <f t="shared" ref="U40:U64" si="22">IF(AND(S40="Guaranteed off bill",T40="Inclusive"),((L40*1.1)-((L40*1.1)*N40/100))/1.1,IF(AND(S40="Guaranteed off usage",T40="Inclusive"),((L40*1.1)-((K40*1.1)*O40/100))/1.1,IF(AND(S40="Guaranteed off bill",T40="Exclusive"),L40-(L40*N40/100),IF(AND(S40="Guaranteed off usage",T40="Exclusive"),L40-(K40*O40/100),IF(T40="Inclusive",((L40*1.1))/1.1,L40)))))</f>
        <v>1312.5746944000002</v>
      </c>
      <c r="V40" s="283">
        <f t="shared" ref="V40:V64" si="23">IF(AND(S40="Pay-on-time off bill",T40="Inclusive"),((U40*1.1)-((U40*1.1)*P40/100))/1.1,IF(AND(S40="Pay-on-time off usage",T40="Inclusive"),((U40*1.1)-((K40*1.1)*Q40/100))/1.1,IF(AND(S40="Pay-on-time off bill",T40="Exclusive"),U40-(U40*P40/100),IF(AND(S40="Pay-on-time off usage",T40="Exclusive"),U40-(K40*Q40/100),IF(T40="Inclusive",((U40*1.1))/1.1,U40)))))</f>
        <v>1312.5746944000002</v>
      </c>
      <c r="W40" s="283">
        <f t="shared" ref="W40:W62" si="24">U40-R40</f>
        <v>801.46557440000015</v>
      </c>
      <c r="X40" s="283">
        <f t="shared" ref="X40:X62" si="25">V40-R40</f>
        <v>801.46557440000015</v>
      </c>
      <c r="Y40" s="285">
        <f t="shared" ref="Y40:Z55" si="26">W40*1.1</f>
        <v>881.61213184000019</v>
      </c>
      <c r="Z40" s="285">
        <f t="shared" si="26"/>
        <v>881.61213184000019</v>
      </c>
      <c r="AA40" s="194">
        <f>'Tariff Jul 2021'!AT28</f>
        <v>16</v>
      </c>
      <c r="AB40" s="195">
        <f>'Tariff Jul 2021'!BL28</f>
        <v>0</v>
      </c>
      <c r="AC40" s="195" t="str">
        <f>'Tariff Jul 2021'!BM28</f>
        <v>n</v>
      </c>
      <c r="AD40" s="196">
        <f>'Tariff Jul 2021'!G28</f>
        <v>42922</v>
      </c>
      <c r="AE40" s="327"/>
      <c r="AF40" s="327"/>
      <c r="AG40" s="327"/>
      <c r="AH40" s="327"/>
      <c r="AI40" s="327"/>
      <c r="AJ40" s="327"/>
      <c r="AK40" s="327"/>
      <c r="AL40" s="327"/>
      <c r="AM40" s="327"/>
      <c r="AN40" s="327"/>
      <c r="AO40" s="327"/>
      <c r="AP40" s="327"/>
      <c r="AQ40" s="327"/>
      <c r="AR40" s="327"/>
      <c r="AS40" s="327"/>
      <c r="AT40" s="327"/>
      <c r="AU40" s="327"/>
      <c r="AV40" s="327"/>
    </row>
    <row r="41" spans="1:48" s="187" customFormat="1" x14ac:dyDescent="0.15">
      <c r="A41" s="186" t="str">
        <f>'Tariff Jul 2021'!K29</f>
        <v>Alinta Energy</v>
      </c>
      <c r="B41" s="187" t="str">
        <f>'Tariff Jul 2021'!L29</f>
        <v>Home Deal</v>
      </c>
      <c r="C41" s="208">
        <f>IF('Tariff Jul 2021'!BP29=0,91*'Tariff Jul 2021'!M29/100,(91*'Tariff Jul 2021'!M29/100)+'Tariff Jul 2021'!BP29/4)</f>
        <v>75.53</v>
      </c>
      <c r="D41" s="208">
        <f>IF('Tariff Jul 2021'!O29="",$H$5*'Tariff Jul 2021'!N29/100,IF($H$5&gt;='Tariff Jul 2021'!P29,('Tariff Jul 2021'!P29*'Tariff Jul 2021'!N29/100),($H$5*'Tariff Jul 2021'!N29/100)))</f>
        <v>72.190909090909088</v>
      </c>
      <c r="E41" s="208">
        <f>IF(AND('Tariff Jul 2021'!P29&gt;0,'Tariff Jul 2021'!R29&gt;0),IF($H$5&lt;'Tariff Jul 2021'!P29,0,IF($H$5&lt;=('Tariff Jul 2021'!R29+'Tariff Jul 2021'!P29),(($H$5-'Tariff Jul 2021'!P29)*'Tariff Jul 2021'!Q29/100),(('Tariff Jul 2021'!R29)*'Tariff Jul 2021'!Q29/100))),0)</f>
        <v>0</v>
      </c>
      <c r="F41" s="208">
        <f>IF(AND('Tariff Jul 2021'!Q29&gt;0,'Tariff Jul 2021'!S29&gt;0),IF($H$5&lt;('Tariff Jul 2021'!R29+'Tariff Jul 2021'!P29),0,IF($H$5&lt;=('Tariff Jul 2021'!T29+'Tariff Jul 2021'!R29+'Tariff Jul 2021'!P29),(($H$5-('Tariff Jul 2021'!R29+'Tariff Jul 2021'!P29))*'Tariff Jul 2021'!S29/100),('Tariff Jul 2021'!T29*'Tariff Jul 2021'!S29/100))),0)</f>
        <v>0</v>
      </c>
      <c r="G41" s="208">
        <f>IF('Tariff Jul 2021'!T29&gt;0,IF(($H$5&lt;'Tariff Jul 2021'!T29),(0),($H$5-'Tariff Jul 2021'!T29)*'Tariff Jul 2021'!U29/100),IF(AND('Tariff Jul 2021'!R29&gt;0,'Tariff Jul 2021'!T29=""),IF(($H$5&lt;'Tariff Jul 2021'!R29),(0),($H$5-'Tariff Jul 2021'!R29)*'Tariff Jul 2021'!S29/100),IF(AND('Tariff Jul 2021'!P29&gt;0,'Tariff Jul 2021'!R29=""),IF(($H$5&lt;'Tariff Jul 2021'!P29),(0),($H$5-'Tariff Jul 2021'!P29)*'Tariff Jul 2021'!Q29/100),0)))</f>
        <v>110.97515519999999</v>
      </c>
      <c r="H41" s="208">
        <f>($I$5)*'Tariff Jul 2021'!AE29/100</f>
        <v>23.678455854545451</v>
      </c>
      <c r="I41" s="208">
        <f>IF((I5&lt;'Tariff Jul 2021'!AF29),(0),(I5-'Tariff Jul 2021'!AF29)*'Tariff Jul 2021'!AG29/100)</f>
        <v>0</v>
      </c>
      <c r="J41" s="208">
        <f t="shared" ref="J41:J52" si="27">SUM(C41:I41)</f>
        <v>282.37452014545454</v>
      </c>
      <c r="K41" s="283">
        <f>(J41-C41)*4</f>
        <v>827.37808058181815</v>
      </c>
      <c r="L41" s="283">
        <f t="shared" ref="L41:L62" si="28">J41*4</f>
        <v>1129.4980805818182</v>
      </c>
      <c r="M41" s="191">
        <f t="shared" ref="M41:M62" si="29">L41*1.1</f>
        <v>1242.44788864</v>
      </c>
      <c r="N41" s="187">
        <f>'Tariff Jul 2021'!AZ29</f>
        <v>0</v>
      </c>
      <c r="O41" s="187">
        <f>'Tariff Jul 2021'!BA29</f>
        <v>0</v>
      </c>
      <c r="P41" s="187">
        <f>'Tariff Jul 2021'!BB29</f>
        <v>0</v>
      </c>
      <c r="Q41" s="187">
        <f>'Tariff Jul 2021'!BC29</f>
        <v>0</v>
      </c>
      <c r="R41" s="192">
        <f>($F$6*'Tariff Jul 2021'!AT29/100)*4</f>
        <v>303.47104000000002</v>
      </c>
      <c r="S41" s="193" t="str">
        <f t="shared" si="20"/>
        <v>No discount</v>
      </c>
      <c r="T41" s="193" t="str">
        <f t="shared" si="21"/>
        <v>Exclusive</v>
      </c>
      <c r="U41" s="304">
        <f t="shared" si="22"/>
        <v>1129.4980805818182</v>
      </c>
      <c r="V41" s="283">
        <f t="shared" si="23"/>
        <v>1129.4980805818182</v>
      </c>
      <c r="W41" s="283">
        <f t="shared" si="24"/>
        <v>826.02704058181814</v>
      </c>
      <c r="X41" s="283">
        <f t="shared" si="25"/>
        <v>826.02704058181814</v>
      </c>
      <c r="Y41" s="285">
        <f t="shared" si="26"/>
        <v>908.62974464000001</v>
      </c>
      <c r="Z41" s="285">
        <f t="shared" si="26"/>
        <v>908.62974464000001</v>
      </c>
      <c r="AA41" s="194">
        <f>'Tariff Jul 2021'!AT29</f>
        <v>9.5</v>
      </c>
      <c r="AB41" s="195">
        <f>'Tariff Jul 2021'!BL29</f>
        <v>0</v>
      </c>
      <c r="AC41" s="195" t="str">
        <f>'Tariff Jul 2021'!BM29</f>
        <v>n</v>
      </c>
      <c r="AD41" s="196">
        <f>'Tariff Jul 2021'!G29</f>
        <v>42916</v>
      </c>
      <c r="AE41" s="327"/>
      <c r="AF41" s="327"/>
      <c r="AG41" s="327"/>
      <c r="AH41" s="327"/>
      <c r="AI41" s="327"/>
      <c r="AJ41" s="327"/>
      <c r="AK41" s="327"/>
      <c r="AL41" s="327"/>
      <c r="AM41" s="327"/>
      <c r="AN41" s="327"/>
      <c r="AO41" s="327"/>
      <c r="AP41" s="327"/>
      <c r="AQ41" s="327"/>
      <c r="AR41" s="327"/>
      <c r="AS41" s="327"/>
      <c r="AT41" s="327"/>
      <c r="AU41" s="327"/>
      <c r="AV41" s="327"/>
    </row>
    <row r="42" spans="1:48" s="187" customFormat="1" x14ac:dyDescent="0.15">
      <c r="A42" s="186" t="str">
        <f>'Tariff Jul 2021'!K30</f>
        <v>Diamond Energy</v>
      </c>
      <c r="B42" s="187" t="str">
        <f>'Tariff Jul 2021'!L30</f>
        <v>Renewable Saver POT</v>
      </c>
      <c r="C42" s="208">
        <f>IF('Tariff Jul 2021'!BP30=0,91*'Tariff Jul 2021'!M30/100,(91*'Tariff Jul 2021'!M30/100)+'Tariff Jul 2021'!BP30/4)</f>
        <v>79.124499999999998</v>
      </c>
      <c r="D42" s="208">
        <f>IF('Tariff Jul 2021'!O30="",$H$5*'Tariff Jul 2021'!N30/100,IF($H$5&gt;='Tariff Jul 2021'!P30,('Tariff Jul 2021'!P30*'Tariff Jul 2021'!N30/100),($H$5*'Tariff Jul 2021'!N30/100)))</f>
        <v>99.78</v>
      </c>
      <c r="E42" s="208">
        <f>IF(AND('Tariff Jul 2021'!P30&gt;0,'Tariff Jul 2021'!R30&gt;0),IF($H$5&lt;'Tariff Jul 2021'!P30,0,IF($H$5&lt;=('Tariff Jul 2021'!R30+'Tariff Jul 2021'!P30),(($H$5-'Tariff Jul 2021'!P30)*'Tariff Jul 2021'!Q30/100),(('Tariff Jul 2021'!R30)*'Tariff Jul 2021'!Q30/100))),0)</f>
        <v>148.61560896</v>
      </c>
      <c r="F42" s="208">
        <f>IF(AND('Tariff Jul 2021'!Q30&gt;0,'Tariff Jul 2021'!S30&gt;0),IF($H$5&lt;('Tariff Jul 2021'!R30+'Tariff Jul 2021'!P30),0,IF($H$5&lt;=('Tariff Jul 2021'!T30+'Tariff Jul 2021'!R30+'Tariff Jul 2021'!P30),(($H$5-('Tariff Jul 2021'!R30+'Tariff Jul 2021'!P30))*'Tariff Jul 2021'!S30/100),('Tariff Jul 2021'!T30*'Tariff Jul 2021'!S30/100))),0)</f>
        <v>0</v>
      </c>
      <c r="G42" s="208">
        <f>IF('Tariff Jul 2021'!T30&gt;0,IF(($H$5&lt;'Tariff Jul 2021'!T30),(0),($H$5-'Tariff Jul 2021'!T30)*'Tariff Jul 2021'!U30/100),IF(AND('Tariff Jul 2021'!R30&gt;0,'Tariff Jul 2021'!T30=""),IF(($H$5&lt;'Tariff Jul 2021'!R30),(0),($H$5-'Tariff Jul 2021'!R30)*'Tariff Jul 2021'!S30/100),IF(AND('Tariff Jul 2021'!P30&gt;0,'Tariff Jul 2021'!R30=""),IF(($H$5&lt;'Tariff Jul 2021'!P30),(0),($H$5-'Tariff Jul 2021'!P30)*'Tariff Jul 2021'!Q30/100),0)))</f>
        <v>0</v>
      </c>
      <c r="H42" s="208">
        <f>($I$5)*'Tariff Jul 2021'!AE30/100</f>
        <v>35.623173818181819</v>
      </c>
      <c r="I42" s="208">
        <v>0</v>
      </c>
      <c r="J42" s="208">
        <f t="shared" si="27"/>
        <v>363.14328277818186</v>
      </c>
      <c r="K42" s="283">
        <f t="shared" ref="K42:K62" si="30">(J42-C42)*4</f>
        <v>1136.0751311127274</v>
      </c>
      <c r="L42" s="283">
        <f t="shared" si="28"/>
        <v>1452.5731311127274</v>
      </c>
      <c r="M42" s="191">
        <f t="shared" si="29"/>
        <v>1597.8304442240003</v>
      </c>
      <c r="N42" s="187">
        <f>'Tariff Jul 2021'!AZ30</f>
        <v>0</v>
      </c>
      <c r="O42" s="187">
        <f>'Tariff Jul 2021'!BA30</f>
        <v>0</v>
      </c>
      <c r="P42" s="187">
        <f>'Tariff Jul 2021'!BB30</f>
        <v>7</v>
      </c>
      <c r="Q42" s="187">
        <f>'Tariff Jul 2021'!BC30</f>
        <v>0</v>
      </c>
      <c r="R42" s="192">
        <f>($F$6*'Tariff Jul 2021'!AT30/100)*4</f>
        <v>325.832064</v>
      </c>
      <c r="S42" s="193" t="str">
        <f t="shared" si="20"/>
        <v>Pay-on-time off bill</v>
      </c>
      <c r="T42" s="193" t="str">
        <f t="shared" si="21"/>
        <v>Exclusive</v>
      </c>
      <c r="U42" s="304">
        <f t="shared" si="22"/>
        <v>1452.5731311127274</v>
      </c>
      <c r="V42" s="283">
        <f t="shared" si="23"/>
        <v>1350.8930119348365</v>
      </c>
      <c r="W42" s="283">
        <f t="shared" si="24"/>
        <v>1126.7410671127275</v>
      </c>
      <c r="X42" s="283">
        <f t="shared" si="25"/>
        <v>1025.0609479348366</v>
      </c>
      <c r="Y42" s="285">
        <f t="shared" si="26"/>
        <v>1239.4151738240002</v>
      </c>
      <c r="Z42" s="285">
        <f t="shared" si="26"/>
        <v>1127.5670427283203</v>
      </c>
      <c r="AA42" s="194">
        <f>'Tariff Jul 2021'!AT30</f>
        <v>10.199999999999999</v>
      </c>
      <c r="AB42" s="195">
        <f>'Tariff Jul 2021'!BL30</f>
        <v>0</v>
      </c>
      <c r="AC42" s="195" t="str">
        <f>'Tariff Jul 2021'!BM30</f>
        <v>n</v>
      </c>
      <c r="AD42" s="196">
        <f>'Tariff Jul 2021'!G30</f>
        <v>42643</v>
      </c>
      <c r="AE42" s="327"/>
      <c r="AF42" s="327"/>
      <c r="AG42" s="327"/>
      <c r="AH42" s="327"/>
      <c r="AI42" s="327"/>
      <c r="AJ42" s="327"/>
      <c r="AK42" s="327"/>
      <c r="AL42" s="327"/>
      <c r="AM42" s="327"/>
      <c r="AN42" s="327"/>
      <c r="AO42" s="327"/>
      <c r="AP42" s="327"/>
      <c r="AQ42" s="327"/>
      <c r="AR42" s="327"/>
      <c r="AS42" s="327"/>
      <c r="AT42" s="327"/>
      <c r="AU42" s="327"/>
      <c r="AV42" s="327"/>
    </row>
    <row r="43" spans="1:48" s="187" customFormat="1" x14ac:dyDescent="0.15">
      <c r="A43" s="186" t="str">
        <f>'Tariff Jul 2021'!K31</f>
        <v>Dodo Power &amp; Gas</v>
      </c>
      <c r="B43" s="187" t="str">
        <f>'Tariff Jul 2021'!L31</f>
        <v>Market offer</v>
      </c>
      <c r="C43" s="208">
        <f>IF('Tariff Jul 2021'!BP31=0,91*'Tariff Jul 2021'!M31/100,(91*'Tariff Jul 2021'!M31/100)+'Tariff Jul 2021'!BP31/4)</f>
        <v>60.788000000000004</v>
      </c>
      <c r="D43" s="208">
        <f>IF('Tariff Jul 2021'!O31="",$H$5*'Tariff Jul 2021'!N31/100,IF($H$5&gt;='Tariff Jul 2021'!P31,('Tariff Jul 2021'!P31*'Tariff Jul 2021'!N31/100),($H$5*'Tariff Jul 2021'!N31/100)))</f>
        <v>209.55189992727273</v>
      </c>
      <c r="E43" s="208">
        <f>IF(AND('Tariff Jul 2021'!P31&gt;0,'Tariff Jul 2021'!R31&gt;0),IF($H$5&lt;'Tariff Jul 2021'!P31,0,IF($H$5&lt;=('Tariff Jul 2021'!R31+'Tariff Jul 2021'!P31),(($H$5-'Tariff Jul 2021'!P31)*'Tariff Jul 2021'!Q31/100),(('Tariff Jul 2021'!R31)*'Tariff Jul 2021'!Q31/100))),0)</f>
        <v>0</v>
      </c>
      <c r="F43" s="208">
        <f>IF(AND('Tariff Jul 2021'!Q31&gt;0,'Tariff Jul 2021'!S31&gt;0),IF($H$5&lt;('Tariff Jul 2021'!R31+'Tariff Jul 2021'!P31),0,IF($H$5&lt;=('Tariff Jul 2021'!T31+'Tariff Jul 2021'!R31+'Tariff Jul 2021'!P31),(($H$5-('Tariff Jul 2021'!R31+'Tariff Jul 2021'!P31))*'Tariff Jul 2021'!S31/100),('Tariff Jul 2021'!T31*'Tariff Jul 2021'!S31/100))),0)</f>
        <v>0</v>
      </c>
      <c r="G43" s="208">
        <f>IF('Tariff Jul 2021'!T31&gt;0,IF(($H$5&lt;'Tariff Jul 2021'!T31),(0),($H$5-'Tariff Jul 2021'!T31)*'Tariff Jul 2021'!U31/100),IF(AND('Tariff Jul 2021'!R31&gt;0,'Tariff Jul 2021'!T31=""),IF(($H$5&lt;'Tariff Jul 2021'!R31),(0),($H$5-'Tariff Jul 2021'!R31)*'Tariff Jul 2021'!S31/100),IF(AND('Tariff Jul 2021'!P31&gt;0,'Tariff Jul 2021'!R31=""),IF(($H$5&lt;'Tariff Jul 2021'!P31),(0),($H$5-'Tariff Jul 2021'!P31)*'Tariff Jul 2021'!Q31/100),0)))</f>
        <v>0</v>
      </c>
      <c r="H43" s="208">
        <f>($I$5)*'Tariff Jul 2021'!AE31/100</f>
        <v>32.263721890909089</v>
      </c>
      <c r="I43" s="208">
        <f>IF((I7&lt;'Tariff Jul 2021'!AF31),(0),(I7-'Tariff Jul 2021'!AF31)*'Tariff Jul 2021'!AG31/100)</f>
        <v>0</v>
      </c>
      <c r="J43" s="208">
        <f t="shared" si="27"/>
        <v>302.60362181818181</v>
      </c>
      <c r="K43" s="283">
        <f t="shared" si="30"/>
        <v>967.26248727272718</v>
      </c>
      <c r="L43" s="283">
        <f t="shared" si="28"/>
        <v>1210.4144872727272</v>
      </c>
      <c r="M43" s="191">
        <f t="shared" si="29"/>
        <v>1331.4559360000001</v>
      </c>
      <c r="N43" s="187">
        <f>'Tariff Jul 2021'!AZ31</f>
        <v>0</v>
      </c>
      <c r="O43" s="187">
        <f>'Tariff Jul 2021'!BA31</f>
        <v>0</v>
      </c>
      <c r="P43" s="187">
        <f>'Tariff Jul 2021'!BB31</f>
        <v>0</v>
      </c>
      <c r="Q43" s="187">
        <f>'Tariff Jul 2021'!BC31</f>
        <v>0</v>
      </c>
      <c r="R43" s="192">
        <f>($F$6*'Tariff Jul 2021'!AT31/100)*4</f>
        <v>370.55411200000003</v>
      </c>
      <c r="S43" s="193" t="str">
        <f t="shared" si="20"/>
        <v>No discount</v>
      </c>
      <c r="T43" s="193" t="str">
        <f t="shared" si="21"/>
        <v>Exclusive</v>
      </c>
      <c r="U43" s="304">
        <f t="shared" si="22"/>
        <v>1210.4144872727272</v>
      </c>
      <c r="V43" s="283">
        <f t="shared" si="23"/>
        <v>1210.4144872727272</v>
      </c>
      <c r="W43" s="283">
        <f t="shared" si="24"/>
        <v>839.8603752727272</v>
      </c>
      <c r="X43" s="283">
        <f t="shared" si="25"/>
        <v>839.8603752727272</v>
      </c>
      <c r="Y43" s="285">
        <f t="shared" si="26"/>
        <v>923.84641279999994</v>
      </c>
      <c r="Z43" s="285">
        <f t="shared" si="26"/>
        <v>923.84641279999994</v>
      </c>
      <c r="AA43" s="194">
        <f>'Tariff Jul 2021'!AT31</f>
        <v>11.6</v>
      </c>
      <c r="AB43" s="195">
        <f>'Tariff Jul 2021'!BL31</f>
        <v>0</v>
      </c>
      <c r="AC43" s="195" t="str">
        <f>'Tariff Jul 2021'!BM31</f>
        <v>n</v>
      </c>
      <c r="AD43" s="196">
        <f>'Tariff Jul 2021'!G31</f>
        <v>42916</v>
      </c>
      <c r="AE43" s="327"/>
      <c r="AF43" s="327"/>
      <c r="AG43" s="327"/>
      <c r="AH43" s="327"/>
      <c r="AI43" s="327"/>
      <c r="AJ43" s="327"/>
      <c r="AK43" s="327"/>
      <c r="AL43" s="327"/>
      <c r="AM43" s="327"/>
      <c r="AN43" s="327"/>
      <c r="AO43" s="327"/>
      <c r="AP43" s="327"/>
      <c r="AQ43" s="327"/>
      <c r="AR43" s="327"/>
      <c r="AS43" s="327"/>
      <c r="AT43" s="327"/>
      <c r="AU43" s="327"/>
      <c r="AV43" s="327"/>
    </row>
    <row r="44" spans="1:48" s="187" customFormat="1" x14ac:dyDescent="0.15">
      <c r="A44" s="186" t="str">
        <f>'Tariff Jul 2021'!K32</f>
        <v>EnergyAustralia</v>
      </c>
      <c r="B44" s="187" t="str">
        <f>'Tariff Jul 2021'!L32</f>
        <v>Total Plan Home</v>
      </c>
      <c r="C44" s="208">
        <f>IF('Tariff Jul 2021'!BP32=0,91*'Tariff Jul 2021'!M32/100,(91*'Tariff Jul 2021'!M32/100)+'Tariff Jul 2021'!BP32/4)</f>
        <v>73.254999999999995</v>
      </c>
      <c r="D44" s="208">
        <f>IF('Tariff Jul 2021'!O32="",$H$5*'Tariff Jul 2021'!N32/100,IF($H$5&gt;='Tariff Jul 2021'!P32,('Tariff Jul 2021'!P32*'Tariff Jul 2021'!N32/100),($H$5*'Tariff Jul 2021'!N32/100)))</f>
        <v>226.04080407272727</v>
      </c>
      <c r="E44" s="208">
        <f>IF(AND('Tariff Jul 2021'!P32&gt;0,'Tariff Jul 2021'!R32&gt;0),IF($H$5&lt;'Tariff Jul 2021'!P32,0,IF($H$5&lt;=('Tariff Jul 2021'!R32+'Tariff Jul 2021'!P32),(($H$5-'Tariff Jul 2021'!P32)*'Tariff Jul 2021'!Q32/100),(('Tariff Jul 2021'!R32)*'Tariff Jul 2021'!Q32/100))),0)</f>
        <v>0</v>
      </c>
      <c r="F44" s="208">
        <f>IF(AND('Tariff Jul 2021'!Q32&gt;0,'Tariff Jul 2021'!S32&gt;0),IF($H$5&lt;('Tariff Jul 2021'!R32+'Tariff Jul 2021'!P32),0,IF($H$5&lt;=('Tariff Jul 2021'!T32+'Tariff Jul 2021'!R32+'Tariff Jul 2021'!P32),(($H$5-('Tariff Jul 2021'!R32+'Tariff Jul 2021'!P32))*'Tariff Jul 2021'!S32/100),('Tariff Jul 2021'!T32*'Tariff Jul 2021'!S32/100))),0)</f>
        <v>0</v>
      </c>
      <c r="G44" s="208">
        <f>IF('Tariff Jul 2021'!T32&gt;0,IF(($H$5&lt;'Tariff Jul 2021'!T32),(0),($H$5-'Tariff Jul 2021'!T32)*'Tariff Jul 2021'!U32/100),IF(AND('Tariff Jul 2021'!R32&gt;0,'Tariff Jul 2021'!T32=""),IF(($H$5&lt;'Tariff Jul 2021'!R32),(0),($H$5-'Tariff Jul 2021'!R32)*'Tariff Jul 2021'!S32/100),IF(AND('Tariff Jul 2021'!P32&gt;0,'Tariff Jul 2021'!R32=""),IF(($H$5&lt;'Tariff Jul 2021'!P32),(0),($H$5-'Tariff Jul 2021'!P32)*'Tariff Jul 2021'!Q32/100),0)))</f>
        <v>0</v>
      </c>
      <c r="H44" s="208">
        <f>($I$5)*'Tariff Jul 2021'!AE32/100</f>
        <v>26.275133672727275</v>
      </c>
      <c r="I44" s="208">
        <v>0</v>
      </c>
      <c r="J44" s="208">
        <f t="shared" si="27"/>
        <v>325.57093774545456</v>
      </c>
      <c r="K44" s="283">
        <f t="shared" si="30"/>
        <v>1009.2637509818182</v>
      </c>
      <c r="L44" s="283">
        <f t="shared" si="28"/>
        <v>1302.2837509818182</v>
      </c>
      <c r="M44" s="191">
        <f t="shared" si="29"/>
        <v>1432.5121260800001</v>
      </c>
      <c r="N44" s="187">
        <f>'Tariff Jul 2021'!AZ32</f>
        <v>6</v>
      </c>
      <c r="O44" s="187">
        <f>'Tariff Jul 2021'!BA32</f>
        <v>0</v>
      </c>
      <c r="P44" s="187">
        <f>'Tariff Jul 2021'!BB32</f>
        <v>0</v>
      </c>
      <c r="Q44" s="187">
        <f>'Tariff Jul 2021'!BC32</f>
        <v>0</v>
      </c>
      <c r="R44" s="192">
        <f>($F$6*'Tariff Jul 2021'!AT32/100)*4</f>
        <v>335.41536000000002</v>
      </c>
      <c r="S44" s="193" t="str">
        <f t="shared" si="20"/>
        <v>Guaranteed off bill</v>
      </c>
      <c r="T44" s="193" t="str">
        <f t="shared" si="21"/>
        <v>Exclusive</v>
      </c>
      <c r="U44" s="304">
        <f t="shared" si="22"/>
        <v>1224.1467259229091</v>
      </c>
      <c r="V44" s="283">
        <f t="shared" si="23"/>
        <v>1224.1467259229091</v>
      </c>
      <c r="W44" s="283">
        <f t="shared" si="24"/>
        <v>888.73136592290916</v>
      </c>
      <c r="X44" s="283">
        <f t="shared" si="25"/>
        <v>888.73136592290916</v>
      </c>
      <c r="Y44" s="285">
        <f t="shared" si="26"/>
        <v>977.60450251520012</v>
      </c>
      <c r="Z44" s="285">
        <f t="shared" si="26"/>
        <v>977.60450251520012</v>
      </c>
      <c r="AA44" s="194">
        <f>'Tariff Jul 2021'!AT32</f>
        <v>10.5</v>
      </c>
      <c r="AB44" s="195">
        <f>'Tariff Jul 2021'!BL32</f>
        <v>0</v>
      </c>
      <c r="AC44" s="195" t="str">
        <f>'Tariff Jul 2021'!BM32</f>
        <v>n</v>
      </c>
      <c r="AD44" s="196">
        <f>'Tariff Jul 2021'!G32</f>
        <v>42916</v>
      </c>
      <c r="AE44" s="327"/>
      <c r="AF44" s="327"/>
      <c r="AG44" s="327"/>
      <c r="AH44" s="327"/>
      <c r="AI44" s="327"/>
      <c r="AJ44" s="327"/>
      <c r="AK44" s="327"/>
      <c r="AL44" s="327"/>
      <c r="AM44" s="327"/>
      <c r="AN44" s="327"/>
      <c r="AO44" s="327"/>
      <c r="AP44" s="327"/>
      <c r="AQ44" s="327"/>
      <c r="AR44" s="327"/>
      <c r="AS44" s="327"/>
      <c r="AT44" s="327"/>
      <c r="AU44" s="327"/>
      <c r="AV44" s="327"/>
    </row>
    <row r="45" spans="1:48" s="187" customFormat="1" x14ac:dyDescent="0.15">
      <c r="A45" s="186" t="str">
        <f>'Tariff Jul 2021'!K33</f>
        <v>Lumo Energy</v>
      </c>
      <c r="B45" s="187" t="str">
        <f>'Tariff Jul 2021'!L33</f>
        <v>Plus</v>
      </c>
      <c r="C45" s="208">
        <f>IF('Tariff Jul 2021'!BP33=0,91*'Tariff Jul 2021'!M33/100,(91*'Tariff Jul 2021'!M33/100)+'Tariff Jul 2021'!BP33/4)</f>
        <v>72.709000000000003</v>
      </c>
      <c r="D45" s="208">
        <f>IF('Tariff Jul 2021'!O33="",$H$5*'Tariff Jul 2021'!N33/100,IF($H$5&gt;='Tariff Jul 2021'!P33,('Tariff Jul 2021'!P33*'Tariff Jul 2021'!N33/100),($H$5*'Tariff Jul 2021'!N33/100)))</f>
        <v>221.04219927272723</v>
      </c>
      <c r="E45" s="208">
        <f>IF(AND('Tariff Jul 2021'!P33&gt;0,'Tariff Jul 2021'!R33&gt;0),IF($H$5&lt;'Tariff Jul 2021'!P33,0,IF($H$5&lt;=('Tariff Jul 2021'!R33+'Tariff Jul 2021'!P33),(($H$5-'Tariff Jul 2021'!P33)*'Tariff Jul 2021'!Q33/100),(('Tariff Jul 2021'!R33)*'Tariff Jul 2021'!Q33/100))),0)</f>
        <v>0</v>
      </c>
      <c r="F45" s="208">
        <f>IF(AND('Tariff Jul 2021'!Q33&gt;0,'Tariff Jul 2021'!S33&gt;0),IF($H$5&lt;('Tariff Jul 2021'!R33+'Tariff Jul 2021'!P33),0,IF($H$5&lt;=('Tariff Jul 2021'!T33+'Tariff Jul 2021'!R33+'Tariff Jul 2021'!P33),(($H$5-('Tariff Jul 2021'!R33+'Tariff Jul 2021'!P33))*'Tariff Jul 2021'!S33/100),('Tariff Jul 2021'!T33*'Tariff Jul 2021'!S33/100))),0)</f>
        <v>0</v>
      </c>
      <c r="G45" s="208">
        <f>IF('Tariff Jul 2021'!T33&gt;0,IF(($H$5&lt;'Tariff Jul 2021'!T33),(0),($H$5-'Tariff Jul 2021'!T33)*'Tariff Jul 2021'!U33/100),IF(AND('Tariff Jul 2021'!R33&gt;0,'Tariff Jul 2021'!T33=""),IF(($H$5&lt;'Tariff Jul 2021'!R33),(0),($H$5-'Tariff Jul 2021'!R33)*'Tariff Jul 2021'!S33/100),IF(AND('Tariff Jul 2021'!P33&gt;0,'Tariff Jul 2021'!R33=""),IF(($H$5&lt;'Tariff Jul 2021'!P33),(0),($H$5-'Tariff Jul 2021'!P33)*'Tariff Jul 2021'!Q33/100),0)))</f>
        <v>0</v>
      </c>
      <c r="H45" s="208">
        <f>($I$5)*'Tariff Jul 2021'!AE33/100</f>
        <v>27.703306472727274</v>
      </c>
      <c r="I45" s="208">
        <v>0</v>
      </c>
      <c r="J45" s="208">
        <f t="shared" si="27"/>
        <v>321.45450574545453</v>
      </c>
      <c r="K45" s="283">
        <f t="shared" si="30"/>
        <v>994.98202298181809</v>
      </c>
      <c r="L45" s="283">
        <f t="shared" si="28"/>
        <v>1285.8180229818181</v>
      </c>
      <c r="M45" s="191">
        <f t="shared" si="29"/>
        <v>1414.39982528</v>
      </c>
      <c r="N45" s="187">
        <f>'Tariff Jul 2021'!AZ33</f>
        <v>0</v>
      </c>
      <c r="O45" s="187">
        <f>'Tariff Jul 2021'!BA33</f>
        <v>0</v>
      </c>
      <c r="P45" s="187">
        <f>'Tariff Jul 2021'!BB33</f>
        <v>0</v>
      </c>
      <c r="Q45" s="187">
        <f>'Tariff Jul 2021'!BC33</f>
        <v>0</v>
      </c>
      <c r="R45" s="192">
        <f>($F$6*'Tariff Jul 2021'!AT33/100)*4</f>
        <v>95.83296</v>
      </c>
      <c r="S45" s="193" t="str">
        <f t="shared" si="20"/>
        <v>No discount</v>
      </c>
      <c r="T45" s="193" t="str">
        <f t="shared" si="21"/>
        <v>Exclusive</v>
      </c>
      <c r="U45" s="304">
        <f t="shared" si="22"/>
        <v>1285.8180229818181</v>
      </c>
      <c r="V45" s="283">
        <f t="shared" si="23"/>
        <v>1285.8180229818181</v>
      </c>
      <c r="W45" s="283">
        <f t="shared" si="24"/>
        <v>1189.9850629818181</v>
      </c>
      <c r="X45" s="283">
        <f t="shared" si="25"/>
        <v>1189.9850629818181</v>
      </c>
      <c r="Y45" s="285">
        <f t="shared" si="26"/>
        <v>1308.98356928</v>
      </c>
      <c r="Z45" s="285">
        <f t="shared" si="26"/>
        <v>1308.98356928</v>
      </c>
      <c r="AA45" s="194">
        <f>'Tariff Jul 2021'!AT33</f>
        <v>3</v>
      </c>
      <c r="AB45" s="195">
        <f>'Tariff Jul 2021'!BL33</f>
        <v>0</v>
      </c>
      <c r="AC45" s="195" t="str">
        <f>'Tariff Jul 2021'!BM33</f>
        <v>n</v>
      </c>
      <c r="AD45" s="196">
        <f>'Tariff Jul 2021'!G33</f>
        <v>42916</v>
      </c>
      <c r="AE45" s="327"/>
      <c r="AF45" s="327"/>
      <c r="AG45" s="327"/>
      <c r="AH45" s="327"/>
      <c r="AI45" s="327"/>
      <c r="AJ45" s="327"/>
      <c r="AK45" s="327"/>
      <c r="AL45" s="327"/>
      <c r="AM45" s="327"/>
      <c r="AN45" s="327"/>
      <c r="AO45" s="327"/>
      <c r="AP45" s="327"/>
      <c r="AQ45" s="327"/>
      <c r="AR45" s="327"/>
      <c r="AS45" s="327"/>
      <c r="AT45" s="327"/>
      <c r="AU45" s="327"/>
      <c r="AV45" s="327"/>
    </row>
    <row r="46" spans="1:48" s="187" customFormat="1" x14ac:dyDescent="0.15">
      <c r="A46" s="186" t="str">
        <f>'Tariff Jul 2021'!K34</f>
        <v>Momentum Energy</v>
      </c>
      <c r="B46" s="187" t="str">
        <f>'Tariff Jul 2021'!L34</f>
        <v>Solar Step Up</v>
      </c>
      <c r="C46" s="208">
        <f>IF('Tariff Jul 2021'!BP34=0,91*'Tariff Jul 2021'!M34/100,(91*'Tariff Jul 2021'!M34/100)+'Tariff Jul 2021'!BP34/4)</f>
        <v>92.464272727272714</v>
      </c>
      <c r="D46" s="208">
        <f>IF('Tariff Jul 2021'!O34="",$H$5*'Tariff Jul 2021'!N34/100,IF($H$5&gt;='Tariff Jul 2021'!P34,('Tariff Jul 2021'!P34*'Tariff Jul 2021'!N34/100),($H$5*'Tariff Jul 2021'!N34/100)))</f>
        <v>212.34332858181816</v>
      </c>
      <c r="E46" s="208">
        <f>IF(AND('Tariff Jul 2021'!P34&gt;0,'Tariff Jul 2021'!R34&gt;0),IF($H$5&lt;'Tariff Jul 2021'!P34,0,IF($H$5&lt;=('Tariff Jul 2021'!R34+'Tariff Jul 2021'!P34),(($H$5-'Tariff Jul 2021'!P34)*'Tariff Jul 2021'!Q34/100),(('Tariff Jul 2021'!R34)*'Tariff Jul 2021'!Q34/100))),0)</f>
        <v>0</v>
      </c>
      <c r="F46" s="208">
        <f>IF(AND('Tariff Jul 2021'!Q34&gt;0,'Tariff Jul 2021'!S34&gt;0),IF($H$5&lt;('Tariff Jul 2021'!R34+'Tariff Jul 2021'!P34),0,IF($H$5&lt;=('Tariff Jul 2021'!T34+'Tariff Jul 2021'!R34+'Tariff Jul 2021'!P34),(($H$5-('Tariff Jul 2021'!R34+'Tariff Jul 2021'!P34))*'Tariff Jul 2021'!S34/100),('Tariff Jul 2021'!T34*'Tariff Jul 2021'!S34/100))),0)</f>
        <v>0</v>
      </c>
      <c r="G46" s="208">
        <f>IF('Tariff Jul 2021'!T34&gt;0,IF(($H$5&lt;'Tariff Jul 2021'!T34),(0),($H$5-'Tariff Jul 2021'!T34)*'Tariff Jul 2021'!U34/100),IF(AND('Tariff Jul 2021'!R34&gt;0,'Tariff Jul 2021'!T34=""),IF(($H$5&lt;'Tariff Jul 2021'!R34),(0),($H$5-'Tariff Jul 2021'!R34)*'Tariff Jul 2021'!S34/100),IF(AND('Tariff Jul 2021'!P34&gt;0,'Tariff Jul 2021'!R34=""),IF(($H$5&lt;'Tariff Jul 2021'!P34),(0),($H$5-'Tariff Jul 2021'!P34)*'Tariff Jul 2021'!Q34/100),0)))</f>
        <v>0</v>
      </c>
      <c r="H46" s="208">
        <f>($I$5)*'Tariff Jul 2021'!AE34/100</f>
        <v>26.583489163636358</v>
      </c>
      <c r="I46" s="208">
        <v>0</v>
      </c>
      <c r="J46" s="208">
        <f t="shared" si="27"/>
        <v>331.39109047272723</v>
      </c>
      <c r="K46" s="283">
        <f t="shared" si="30"/>
        <v>955.70727098181806</v>
      </c>
      <c r="L46" s="283">
        <f t="shared" si="28"/>
        <v>1325.5643618909089</v>
      </c>
      <c r="M46" s="191">
        <f t="shared" si="29"/>
        <v>1458.12079808</v>
      </c>
      <c r="N46" s="187">
        <f>'Tariff Jul 2021'!AZ34</f>
        <v>0</v>
      </c>
      <c r="O46" s="187">
        <f>'Tariff Jul 2021'!BA34</f>
        <v>0</v>
      </c>
      <c r="P46" s="187">
        <f>'Tariff Jul 2021'!BB34</f>
        <v>0</v>
      </c>
      <c r="Q46" s="187">
        <f>'Tariff Jul 2021'!BC34</f>
        <v>0</v>
      </c>
      <c r="R46" s="192">
        <f>($F$6*'Tariff Jul 2021'!AT34/100)*4</f>
        <v>319.44320000000005</v>
      </c>
      <c r="S46" s="193" t="str">
        <f t="shared" si="20"/>
        <v>No discount</v>
      </c>
      <c r="T46" s="193" t="str">
        <f t="shared" si="21"/>
        <v>Exclusive</v>
      </c>
      <c r="U46" s="304">
        <f t="shared" si="22"/>
        <v>1325.5643618909089</v>
      </c>
      <c r="V46" s="283">
        <f t="shared" si="23"/>
        <v>1325.5643618909089</v>
      </c>
      <c r="W46" s="283">
        <f t="shared" si="24"/>
        <v>1006.1211618909089</v>
      </c>
      <c r="X46" s="283">
        <f t="shared" si="25"/>
        <v>1006.1211618909089</v>
      </c>
      <c r="Y46" s="285">
        <f t="shared" si="26"/>
        <v>1106.7332780799998</v>
      </c>
      <c r="Z46" s="285">
        <f t="shared" si="26"/>
        <v>1106.7332780799998</v>
      </c>
      <c r="AA46" s="194">
        <f>'Tariff Jul 2021'!AT34</f>
        <v>10</v>
      </c>
      <c r="AB46" s="195">
        <f>'Tariff Jul 2021'!BL34</f>
        <v>0</v>
      </c>
      <c r="AC46" s="195" t="str">
        <f>'Tariff Jul 2021'!BM34</f>
        <v>n</v>
      </c>
      <c r="AD46" s="196">
        <f>'Tariff Jul 2021'!G34</f>
        <v>42916</v>
      </c>
      <c r="AE46" s="327"/>
      <c r="AF46" s="327"/>
      <c r="AG46" s="327"/>
      <c r="AH46" s="327"/>
      <c r="AI46" s="327"/>
      <c r="AJ46" s="327"/>
      <c r="AK46" s="327"/>
      <c r="AL46" s="327"/>
      <c r="AM46" s="327"/>
      <c r="AN46" s="327"/>
      <c r="AO46" s="327"/>
      <c r="AP46" s="327"/>
      <c r="AQ46" s="327"/>
      <c r="AR46" s="327"/>
      <c r="AS46" s="327"/>
      <c r="AT46" s="327"/>
      <c r="AU46" s="327"/>
      <c r="AV46" s="327"/>
    </row>
    <row r="47" spans="1:48" s="187" customFormat="1" x14ac:dyDescent="0.15">
      <c r="A47" s="186" t="str">
        <f>'Tariff Jul 2021'!K35</f>
        <v>Origin Energy</v>
      </c>
      <c r="B47" s="187" t="str">
        <f>'Tariff Jul 2021'!L35</f>
        <v>Solar Boost</v>
      </c>
      <c r="C47" s="208">
        <f>IF('Tariff Jul 2021'!BP35=0,91*'Tariff Jul 2021'!M35/100,(91*'Tariff Jul 2021'!M35/100)+'Tariff Jul 2021'!BP35/4)</f>
        <v>74.371818181818171</v>
      </c>
      <c r="D47" s="208">
        <f>IF('Tariff Jul 2021'!O35="",$H$5*'Tariff Jul 2021'!N35/100,IF($H$5&gt;='Tariff Jul 2021'!P35,('Tariff Jul 2021'!P35*'Tariff Jul 2021'!N35/100),($H$5*'Tariff Jul 2021'!N35/100)))</f>
        <v>225.19688378181814</v>
      </c>
      <c r="E47" s="208">
        <f>IF(AND('Tariff Jul 2021'!P35&gt;0,'Tariff Jul 2021'!R35&gt;0),IF($H$5&lt;'Tariff Jul 2021'!P35,0,IF($H$5&lt;=('Tariff Jul 2021'!R35+'Tariff Jul 2021'!P35),(($H$5-'Tariff Jul 2021'!P35)*'Tariff Jul 2021'!Q35/100),(('Tariff Jul 2021'!R35)*'Tariff Jul 2021'!Q35/100))),0)</f>
        <v>0</v>
      </c>
      <c r="F47" s="208">
        <f>IF(AND('Tariff Jul 2021'!Q35&gt;0,'Tariff Jul 2021'!S35&gt;0),IF($H$5&lt;('Tariff Jul 2021'!R35+'Tariff Jul 2021'!P35),0,IF($H$5&lt;=('Tariff Jul 2021'!T35+'Tariff Jul 2021'!R35+'Tariff Jul 2021'!P35),(($H$5-('Tariff Jul 2021'!R35+'Tariff Jul 2021'!P35))*'Tariff Jul 2021'!S35/100),('Tariff Jul 2021'!T35*'Tariff Jul 2021'!S35/100))),0)</f>
        <v>0</v>
      </c>
      <c r="G47" s="208">
        <f>IF('Tariff Jul 2021'!T35&gt;0,IF(($H$5&lt;'Tariff Jul 2021'!T35),(0),($H$5-'Tariff Jul 2021'!T35)*'Tariff Jul 2021'!U35/100),IF(AND('Tariff Jul 2021'!R35&gt;0,'Tariff Jul 2021'!T35=""),IF(($H$5&lt;'Tariff Jul 2021'!R35),(0),($H$5-'Tariff Jul 2021'!R35)*'Tariff Jul 2021'!S35/100),IF(AND('Tariff Jul 2021'!P35&gt;0,'Tariff Jul 2021'!R35=""),IF(($H$5&lt;'Tariff Jul 2021'!P35),(0),($H$5-'Tariff Jul 2021'!P35)*'Tariff Jul 2021'!Q35/100),0)))</f>
        <v>0</v>
      </c>
      <c r="H47" s="208">
        <f>($I$5)*'Tariff Jul 2021'!AE35/100</f>
        <v>25.836944290909088</v>
      </c>
      <c r="I47" s="208">
        <v>0</v>
      </c>
      <c r="J47" s="208">
        <f t="shared" si="27"/>
        <v>325.40564625454545</v>
      </c>
      <c r="K47" s="283">
        <f t="shared" si="30"/>
        <v>1004.135312290909</v>
      </c>
      <c r="L47" s="283">
        <f t="shared" si="28"/>
        <v>1301.6225850181818</v>
      </c>
      <c r="M47" s="191">
        <f t="shared" si="29"/>
        <v>1431.7848435200001</v>
      </c>
      <c r="N47" s="187">
        <f>'Tariff Jul 2021'!AZ35</f>
        <v>0</v>
      </c>
      <c r="O47" s="187">
        <f>'Tariff Jul 2021'!BA35</f>
        <v>0</v>
      </c>
      <c r="P47" s="187">
        <f>'Tariff Jul 2021'!BB35</f>
        <v>0</v>
      </c>
      <c r="Q47" s="187">
        <f>'Tariff Jul 2021'!BC35</f>
        <v>0</v>
      </c>
      <c r="R47" s="192">
        <f>($F$6*'Tariff Jul 2021'!AT35/100)*4</f>
        <v>415.27616</v>
      </c>
      <c r="S47" s="193" t="str">
        <f t="shared" si="20"/>
        <v>No discount</v>
      </c>
      <c r="T47" s="193" t="str">
        <f t="shared" si="21"/>
        <v>Inclusive</v>
      </c>
      <c r="U47" s="304">
        <f t="shared" si="22"/>
        <v>1301.6225850181818</v>
      </c>
      <c r="V47" s="283">
        <f t="shared" si="23"/>
        <v>1301.6225850181818</v>
      </c>
      <c r="W47" s="283">
        <f t="shared" si="24"/>
        <v>886.34642501818178</v>
      </c>
      <c r="X47" s="283">
        <f t="shared" si="25"/>
        <v>886.34642501818178</v>
      </c>
      <c r="Y47" s="285">
        <f t="shared" si="26"/>
        <v>974.98106752000001</v>
      </c>
      <c r="Z47" s="285">
        <f t="shared" si="26"/>
        <v>974.98106752000001</v>
      </c>
      <c r="AA47" s="194">
        <f>'Tariff Jul 2021'!AT35</f>
        <v>13</v>
      </c>
      <c r="AB47" s="195">
        <f>'Tariff Jul 2021'!BL35</f>
        <v>0</v>
      </c>
      <c r="AC47" s="195" t="str">
        <f>'Tariff Jul 2021'!BM35</f>
        <v>n</v>
      </c>
      <c r="AD47" s="196">
        <f>'Tariff Jul 2021'!G35</f>
        <v>42916</v>
      </c>
      <c r="AE47" s="327"/>
      <c r="AF47" s="327"/>
      <c r="AG47" s="327"/>
      <c r="AH47" s="327"/>
      <c r="AI47" s="327"/>
      <c r="AJ47" s="327"/>
      <c r="AK47" s="327"/>
      <c r="AL47" s="327"/>
      <c r="AM47" s="327"/>
      <c r="AN47" s="327"/>
      <c r="AO47" s="327"/>
      <c r="AP47" s="327"/>
      <c r="AQ47" s="327"/>
      <c r="AR47" s="327"/>
      <c r="AS47" s="327"/>
      <c r="AT47" s="327"/>
      <c r="AU47" s="327"/>
      <c r="AV47" s="327"/>
    </row>
    <row r="48" spans="1:48" s="187" customFormat="1" x14ac:dyDescent="0.15">
      <c r="A48" s="186" t="str">
        <f>'Tariff Jul 2021'!K36</f>
        <v>Powerdirect</v>
      </c>
      <c r="B48" s="187" t="str">
        <f>'Tariff Jul 2021'!L36</f>
        <v>Rate Saver</v>
      </c>
      <c r="C48" s="208">
        <f>IF('Tariff Jul 2021'!BP36=0,91*'Tariff Jul 2021'!M36/100,(91*'Tariff Jul 2021'!M36/100)+'Tariff Jul 2021'!BP36/4)</f>
        <v>60.498454545454535</v>
      </c>
      <c r="D48" s="208">
        <f>IF('Tariff Jul 2021'!O36="",$H$5*'Tariff Jul 2021'!N36/100,IF($H$5&gt;='Tariff Jul 2021'!P36,('Tariff Jul 2021'!P36*'Tariff Jul 2021'!N36/100),($H$5*'Tariff Jul 2021'!N36/100)))</f>
        <v>211.10990661818181</v>
      </c>
      <c r="E48" s="208">
        <f>IF(AND('Tariff Jul 2021'!P36&gt;0,'Tariff Jul 2021'!R36&gt;0),IF($H$5&lt;'Tariff Jul 2021'!P36,0,IF($H$5&lt;=('Tariff Jul 2021'!R36+'Tariff Jul 2021'!P36),(($H$5-'Tariff Jul 2021'!P36)*'Tariff Jul 2021'!Q36/100),(('Tariff Jul 2021'!R36)*'Tariff Jul 2021'!Q36/100))),0)</f>
        <v>0</v>
      </c>
      <c r="F48" s="208">
        <f>IF(AND('Tariff Jul 2021'!Q36&gt;0,'Tariff Jul 2021'!S36&gt;0),IF($H$5&lt;('Tariff Jul 2021'!R36+'Tariff Jul 2021'!P36),0,IF($H$5&lt;=('Tariff Jul 2021'!T36+'Tariff Jul 2021'!R36+'Tariff Jul 2021'!P36),(($H$5-('Tariff Jul 2021'!R36+'Tariff Jul 2021'!P36))*'Tariff Jul 2021'!S36/100),('Tariff Jul 2021'!T36*'Tariff Jul 2021'!S36/100))),0)</f>
        <v>0</v>
      </c>
      <c r="G48" s="208">
        <f>IF('Tariff Jul 2021'!T36&gt;0,IF(($H$5&lt;'Tariff Jul 2021'!T36),(0),($H$5-'Tariff Jul 2021'!T36)*'Tariff Jul 2021'!U36/100),IF(AND('Tariff Jul 2021'!R36&gt;0,'Tariff Jul 2021'!T36=""),IF(($H$5&lt;'Tariff Jul 2021'!R36),(0),($H$5-'Tariff Jul 2021'!R36)*'Tariff Jul 2021'!S36/100),IF(AND('Tariff Jul 2021'!P36&gt;0,'Tariff Jul 2021'!R36=""),IF(($H$5&lt;'Tariff Jul 2021'!P36),(0),($H$5-'Tariff Jul 2021'!P36)*'Tariff Jul 2021'!Q36/100),0)))</f>
        <v>0</v>
      </c>
      <c r="H48" s="208">
        <f>($I$5)*'Tariff Jul 2021'!AE36/100</f>
        <v>25.366296436363637</v>
      </c>
      <c r="I48" s="208">
        <v>0</v>
      </c>
      <c r="J48" s="208">
        <f t="shared" si="27"/>
        <v>296.9746576</v>
      </c>
      <c r="K48" s="283">
        <f t="shared" si="30"/>
        <v>945.90481221818186</v>
      </c>
      <c r="L48" s="283">
        <f t="shared" si="28"/>
        <v>1187.8986304</v>
      </c>
      <c r="M48" s="191">
        <f t="shared" si="29"/>
        <v>1306.68849344</v>
      </c>
      <c r="N48" s="187">
        <f>'Tariff Jul 2021'!AZ36</f>
        <v>0</v>
      </c>
      <c r="O48" s="187">
        <f>'Tariff Jul 2021'!BA36</f>
        <v>0</v>
      </c>
      <c r="P48" s="187">
        <f>'Tariff Jul 2021'!BB36</f>
        <v>0</v>
      </c>
      <c r="Q48" s="187">
        <f>'Tariff Jul 2021'!BC36</f>
        <v>0</v>
      </c>
      <c r="R48" s="192">
        <f>($F$6*'Tariff Jul 2021'!AT36/100)*4</f>
        <v>255.55456000000001</v>
      </c>
      <c r="S48" s="193" t="str">
        <f t="shared" si="20"/>
        <v>No discount</v>
      </c>
      <c r="T48" s="193" t="str">
        <f t="shared" si="21"/>
        <v>Exclusive</v>
      </c>
      <c r="U48" s="304">
        <f t="shared" si="22"/>
        <v>1187.8986304</v>
      </c>
      <c r="V48" s="283">
        <f t="shared" si="23"/>
        <v>1187.8986304</v>
      </c>
      <c r="W48" s="283">
        <f t="shared" si="24"/>
        <v>932.34407039999996</v>
      </c>
      <c r="X48" s="283">
        <f t="shared" si="25"/>
        <v>932.34407039999996</v>
      </c>
      <c r="Y48" s="285">
        <f t="shared" si="26"/>
        <v>1025.5784774400001</v>
      </c>
      <c r="Z48" s="285">
        <f t="shared" si="26"/>
        <v>1025.5784774400001</v>
      </c>
      <c r="AA48" s="194">
        <f>'Tariff Jul 2021'!AT36</f>
        <v>8</v>
      </c>
      <c r="AB48" s="195">
        <f>'Tariff Jul 2021'!BL36</f>
        <v>0</v>
      </c>
      <c r="AC48" s="195" t="str">
        <f>'Tariff Jul 2021'!BM36</f>
        <v>n</v>
      </c>
      <c r="AD48" s="196">
        <f>'Tariff Jul 2021'!G36</f>
        <v>42922</v>
      </c>
      <c r="AE48" s="327"/>
      <c r="AF48" s="327"/>
      <c r="AG48" s="327"/>
      <c r="AH48" s="327"/>
      <c r="AI48" s="327"/>
      <c r="AJ48" s="327"/>
      <c r="AK48" s="327"/>
      <c r="AL48" s="327"/>
      <c r="AM48" s="327"/>
      <c r="AN48" s="327"/>
      <c r="AO48" s="327"/>
      <c r="AP48" s="327"/>
      <c r="AQ48" s="327"/>
      <c r="AR48" s="327"/>
      <c r="AS48" s="327"/>
      <c r="AT48" s="327"/>
      <c r="AU48" s="327"/>
      <c r="AV48" s="327"/>
    </row>
    <row r="49" spans="1:48" s="187" customFormat="1" x14ac:dyDescent="0.15">
      <c r="A49" s="186" t="str">
        <f>'Tariff Jul 2021'!K37</f>
        <v>Red Energy</v>
      </c>
      <c r="B49" s="187" t="str">
        <f>'Tariff Jul 2021'!L37</f>
        <v>Living Energy Saver</v>
      </c>
      <c r="C49" s="208">
        <f>IF('Tariff Jul 2021'!BP37=0,91*'Tariff Jul 2021'!M37/100,(91*'Tariff Jul 2021'!M37/100)+'Tariff Jul 2021'!BP37/4)</f>
        <v>74.62</v>
      </c>
      <c r="D49" s="208">
        <f>IF('Tariff Jul 2021'!O37="",$H$5*'Tariff Jul 2021'!N37/100,IF($H$5&gt;='Tariff Jul 2021'!P37,('Tariff Jul 2021'!P37*'Tariff Jul 2021'!N37/100),($H$5*'Tariff Jul 2021'!N37/100)))</f>
        <v>222.08087039999998</v>
      </c>
      <c r="E49" s="208">
        <f>IF(AND('Tariff Jul 2021'!P37&gt;0,'Tariff Jul 2021'!R37&gt;0),IF($H$5&lt;'Tariff Jul 2021'!P37,0,IF($H$5&lt;=('Tariff Jul 2021'!R37+'Tariff Jul 2021'!P37),(($H$5-'Tariff Jul 2021'!P37)*'Tariff Jul 2021'!Q37/100),(('Tariff Jul 2021'!R37)*'Tariff Jul 2021'!Q37/100))),0)</f>
        <v>0</v>
      </c>
      <c r="F49" s="208">
        <f>IF(AND('Tariff Jul 2021'!Q37&gt;0,'Tariff Jul 2021'!S37&gt;0),IF($H$5&lt;('Tariff Jul 2021'!R37+'Tariff Jul 2021'!P37),0,IF($H$5&lt;=('Tariff Jul 2021'!T37+'Tariff Jul 2021'!R37+'Tariff Jul 2021'!P37),(($H$5-('Tariff Jul 2021'!R37+'Tariff Jul 2021'!P37))*'Tariff Jul 2021'!S37/100),('Tariff Jul 2021'!T37*'Tariff Jul 2021'!S37/100))),0)</f>
        <v>0</v>
      </c>
      <c r="G49" s="208">
        <f>IF('Tariff Jul 2021'!T37&gt;0,IF(($H$5&lt;'Tariff Jul 2021'!T37),(0),($H$5-'Tariff Jul 2021'!T37)*'Tariff Jul 2021'!U37/100),IF(AND('Tariff Jul 2021'!R37&gt;0,'Tariff Jul 2021'!T37=""),IF(($H$5&lt;'Tariff Jul 2021'!R37),(0),($H$5-'Tariff Jul 2021'!R37)*'Tariff Jul 2021'!S37/100),IF(AND('Tariff Jul 2021'!P37&gt;0,'Tariff Jul 2021'!R37=""),IF(($H$5&lt;'Tariff Jul 2021'!P37),(0),($H$5-'Tariff Jul 2021'!P37)*'Tariff Jul 2021'!Q37/100),0)))</f>
        <v>0</v>
      </c>
      <c r="H49" s="208">
        <f>($I$5)*'Tariff Jul 2021'!AE37/100</f>
        <v>27.703306472727274</v>
      </c>
      <c r="I49" s="208">
        <v>0</v>
      </c>
      <c r="J49" s="208">
        <f t="shared" si="27"/>
        <v>324.40417687272725</v>
      </c>
      <c r="K49" s="283">
        <f t="shared" si="30"/>
        <v>999.13670749090898</v>
      </c>
      <c r="L49" s="283">
        <f t="shared" si="28"/>
        <v>1297.616707490909</v>
      </c>
      <c r="M49" s="191">
        <f t="shared" si="29"/>
        <v>1427.3783782400001</v>
      </c>
      <c r="N49" s="187">
        <f>'Tariff Jul 2021'!AZ37</f>
        <v>0</v>
      </c>
      <c r="O49" s="187">
        <f>'Tariff Jul 2021'!BA37</f>
        <v>0</v>
      </c>
      <c r="P49" s="187">
        <f>'Tariff Jul 2021'!BB37</f>
        <v>0</v>
      </c>
      <c r="Q49" s="187">
        <f>'Tariff Jul 2021'!BC37</f>
        <v>0</v>
      </c>
      <c r="R49" s="192">
        <f>($F$6*'Tariff Jul 2021'!AT37/100)*4</f>
        <v>95.83296</v>
      </c>
      <c r="S49" s="193" t="str">
        <f t="shared" si="20"/>
        <v>No discount</v>
      </c>
      <c r="T49" s="193" t="str">
        <f t="shared" si="21"/>
        <v>Inclusive</v>
      </c>
      <c r="U49" s="304">
        <f t="shared" si="22"/>
        <v>1297.616707490909</v>
      </c>
      <c r="V49" s="283">
        <f t="shared" si="23"/>
        <v>1297.616707490909</v>
      </c>
      <c r="W49" s="283">
        <f t="shared" si="24"/>
        <v>1201.783747490909</v>
      </c>
      <c r="X49" s="283">
        <f t="shared" si="25"/>
        <v>1201.783747490909</v>
      </c>
      <c r="Y49" s="285">
        <f t="shared" si="26"/>
        <v>1321.9621222400001</v>
      </c>
      <c r="Z49" s="285">
        <f t="shared" si="26"/>
        <v>1321.9621222400001</v>
      </c>
      <c r="AA49" s="194">
        <f>'Tariff Jul 2021'!AT37</f>
        <v>3</v>
      </c>
      <c r="AB49" s="195">
        <f>'Tariff Jul 2021'!BL37</f>
        <v>0</v>
      </c>
      <c r="AC49" s="195" t="str">
        <f>'Tariff Jul 2021'!BM37</f>
        <v>n</v>
      </c>
      <c r="AD49" s="196">
        <f>'Tariff Jul 2021'!G37</f>
        <v>42916</v>
      </c>
      <c r="AE49" s="327"/>
      <c r="AF49" s="327"/>
      <c r="AG49" s="327"/>
      <c r="AH49" s="327"/>
      <c r="AI49" s="327"/>
      <c r="AJ49" s="327"/>
      <c r="AK49" s="327"/>
      <c r="AL49" s="327"/>
      <c r="AM49" s="327"/>
      <c r="AN49" s="327"/>
      <c r="AO49" s="327"/>
      <c r="AP49" s="327"/>
      <c r="AQ49" s="327"/>
      <c r="AR49" s="327"/>
      <c r="AS49" s="327"/>
      <c r="AT49" s="327"/>
      <c r="AU49" s="327"/>
      <c r="AV49" s="327"/>
    </row>
    <row r="50" spans="1:48" s="187" customFormat="1" x14ac:dyDescent="0.15">
      <c r="A50" s="186" t="str">
        <f>'Tariff Jul 2021'!K38</f>
        <v>Energy Locals</v>
      </c>
      <c r="B50" s="187" t="str">
        <f>'Tariff Jul 2021'!L38</f>
        <v>Local Member</v>
      </c>
      <c r="C50" s="208">
        <f>IF('Tariff Jul 2021'!BP38=0,91*'Tariff Jul 2021'!M38/100,(91*'Tariff Jul 2021'!M38/100)+'Tariff Jul 2021'!BP38/4)</f>
        <v>84</v>
      </c>
      <c r="D50" s="208">
        <f>IF('Tariff Jul 2021'!O38="",$H$5*'Tariff Jul 2021'!N38/100,IF($H$5&gt;='Tariff Jul 2021'!P38,('Tariff Jul 2021'!P38*'Tariff Jul 2021'!N38/100),($H$5*'Tariff Jul 2021'!N38/100)))</f>
        <v>175.34066967272727</v>
      </c>
      <c r="E50" s="208">
        <f>IF(AND('Tariff Jul 2021'!P38&gt;0,'Tariff Jul 2021'!R38&gt;0),IF($H$5&lt;'Tariff Jul 2021'!P38,0,IF($H$5&lt;=('Tariff Jul 2021'!R38+'Tariff Jul 2021'!P38),(($H$5-'Tariff Jul 2021'!P38)*'Tariff Jul 2021'!Q38/100),(('Tariff Jul 2021'!R38)*'Tariff Jul 2021'!Q38/100))),0)</f>
        <v>0</v>
      </c>
      <c r="F50" s="208">
        <f>IF(AND('Tariff Jul 2021'!Q38&gt;0,'Tariff Jul 2021'!S38&gt;0),IF($H$5&lt;('Tariff Jul 2021'!R38+'Tariff Jul 2021'!P38),0,IF($H$5&lt;=('Tariff Jul 2021'!T38+'Tariff Jul 2021'!R38+'Tariff Jul 2021'!P38),(($H$5-('Tariff Jul 2021'!R38+'Tariff Jul 2021'!P38))*'Tariff Jul 2021'!S38/100),('Tariff Jul 2021'!T38*'Tariff Jul 2021'!S38/100))),0)</f>
        <v>0</v>
      </c>
      <c r="G50" s="208">
        <f>IF('Tariff Jul 2021'!T38&gt;0,IF(($H$5&lt;'Tariff Jul 2021'!T38),(0),($H$5-'Tariff Jul 2021'!T38)*'Tariff Jul 2021'!U38/100),IF(AND('Tariff Jul 2021'!R38&gt;0,'Tariff Jul 2021'!T38=""),IF(($H$5&lt;'Tariff Jul 2021'!R38),(0),($H$5-'Tariff Jul 2021'!R38)*'Tariff Jul 2021'!S38/100),IF(AND('Tariff Jul 2021'!P38&gt;0,'Tariff Jul 2021'!R38=""),IF(($H$5&lt;'Tariff Jul 2021'!P38),(0),($H$5-'Tariff Jul 2021'!P38)*'Tariff Jul 2021'!Q38/100),0)))</f>
        <v>0</v>
      </c>
      <c r="H50" s="208">
        <f>($I$5)*'Tariff Jul 2021'!AE38/100</f>
        <v>27.589701818181815</v>
      </c>
      <c r="I50" s="208">
        <v>0</v>
      </c>
      <c r="J50" s="208">
        <f t="shared" si="27"/>
        <v>286.93037149090907</v>
      </c>
      <c r="K50" s="283">
        <f t="shared" si="30"/>
        <v>811.72148596363627</v>
      </c>
      <c r="L50" s="283">
        <f t="shared" si="28"/>
        <v>1147.7214859636363</v>
      </c>
      <c r="M50" s="191">
        <f t="shared" si="29"/>
        <v>1262.4936345599999</v>
      </c>
      <c r="N50" s="187">
        <f>'Tariff Jul 2021'!AZ38</f>
        <v>0</v>
      </c>
      <c r="O50" s="187">
        <f>'Tariff Jul 2021'!BA38</f>
        <v>0</v>
      </c>
      <c r="P50" s="187">
        <f>'Tariff Jul 2021'!BB38</f>
        <v>0</v>
      </c>
      <c r="Q50" s="187">
        <f>'Tariff Jul 2021'!BC38</f>
        <v>0</v>
      </c>
      <c r="R50" s="192">
        <f>($F$6*'Tariff Jul 2021'!AT38/100)*4</f>
        <v>271.52672000000001</v>
      </c>
      <c r="S50" s="193" t="str">
        <f t="shared" si="20"/>
        <v>No discount</v>
      </c>
      <c r="T50" s="193" t="str">
        <f t="shared" si="21"/>
        <v>Exclusive</v>
      </c>
      <c r="U50" s="304">
        <f t="shared" si="22"/>
        <v>1147.7214859636363</v>
      </c>
      <c r="V50" s="283">
        <f t="shared" si="23"/>
        <v>1147.7214859636363</v>
      </c>
      <c r="W50" s="283">
        <f t="shared" si="24"/>
        <v>876.1947659636362</v>
      </c>
      <c r="X50" s="283">
        <f t="shared" si="25"/>
        <v>876.1947659636362</v>
      </c>
      <c r="Y50" s="285">
        <f t="shared" si="26"/>
        <v>963.81424255999991</v>
      </c>
      <c r="Z50" s="285">
        <f t="shared" si="26"/>
        <v>963.81424255999991</v>
      </c>
      <c r="AA50" s="194">
        <f>'Tariff Jul 2021'!AT38</f>
        <v>8.5</v>
      </c>
      <c r="AB50" s="195">
        <f>'Tariff Jul 2021'!BL38</f>
        <v>0</v>
      </c>
      <c r="AC50" s="195" t="str">
        <f>'Tariff Jul 2021'!BM38</f>
        <v>n</v>
      </c>
      <c r="AD50" s="196">
        <f>'Tariff Jul 2021'!G38</f>
        <v>42658</v>
      </c>
      <c r="AE50" s="327"/>
      <c r="AF50" s="327"/>
      <c r="AG50" s="327"/>
      <c r="AH50" s="327"/>
      <c r="AI50" s="327"/>
      <c r="AJ50" s="327"/>
      <c r="AK50" s="327"/>
      <c r="AL50" s="327"/>
      <c r="AM50" s="327"/>
      <c r="AN50" s="327"/>
      <c r="AO50" s="327"/>
      <c r="AP50" s="327"/>
      <c r="AQ50" s="327"/>
      <c r="AR50" s="327"/>
      <c r="AS50" s="327"/>
      <c r="AT50" s="327"/>
      <c r="AU50" s="327"/>
      <c r="AV50" s="327"/>
    </row>
    <row r="51" spans="1:48" s="187" customFormat="1" x14ac:dyDescent="0.15">
      <c r="A51" s="186" t="str">
        <f>'Tariff Jul 2021'!K39</f>
        <v>Simply Energy</v>
      </c>
      <c r="B51" s="187" t="str">
        <f>'Tariff Jul 2021'!L39</f>
        <v>Energy Saver</v>
      </c>
      <c r="C51" s="208">
        <f>IF('Tariff Jul 2021'!BP39=0,91*'Tariff Jul 2021'!M39/100,(91*'Tariff Jul 2021'!M39/100)+'Tariff Jul 2021'!BP39/4)</f>
        <v>88.27</v>
      </c>
      <c r="D51" s="208">
        <f>IF('Tariff Jul 2021'!O39="",$H$5*'Tariff Jul 2021'!N39/100,IF($H$5&gt;='Tariff Jul 2021'!P39,('Tariff Jul 2021'!P39*'Tariff Jul 2021'!N39/100),($H$5*'Tariff Jul 2021'!N39/100)))</f>
        <v>215.19967418181815</v>
      </c>
      <c r="E51" s="208">
        <f>IF(AND('Tariff Jul 2021'!P39&gt;0,'Tariff Jul 2021'!R39&gt;0),IF($H$5&lt;'Tariff Jul 2021'!P39,0,IF($H$5&lt;=('Tariff Jul 2021'!R39+'Tariff Jul 2021'!P39),(($H$5-'Tariff Jul 2021'!P39)*'Tariff Jul 2021'!Q39/100),(('Tariff Jul 2021'!R39)*'Tariff Jul 2021'!Q39/100))),0)</f>
        <v>0</v>
      </c>
      <c r="F51" s="208">
        <f>IF(AND('Tariff Jul 2021'!Q39&gt;0,'Tariff Jul 2021'!S39&gt;0),IF($H$5&lt;('Tariff Jul 2021'!R39+'Tariff Jul 2021'!P39),0,IF($H$5&lt;=('Tariff Jul 2021'!T39+'Tariff Jul 2021'!R39+'Tariff Jul 2021'!P39),(($H$5-('Tariff Jul 2021'!R39+'Tariff Jul 2021'!P39))*'Tariff Jul 2021'!S39/100),('Tariff Jul 2021'!T39*'Tariff Jul 2021'!S39/100))),0)</f>
        <v>0</v>
      </c>
      <c r="G51" s="208">
        <f>IF('Tariff Jul 2021'!T39&gt;0,IF(($H$5&lt;'Tariff Jul 2021'!T39),(0),($H$5-'Tariff Jul 2021'!T39)*'Tariff Jul 2021'!U39/100),IF(AND('Tariff Jul 2021'!R39&gt;0,'Tariff Jul 2021'!T39=""),IF(($H$5&lt;'Tariff Jul 2021'!R39),(0),($H$5-'Tariff Jul 2021'!R39)*'Tariff Jul 2021'!S39/100),IF(AND('Tariff Jul 2021'!P39&gt;0,'Tariff Jul 2021'!R39=""),IF(($H$5&lt;'Tariff Jul 2021'!P39),(0),($H$5-'Tariff Jul 2021'!P39)*'Tariff Jul 2021'!Q39/100),0)))</f>
        <v>0</v>
      </c>
      <c r="H51" s="208">
        <f>($I$5)*'Tariff Jul 2021'!AE39/100</f>
        <v>26.047924363636362</v>
      </c>
      <c r="I51" s="208">
        <v>0</v>
      </c>
      <c r="J51" s="208">
        <f t="shared" si="27"/>
        <v>329.51759854545452</v>
      </c>
      <c r="K51" s="283">
        <f t="shared" si="30"/>
        <v>964.99039418181815</v>
      </c>
      <c r="L51" s="283">
        <f t="shared" si="28"/>
        <v>1318.0703941818181</v>
      </c>
      <c r="M51" s="191">
        <f t="shared" si="29"/>
        <v>1449.8774335999999</v>
      </c>
      <c r="N51" s="187">
        <f>'Tariff Jul 2021'!AZ39</f>
        <v>10</v>
      </c>
      <c r="O51" s="187">
        <f>'Tariff Jul 2021'!BA39</f>
        <v>0</v>
      </c>
      <c r="P51" s="187">
        <f>'Tariff Jul 2021'!BB39</f>
        <v>0</v>
      </c>
      <c r="Q51" s="187">
        <f>'Tariff Jul 2021'!BC39</f>
        <v>0</v>
      </c>
      <c r="R51" s="192">
        <f>($F$6*'Tariff Jul 2021'!AT39/100)*4</f>
        <v>143.74944000000002</v>
      </c>
      <c r="S51" s="193" t="str">
        <f t="shared" si="20"/>
        <v>Guaranteed off bill</v>
      </c>
      <c r="T51" s="193" t="str">
        <f t="shared" si="21"/>
        <v>Exclusive</v>
      </c>
      <c r="U51" s="304">
        <f t="shared" si="22"/>
        <v>1186.2633547636362</v>
      </c>
      <c r="V51" s="283">
        <f t="shared" si="23"/>
        <v>1186.2633547636362</v>
      </c>
      <c r="W51" s="283">
        <f t="shared" si="24"/>
        <v>1042.5139147636362</v>
      </c>
      <c r="X51" s="283">
        <f t="shared" si="25"/>
        <v>1042.5139147636362</v>
      </c>
      <c r="Y51" s="285">
        <f t="shared" si="26"/>
        <v>1146.76530624</v>
      </c>
      <c r="Z51" s="285">
        <f t="shared" si="26"/>
        <v>1146.76530624</v>
      </c>
      <c r="AA51" s="194">
        <f>'Tariff Jul 2021'!AT39</f>
        <v>4.5</v>
      </c>
      <c r="AB51" s="195">
        <f>'Tariff Jul 2021'!BL39</f>
        <v>0</v>
      </c>
      <c r="AC51" s="195" t="str">
        <f>'Tariff Jul 2021'!BM39</f>
        <v>n</v>
      </c>
      <c r="AD51" s="196">
        <f>'Tariff Jul 2021'!G39</f>
        <v>42916</v>
      </c>
      <c r="AE51" s="327"/>
      <c r="AF51" s="327"/>
      <c r="AG51" s="327"/>
      <c r="AH51" s="327"/>
      <c r="AI51" s="327"/>
      <c r="AJ51" s="327"/>
      <c r="AK51" s="327"/>
      <c r="AL51" s="327"/>
      <c r="AM51" s="327"/>
      <c r="AN51" s="327"/>
      <c r="AO51" s="327"/>
      <c r="AP51" s="327"/>
      <c r="AQ51" s="327"/>
      <c r="AR51" s="327"/>
      <c r="AS51" s="327"/>
      <c r="AT51" s="327"/>
      <c r="AU51" s="327"/>
      <c r="AV51" s="327"/>
    </row>
    <row r="52" spans="1:48" s="187" customFormat="1" x14ac:dyDescent="0.15">
      <c r="A52" s="186" t="str">
        <f>'Tariff Jul 2021'!K40</f>
        <v>Powershop</v>
      </c>
      <c r="B52" s="187" t="str">
        <f>'Tariff Jul 2021'!L40</f>
        <v>Carbon neutral</v>
      </c>
      <c r="C52" s="208">
        <f>IF('Tariff Jul 2021'!BP40=0,91*'Tariff Jul 2021'!M40/100,(91*'Tariff Jul 2021'!M40/100)+'Tariff Jul 2021'!BP40/4)</f>
        <v>86.449999999999989</v>
      </c>
      <c r="D52" s="208">
        <f>IF('Tariff Jul 2021'!O40="",$H$5*'Tariff Jul 2021'!N40/100,IF($H$5&gt;='Tariff Jul 2021'!P40,('Tariff Jul 2021'!P40*'Tariff Jul 2021'!N40/100),($H$5*'Tariff Jul 2021'!N40/100)))</f>
        <v>174.951168</v>
      </c>
      <c r="E52" s="208">
        <f>IF(AND('Tariff Jul 2021'!P40&gt;0,'Tariff Jul 2021'!R40&gt;0),IF($H$5&lt;'Tariff Jul 2021'!P40,0,IF($H$5&lt;=('Tariff Jul 2021'!R40+'Tariff Jul 2021'!P40),(($H$5-'Tariff Jul 2021'!P40)*'Tariff Jul 2021'!Q40/100),(('Tariff Jul 2021'!R40)*'Tariff Jul 2021'!Q40/100))),0)</f>
        <v>0</v>
      </c>
      <c r="F52" s="208">
        <f>IF(AND('Tariff Jul 2021'!Q40&gt;0,'Tariff Jul 2021'!S40&gt;0),IF($H$5&lt;('Tariff Jul 2021'!R40+'Tariff Jul 2021'!P40),0,IF($H$5&lt;=('Tariff Jul 2021'!T40+'Tariff Jul 2021'!R40+'Tariff Jul 2021'!P40),(($H$5-('Tariff Jul 2021'!R40+'Tariff Jul 2021'!P40))*'Tariff Jul 2021'!S40/100),('Tariff Jul 2021'!T40*'Tariff Jul 2021'!S40/100))),0)</f>
        <v>0</v>
      </c>
      <c r="G52" s="208">
        <f>IF('Tariff Jul 2021'!T40&gt;0,IF(($H$5&lt;'Tariff Jul 2021'!T40),(0),($H$5-'Tariff Jul 2021'!T40)*'Tariff Jul 2021'!U40/100),IF(AND('Tariff Jul 2021'!R40&gt;0,'Tariff Jul 2021'!T40=""),IF(($H$5&lt;'Tariff Jul 2021'!R40),(0),($H$5-'Tariff Jul 2021'!R40)*'Tariff Jul 2021'!S40/100),IF(AND('Tariff Jul 2021'!P40&gt;0,'Tariff Jul 2021'!R40=""),IF(($H$5&lt;'Tariff Jul 2021'!P40),(0),($H$5-'Tariff Jul 2021'!P40)*'Tariff Jul 2021'!Q40/100),0)))</f>
        <v>0</v>
      </c>
      <c r="H52" s="208">
        <f>($I$5)*'Tariff Jul 2021'!AE40/100</f>
        <v>27.670847999999999</v>
      </c>
      <c r="I52" s="208">
        <v>0</v>
      </c>
      <c r="J52" s="208">
        <f t="shared" si="27"/>
        <v>289.07201599999996</v>
      </c>
      <c r="K52" s="283">
        <f t="shared" si="30"/>
        <v>810.48806399999989</v>
      </c>
      <c r="L52" s="283">
        <f t="shared" si="28"/>
        <v>1156.2880639999998</v>
      </c>
      <c r="M52" s="191">
        <f t="shared" si="29"/>
        <v>1271.9168703999999</v>
      </c>
      <c r="N52" s="187">
        <f>'Tariff Jul 2021'!AZ40</f>
        <v>0</v>
      </c>
      <c r="O52" s="187">
        <f>'Tariff Jul 2021'!BA40</f>
        <v>0</v>
      </c>
      <c r="P52" s="187">
        <f>'Tariff Jul 2021'!BB40</f>
        <v>0</v>
      </c>
      <c r="Q52" s="187">
        <f>'Tariff Jul 2021'!BC40</f>
        <v>0</v>
      </c>
      <c r="R52" s="192">
        <f>($F$6*'Tariff Jul 2021'!AT40/100)*4</f>
        <v>95.83296</v>
      </c>
      <c r="S52" s="193" t="str">
        <f t="shared" si="20"/>
        <v>No discount</v>
      </c>
      <c r="T52" s="193" t="str">
        <f t="shared" si="21"/>
        <v>Inclusive</v>
      </c>
      <c r="U52" s="304">
        <f t="shared" si="22"/>
        <v>1156.2880639999998</v>
      </c>
      <c r="V52" s="283">
        <f t="shared" si="23"/>
        <v>1156.2880639999998</v>
      </c>
      <c r="W52" s="283">
        <f t="shared" si="24"/>
        <v>1060.4551039999999</v>
      </c>
      <c r="X52" s="283">
        <f t="shared" si="25"/>
        <v>1060.4551039999999</v>
      </c>
      <c r="Y52" s="285">
        <f t="shared" si="26"/>
        <v>1166.5006143999999</v>
      </c>
      <c r="Z52" s="285">
        <f t="shared" si="26"/>
        <v>1166.5006143999999</v>
      </c>
      <c r="AA52" s="194">
        <f>'Tariff Jul 2021'!AT40</f>
        <v>3</v>
      </c>
      <c r="AB52" s="195">
        <f>'Tariff Jul 2021'!BL40</f>
        <v>0</v>
      </c>
      <c r="AC52" s="195" t="str">
        <f>'Tariff Jul 2021'!BM40</f>
        <v>n</v>
      </c>
      <c r="AD52" s="196">
        <f>'Tariff Jul 2021'!G40</f>
        <v>42900</v>
      </c>
      <c r="AE52" s="327"/>
      <c r="AF52" s="327"/>
      <c r="AG52" s="327"/>
      <c r="AH52" s="327"/>
      <c r="AI52" s="327"/>
      <c r="AJ52" s="327"/>
      <c r="AK52" s="327"/>
      <c r="AL52" s="327"/>
      <c r="AM52" s="327"/>
      <c r="AN52" s="327"/>
      <c r="AO52" s="327"/>
      <c r="AP52" s="327"/>
      <c r="AQ52" s="327"/>
      <c r="AR52" s="327"/>
      <c r="AS52" s="327"/>
      <c r="AT52" s="327"/>
      <c r="AU52" s="327"/>
      <c r="AV52" s="327"/>
    </row>
    <row r="53" spans="1:48" s="187" customFormat="1" x14ac:dyDescent="0.15">
      <c r="A53" s="186" t="str">
        <f>'Tariff Jul 2021'!K41</f>
        <v>Amber Electric</v>
      </c>
      <c r="B53" s="187" t="str">
        <f>'Tariff Jul 2021'!L41</f>
        <v>Amber 15</v>
      </c>
      <c r="C53" s="208">
        <f>IF('Tariff Jul 2021'!BP41=0,91*'Tariff Jul 2021'!M41/100,(91*'Tariff Jul 2021'!M41/100)+'Tariff Jul 2021'!BP41/4)</f>
        <v>124.25522727272725</v>
      </c>
      <c r="D53" s="208">
        <f>IF('Tariff Jul 2021'!O41="",$H$5*'Tariff Jul 2021'!N41/100,IF($H$5&gt;='Tariff Jul 2021'!P41,('Tariff Jul 2021'!P41*'Tariff Jul 2021'!N41/100),($H$5*'Tariff Jul 2021'!N41/100)))</f>
        <v>189.62239767272729</v>
      </c>
      <c r="E53" s="208">
        <f>IF(AND('Tariff Jul 2021'!P41&gt;0,'Tariff Jul 2021'!R41&gt;0),IF($H$5&lt;'Tariff Jul 2021'!P41,0,IF($H$5&lt;=('Tariff Jul 2021'!R41+'Tariff Jul 2021'!P41),(($H$5-'Tariff Jul 2021'!P41)*'Tariff Jul 2021'!Q41/100),(('Tariff Jul 2021'!R41)*'Tariff Jul 2021'!Q41/100))),0)</f>
        <v>0</v>
      </c>
      <c r="F53" s="208">
        <f>IF(AND('Tariff Jul 2021'!Q41&gt;0,'Tariff Jul 2021'!S41&gt;0),IF($H$5&lt;('Tariff Jul 2021'!R41+'Tariff Jul 2021'!P41),0,IF($H$5&lt;=('Tariff Jul 2021'!T41+'Tariff Jul 2021'!R41+'Tariff Jul 2021'!P41),(($H$5-('Tariff Jul 2021'!R41+'Tariff Jul 2021'!P41))*'Tariff Jul 2021'!S41/100),('Tariff Jul 2021'!T41*'Tariff Jul 2021'!S41/100))),0)</f>
        <v>0</v>
      </c>
      <c r="G53" s="208">
        <f>IF('Tariff Jul 2021'!T41&gt;0,IF(($H$5&lt;'Tariff Jul 2021'!T41),(0),($H$5-'Tariff Jul 2021'!T41)*'Tariff Jul 2021'!U41/100),IF(AND('Tariff Jul 2021'!R41&gt;0,'Tariff Jul 2021'!T41=""),IF(($H$5&lt;'Tariff Jul 2021'!R41),(0),($H$5-'Tariff Jul 2021'!R41)*'Tariff Jul 2021'!S41/100),IF(AND('Tariff Jul 2021'!P41&gt;0,'Tariff Jul 2021'!R41=""),IF(($H$5&lt;'Tariff Jul 2021'!P41),(0),($H$5-'Tariff Jul 2021'!P41)*'Tariff Jul 2021'!Q41/100),0)))</f>
        <v>0</v>
      </c>
      <c r="H53" s="208">
        <f>($I$5)*'Tariff Jul 2021'!AE41/100</f>
        <v>27.281346327272722</v>
      </c>
      <c r="I53" s="208">
        <v>0</v>
      </c>
      <c r="J53" s="208">
        <f t="shared" ref="J53:J62" si="31">SUM(C53:I53)</f>
        <v>341.15897127272729</v>
      </c>
      <c r="K53" s="283">
        <f t="shared" si="30"/>
        <v>867.61497600000007</v>
      </c>
      <c r="L53" s="283">
        <f t="shared" si="28"/>
        <v>1364.6358850909091</v>
      </c>
      <c r="M53" s="191">
        <f t="shared" si="29"/>
        <v>1501.0994736000002</v>
      </c>
      <c r="N53" s="187">
        <f>'Tariff Jul 2021'!AZ41</f>
        <v>0</v>
      </c>
      <c r="O53" s="187">
        <f>'Tariff Jul 2021'!BA41</f>
        <v>0</v>
      </c>
      <c r="P53" s="187">
        <f>'Tariff Jul 2021'!BB41</f>
        <v>0</v>
      </c>
      <c r="Q53" s="187">
        <f>'Tariff Jul 2021'!BC41</f>
        <v>0</v>
      </c>
      <c r="R53" s="192">
        <f>($F$6*'Tariff Jul 2021'!AT41/100)*4</f>
        <v>255.55456000000001</v>
      </c>
      <c r="S53" s="193" t="str">
        <f t="shared" si="20"/>
        <v>No discount</v>
      </c>
      <c r="T53" s="193" t="str">
        <f t="shared" si="21"/>
        <v>Exclusive</v>
      </c>
      <c r="U53" s="304">
        <f t="shared" si="22"/>
        <v>1364.6358850909091</v>
      </c>
      <c r="V53" s="283">
        <f t="shared" si="23"/>
        <v>1364.6358850909091</v>
      </c>
      <c r="W53" s="283">
        <f t="shared" si="24"/>
        <v>1109.0813250909091</v>
      </c>
      <c r="X53" s="283">
        <f t="shared" si="25"/>
        <v>1109.0813250909091</v>
      </c>
      <c r="Y53" s="285">
        <f t="shared" si="26"/>
        <v>1219.9894576000002</v>
      </c>
      <c r="Z53" s="285">
        <f t="shared" si="26"/>
        <v>1219.9894576000002</v>
      </c>
      <c r="AA53" s="194">
        <f>'Tariff Jul 2021'!AT41</f>
        <v>8</v>
      </c>
      <c r="AB53" s="195">
        <f>'Tariff Jul 2021'!BL41</f>
        <v>0</v>
      </c>
      <c r="AC53" s="195" t="str">
        <f>'Tariff Jul 2021'!BM41</f>
        <v>n</v>
      </c>
      <c r="AD53" s="196">
        <f>'Tariff Jul 2021'!G41</f>
        <v>42918</v>
      </c>
      <c r="AE53" s="327"/>
      <c r="AF53" s="327"/>
      <c r="AG53" s="327"/>
      <c r="AH53" s="327"/>
      <c r="AI53" s="327"/>
      <c r="AJ53" s="327"/>
      <c r="AK53" s="327"/>
      <c r="AL53" s="327"/>
      <c r="AM53" s="327"/>
      <c r="AN53" s="327"/>
      <c r="AO53" s="327"/>
      <c r="AP53" s="327"/>
      <c r="AQ53" s="327"/>
      <c r="AR53" s="327"/>
      <c r="AS53" s="327"/>
      <c r="AT53" s="327"/>
      <c r="AU53" s="327"/>
      <c r="AV53" s="327"/>
    </row>
    <row r="54" spans="1:48" s="187" customFormat="1" x14ac:dyDescent="0.15">
      <c r="A54" s="186" t="str">
        <f>'Tariff Jul 2021'!K42</f>
        <v>Discover Energy</v>
      </c>
      <c r="B54" s="187" t="str">
        <f>'Tariff Jul 2021'!L42</f>
        <v>Solar Smart</v>
      </c>
      <c r="C54" s="208">
        <f>IF('Tariff Jul 2021'!BP42=0,91*'Tariff Jul 2021'!M42/100,(91*'Tariff Jul 2021'!M42/100)+'Tariff Jul 2021'!BP42/4)</f>
        <v>56.246272727272718</v>
      </c>
      <c r="D54" s="208">
        <f>IF('Tariff Jul 2021'!O42="",$H$5*'Tariff Jul 2021'!N42/100,IF($H$5&gt;='Tariff Jul 2021'!P42,('Tariff Jul 2021'!P42*'Tariff Jul 2021'!N42/100),($H$5*'Tariff Jul 2021'!N42/100)))</f>
        <v>221.75628567272724</v>
      </c>
      <c r="E54" s="208">
        <f>IF(AND('Tariff Jul 2021'!P42&gt;0,'Tariff Jul 2021'!R42&gt;0),IF($H$5&lt;'Tariff Jul 2021'!P42,0,IF($H$5&lt;=('Tariff Jul 2021'!R42+'Tariff Jul 2021'!P42),(($H$5-'Tariff Jul 2021'!P42)*'Tariff Jul 2021'!Q42/100),(('Tariff Jul 2021'!R42)*'Tariff Jul 2021'!Q42/100))),0)</f>
        <v>0</v>
      </c>
      <c r="F54" s="208">
        <f>IF(AND('Tariff Jul 2021'!Q42&gt;0,'Tariff Jul 2021'!S42&gt;0),IF($H$5&lt;('Tariff Jul 2021'!R42+'Tariff Jul 2021'!P42),0,IF($H$5&lt;=('Tariff Jul 2021'!T42+'Tariff Jul 2021'!R42+'Tariff Jul 2021'!P42),(($H$5-('Tariff Jul 2021'!R42+'Tariff Jul 2021'!P42))*'Tariff Jul 2021'!S42/100),('Tariff Jul 2021'!T42*'Tariff Jul 2021'!S42/100))),0)</f>
        <v>0</v>
      </c>
      <c r="G54" s="208">
        <f>IF('Tariff Jul 2021'!T42&gt;0,IF(($H$5&lt;'Tariff Jul 2021'!T42),(0),($H$5-'Tariff Jul 2021'!T42)*'Tariff Jul 2021'!U42/100),IF(AND('Tariff Jul 2021'!R42&gt;0,'Tariff Jul 2021'!T42=""),IF(($H$5&lt;'Tariff Jul 2021'!R42),(0),($H$5-'Tariff Jul 2021'!R42)*'Tariff Jul 2021'!S42/100),IF(AND('Tariff Jul 2021'!P42&gt;0,'Tariff Jul 2021'!R42=""),IF(($H$5&lt;'Tariff Jul 2021'!P42),(0),($H$5-'Tariff Jul 2021'!P42)*'Tariff Jul 2021'!Q42/100),0)))</f>
        <v>0</v>
      </c>
      <c r="H54" s="208">
        <f>($I$5)*'Tariff Jul 2021'!AE42/100</f>
        <v>28.563456000000002</v>
      </c>
      <c r="I54" s="208">
        <v>0</v>
      </c>
      <c r="J54" s="208">
        <f t="shared" si="31"/>
        <v>306.56601439999997</v>
      </c>
      <c r="K54" s="283">
        <f t="shared" si="30"/>
        <v>1001.278966690909</v>
      </c>
      <c r="L54" s="283">
        <f t="shared" si="28"/>
        <v>1226.2640575999999</v>
      </c>
      <c r="M54" s="191">
        <f t="shared" si="29"/>
        <v>1348.89046336</v>
      </c>
      <c r="N54" s="187">
        <f>'Tariff Jul 2021'!AZ42</f>
        <v>0</v>
      </c>
      <c r="O54" s="187">
        <f>'Tariff Jul 2021'!BA42</f>
        <v>24</v>
      </c>
      <c r="P54" s="187">
        <f>'Tariff Jul 2021'!BB42</f>
        <v>0</v>
      </c>
      <c r="Q54" s="187">
        <f>'Tariff Jul 2021'!BC42</f>
        <v>0</v>
      </c>
      <c r="R54" s="192">
        <f>($F$6*'Tariff Jul 2021'!AT42/100)*4</f>
        <v>511.10912000000002</v>
      </c>
      <c r="S54" s="193" t="str">
        <f t="shared" si="20"/>
        <v>Guaranteed off usage</v>
      </c>
      <c r="T54" s="193" t="str">
        <f t="shared" si="21"/>
        <v>Exclusive</v>
      </c>
      <c r="U54" s="304">
        <f t="shared" si="22"/>
        <v>985.95710559418171</v>
      </c>
      <c r="V54" s="283">
        <f t="shared" si="23"/>
        <v>985.95710559418171</v>
      </c>
      <c r="W54" s="283">
        <f t="shared" si="24"/>
        <v>474.84798559418169</v>
      </c>
      <c r="X54" s="283">
        <f t="shared" si="25"/>
        <v>474.84798559418169</v>
      </c>
      <c r="Y54" s="285">
        <f t="shared" si="26"/>
        <v>522.33278415359996</v>
      </c>
      <c r="Z54" s="285">
        <f t="shared" si="26"/>
        <v>522.33278415359996</v>
      </c>
      <c r="AA54" s="194">
        <f>'Tariff Jul 2021'!AT42</f>
        <v>16</v>
      </c>
      <c r="AB54" s="195">
        <f>'Tariff Jul 2021'!BL42</f>
        <v>0</v>
      </c>
      <c r="AC54" s="195" t="str">
        <f>'Tariff Jul 2021'!BM42</f>
        <v>n</v>
      </c>
      <c r="AD54" s="196">
        <f>'Tariff Jul 2021'!G42</f>
        <v>42916</v>
      </c>
      <c r="AE54" s="327"/>
      <c r="AF54" s="327"/>
      <c r="AG54" s="327"/>
      <c r="AH54" s="327"/>
      <c r="AI54" s="327"/>
      <c r="AJ54" s="327"/>
      <c r="AK54" s="327"/>
      <c r="AL54" s="327"/>
      <c r="AM54" s="327"/>
      <c r="AN54" s="327"/>
      <c r="AO54" s="327"/>
      <c r="AP54" s="327"/>
      <c r="AQ54" s="327"/>
      <c r="AR54" s="327"/>
      <c r="AS54" s="327"/>
      <c r="AT54" s="327"/>
      <c r="AU54" s="327"/>
      <c r="AV54" s="327"/>
    </row>
    <row r="55" spans="1:48" s="187" customFormat="1" x14ac:dyDescent="0.15">
      <c r="A55" s="186" t="str">
        <f>'Tariff Jul 2021'!K43</f>
        <v>Future X Power</v>
      </c>
      <c r="B55" s="187" t="str">
        <f>'Tariff Jul 2021'!L43</f>
        <v>Flexi Saver</v>
      </c>
      <c r="C55" s="208">
        <f>IF('Tariff Jul 2021'!BP43=0,91*'Tariff Jul 2021'!M43/100,(91*'Tariff Jul 2021'!M43/100)+'Tariff Jul 2021'!BP43/4)</f>
        <v>78.077999999999989</v>
      </c>
      <c r="D55" s="208">
        <f>IF('Tariff Jul 2021'!O43="",$H$5*'Tariff Jul 2021'!N43/100,IF($H$5&gt;='Tariff Jul 2021'!P43,('Tariff Jul 2021'!P43*'Tariff Jul 2021'!N43/100),($H$5*'Tariff Jul 2021'!N43/100)))</f>
        <v>201.76186647272723</v>
      </c>
      <c r="E55" s="208">
        <f>IF(AND('Tariff Jul 2021'!P43&gt;0,'Tariff Jul 2021'!R43&gt;0),IF($H$5&lt;'Tariff Jul 2021'!P43,0,IF($H$5&lt;=('Tariff Jul 2021'!R43+'Tariff Jul 2021'!P43),(($H$5-'Tariff Jul 2021'!P43)*'Tariff Jul 2021'!Q43/100),(('Tariff Jul 2021'!R43)*'Tariff Jul 2021'!Q43/100))),0)</f>
        <v>0</v>
      </c>
      <c r="F55" s="208">
        <f>IF(AND('Tariff Jul 2021'!Q43&gt;0,'Tariff Jul 2021'!S43&gt;0),IF($H$5&lt;('Tariff Jul 2021'!R43+'Tariff Jul 2021'!P43),0,IF($H$5&lt;=('Tariff Jul 2021'!T43+'Tariff Jul 2021'!R43+'Tariff Jul 2021'!P43),(($H$5-('Tariff Jul 2021'!R43+'Tariff Jul 2021'!P43))*'Tariff Jul 2021'!S43/100),('Tariff Jul 2021'!T43*'Tariff Jul 2021'!S43/100))),0)</f>
        <v>0</v>
      </c>
      <c r="G55" s="208">
        <f>IF('Tariff Jul 2021'!T43&gt;0,IF(($H$5&lt;'Tariff Jul 2021'!T43),(0),($H$5-'Tariff Jul 2021'!T43)*'Tariff Jul 2021'!U43/100),IF(AND('Tariff Jul 2021'!R43&gt;0,'Tariff Jul 2021'!T43=""),IF(($H$5&lt;'Tariff Jul 2021'!R43),(0),($H$5-'Tariff Jul 2021'!R43)*'Tariff Jul 2021'!S43/100),IF(AND('Tariff Jul 2021'!P43&gt;0,'Tariff Jul 2021'!R43=""),IF(($H$5&lt;'Tariff Jul 2021'!P43),(0),($H$5-'Tariff Jul 2021'!P43)*'Tariff Jul 2021'!Q43/100),0)))</f>
        <v>0</v>
      </c>
      <c r="H55" s="208">
        <f>($I$5)*'Tariff Jul 2021'!AE43/100</f>
        <v>27.88182807272727</v>
      </c>
      <c r="I55" s="208">
        <v>0</v>
      </c>
      <c r="J55" s="208">
        <f t="shared" si="31"/>
        <v>307.72169454545451</v>
      </c>
      <c r="K55" s="283">
        <f t="shared" si="30"/>
        <v>918.57477818181815</v>
      </c>
      <c r="L55" s="283">
        <f t="shared" si="28"/>
        <v>1230.886778181818</v>
      </c>
      <c r="M55" s="191">
        <f t="shared" si="29"/>
        <v>1353.9754559999999</v>
      </c>
      <c r="N55" s="187">
        <f>'Tariff Jul 2021'!AZ43</f>
        <v>0</v>
      </c>
      <c r="O55" s="187">
        <f>'Tariff Jul 2021'!BA43</f>
        <v>0</v>
      </c>
      <c r="P55" s="187">
        <f>'Tariff Jul 2021'!BB43</f>
        <v>0</v>
      </c>
      <c r="Q55" s="187">
        <f>'Tariff Jul 2021'!BC43</f>
        <v>0</v>
      </c>
      <c r="R55" s="192">
        <f>($F$6*'Tariff Jul 2021'!AT43/100)*4</f>
        <v>127.77728</v>
      </c>
      <c r="S55" s="193" t="str">
        <f t="shared" si="20"/>
        <v>No discount</v>
      </c>
      <c r="T55" s="193" t="str">
        <f t="shared" si="21"/>
        <v>Exclusive</v>
      </c>
      <c r="U55" s="304">
        <f t="shared" si="22"/>
        <v>1230.886778181818</v>
      </c>
      <c r="V55" s="283">
        <f t="shared" si="23"/>
        <v>1230.886778181818</v>
      </c>
      <c r="W55" s="283">
        <f t="shared" si="24"/>
        <v>1103.109498181818</v>
      </c>
      <c r="X55" s="283">
        <f t="shared" si="25"/>
        <v>1103.109498181818</v>
      </c>
      <c r="Y55" s="285">
        <f t="shared" si="26"/>
        <v>1213.4204479999999</v>
      </c>
      <c r="Z55" s="285">
        <f t="shared" si="26"/>
        <v>1213.4204479999999</v>
      </c>
      <c r="AA55" s="194">
        <f>'Tariff Jul 2021'!AT43</f>
        <v>4</v>
      </c>
      <c r="AB55" s="195">
        <f>'Tariff Jul 2021'!BL43</f>
        <v>0</v>
      </c>
      <c r="AC55" s="195" t="str">
        <f>'Tariff Jul 2021'!BM43</f>
        <v>n</v>
      </c>
      <c r="AD55" s="196">
        <f>'Tariff Jul 2021'!G43</f>
        <v>42587</v>
      </c>
      <c r="AE55" s="327"/>
      <c r="AF55" s="327"/>
      <c r="AG55" s="327"/>
      <c r="AH55" s="327"/>
      <c r="AI55" s="327"/>
      <c r="AJ55" s="327"/>
      <c r="AK55" s="327"/>
      <c r="AL55" s="327"/>
      <c r="AM55" s="327"/>
      <c r="AN55" s="327"/>
      <c r="AO55" s="327"/>
      <c r="AP55" s="327"/>
      <c r="AQ55" s="327"/>
      <c r="AR55" s="327"/>
      <c r="AS55" s="327"/>
      <c r="AT55" s="327"/>
      <c r="AU55" s="327"/>
      <c r="AV55" s="327"/>
    </row>
    <row r="56" spans="1:48" s="187" customFormat="1" x14ac:dyDescent="0.15">
      <c r="A56" s="186" t="str">
        <f>'Tariff Jul 2021'!K44</f>
        <v>GloBird Energy</v>
      </c>
      <c r="B56" s="187" t="str">
        <f>'Tariff Jul 2021'!L44</f>
        <v>SureSave</v>
      </c>
      <c r="C56" s="208">
        <f>IF('Tariff Jul 2021'!BP44=0,91*'Tariff Jul 2021'!M44/100,(91*'Tariff Jul 2021'!M44/100)+'Tariff Jul 2021'!BP44/4)</f>
        <v>99.19</v>
      </c>
      <c r="D56" s="208">
        <f>IF('Tariff Jul 2021'!O44="",$H$5*'Tariff Jul 2021'!N44/100,IF($H$5&gt;='Tariff Jul 2021'!P44,('Tariff Jul 2021'!P44*'Tariff Jul 2021'!N44/100),($H$5*'Tariff Jul 2021'!N44/100)))</f>
        <v>207.08505599999998</v>
      </c>
      <c r="E56" s="208">
        <f>IF(AND('Tariff Jul 2021'!P44&gt;0,'Tariff Jul 2021'!R44&gt;0),IF($H$5&lt;'Tariff Jul 2021'!P44,0,IF($H$5&lt;=('Tariff Jul 2021'!R44+'Tariff Jul 2021'!P44),(($H$5-'Tariff Jul 2021'!P44)*'Tariff Jul 2021'!Q44/100),(('Tariff Jul 2021'!R44)*'Tariff Jul 2021'!Q44/100))),0)</f>
        <v>0</v>
      </c>
      <c r="F56" s="208">
        <f>IF(AND('Tariff Jul 2021'!Q44&gt;0,'Tariff Jul 2021'!S44&gt;0),IF($H$5&lt;('Tariff Jul 2021'!R44+'Tariff Jul 2021'!P44),0,IF($H$5&lt;=('Tariff Jul 2021'!T44+'Tariff Jul 2021'!R44+'Tariff Jul 2021'!P44),(($H$5-('Tariff Jul 2021'!R44+'Tariff Jul 2021'!P44))*'Tariff Jul 2021'!S44/100),('Tariff Jul 2021'!T44*'Tariff Jul 2021'!S44/100))),0)</f>
        <v>0</v>
      </c>
      <c r="G56" s="208">
        <f>IF('Tariff Jul 2021'!T44&gt;0,IF(($H$5&lt;'Tariff Jul 2021'!T44),(0),($H$5-'Tariff Jul 2021'!T44)*'Tariff Jul 2021'!U44/100),IF(AND('Tariff Jul 2021'!R44&gt;0,'Tariff Jul 2021'!T44=""),IF(($H$5&lt;'Tariff Jul 2021'!R44),(0),($H$5-'Tariff Jul 2021'!R44)*'Tariff Jul 2021'!S44/100),IF(AND('Tariff Jul 2021'!P44&gt;0,'Tariff Jul 2021'!R44=""),IF(($H$5&lt;'Tariff Jul 2021'!P44),(0),($H$5-'Tariff Jul 2021'!P44)*'Tariff Jul 2021'!Q44/100),0)))</f>
        <v>0</v>
      </c>
      <c r="H56" s="208">
        <f>($I$5)*'Tariff Jul 2021'!AE44/100</f>
        <v>26.956761599999997</v>
      </c>
      <c r="I56" s="208">
        <v>0</v>
      </c>
      <c r="J56" s="208">
        <f t="shared" si="31"/>
        <v>333.23181759999994</v>
      </c>
      <c r="K56" s="283">
        <f t="shared" si="30"/>
        <v>936.16727039999978</v>
      </c>
      <c r="L56" s="283">
        <f t="shared" si="28"/>
        <v>1332.9272703999998</v>
      </c>
      <c r="M56" s="191">
        <f t="shared" si="29"/>
        <v>1466.2199974399998</v>
      </c>
      <c r="N56" s="187">
        <f>'Tariff Jul 2021'!AZ44</f>
        <v>0</v>
      </c>
      <c r="O56" s="187">
        <f>'Tariff Jul 2021'!BA44</f>
        <v>0</v>
      </c>
      <c r="P56" s="187">
        <f>'Tariff Jul 2021'!BB44</f>
        <v>0</v>
      </c>
      <c r="Q56" s="187">
        <f>'Tariff Jul 2021'!BC44</f>
        <v>0</v>
      </c>
      <c r="R56" s="192">
        <f>($F$6*'Tariff Jul 2021'!AT44/100)*4</f>
        <v>95.83296</v>
      </c>
      <c r="S56" s="193" t="str">
        <f t="shared" si="20"/>
        <v>No discount</v>
      </c>
      <c r="T56" s="193" t="str">
        <f t="shared" si="21"/>
        <v>Exclusive</v>
      </c>
      <c r="U56" s="304">
        <f t="shared" si="22"/>
        <v>1332.9272703999998</v>
      </c>
      <c r="V56" s="283">
        <f t="shared" si="23"/>
        <v>1332.9272703999998</v>
      </c>
      <c r="W56" s="283">
        <f t="shared" si="24"/>
        <v>1237.0943103999998</v>
      </c>
      <c r="X56" s="283">
        <f t="shared" si="25"/>
        <v>1237.0943103999998</v>
      </c>
      <c r="Y56" s="285">
        <f t="shared" ref="Y56:Z62" si="32">W56*1.1</f>
        <v>1360.8037414399998</v>
      </c>
      <c r="Z56" s="285">
        <f t="shared" si="32"/>
        <v>1360.8037414399998</v>
      </c>
      <c r="AA56" s="194">
        <f>'Tariff Jul 2021'!AT44</f>
        <v>3</v>
      </c>
      <c r="AB56" s="195">
        <f>'Tariff Jul 2021'!BL44</f>
        <v>0</v>
      </c>
      <c r="AC56" s="195" t="str">
        <f>'Tariff Jul 2021'!BM44</f>
        <v>n</v>
      </c>
      <c r="AD56" s="196">
        <f>'Tariff Jul 2021'!G44</f>
        <v>42916</v>
      </c>
      <c r="AE56" s="327"/>
      <c r="AF56" s="327"/>
      <c r="AG56" s="327"/>
      <c r="AH56" s="327"/>
      <c r="AI56" s="327"/>
      <c r="AJ56" s="327"/>
      <c r="AK56" s="327"/>
      <c r="AL56" s="327"/>
      <c r="AM56" s="327"/>
      <c r="AN56" s="327"/>
      <c r="AO56" s="327"/>
      <c r="AP56" s="327"/>
      <c r="AQ56" s="327"/>
      <c r="AR56" s="327"/>
      <c r="AS56" s="327"/>
      <c r="AT56" s="327"/>
      <c r="AU56" s="327"/>
      <c r="AV56" s="327"/>
    </row>
    <row r="57" spans="1:48" s="187" customFormat="1" x14ac:dyDescent="0.15">
      <c r="A57" s="186" t="str">
        <f>'Tariff Jul 2021'!K45</f>
        <v>Kogan Energy</v>
      </c>
      <c r="B57" s="187" t="str">
        <f>'Tariff Jul 2021'!L45</f>
        <v>Market offer</v>
      </c>
      <c r="C57" s="208">
        <f>IF('Tariff Jul 2021'!BP45=0,91*'Tariff Jul 2021'!M45/100,(91*'Tariff Jul 2021'!M45/100)+'Tariff Jul 2021'!BP45/4)</f>
        <v>96.766090909090906</v>
      </c>
      <c r="D57" s="208">
        <f>IF('Tariff Jul 2021'!O45="",$H$5*'Tariff Jul 2021'!N45/100,IF($H$5&gt;='Tariff Jul 2021'!P45,('Tariff Jul 2021'!P45*'Tariff Jul 2021'!N45/100),($H$5*'Tariff Jul 2021'!N45/100)))</f>
        <v>163.07136698181819</v>
      </c>
      <c r="E57" s="208">
        <f>IF(AND('Tariff Jul 2021'!P45&gt;0,'Tariff Jul 2021'!R45&gt;0),IF($H$5&lt;'Tariff Jul 2021'!P45,0,IF($H$5&lt;=('Tariff Jul 2021'!R45+'Tariff Jul 2021'!P45),(($H$5-'Tariff Jul 2021'!P45)*'Tariff Jul 2021'!Q45/100),(('Tariff Jul 2021'!R45)*'Tariff Jul 2021'!Q45/100))),0)</f>
        <v>0</v>
      </c>
      <c r="F57" s="208">
        <f>IF(AND('Tariff Jul 2021'!Q45&gt;0,'Tariff Jul 2021'!S45&gt;0),IF($H$5&lt;('Tariff Jul 2021'!R45+'Tariff Jul 2021'!P45),0,IF($H$5&lt;=('Tariff Jul 2021'!T45+'Tariff Jul 2021'!R45+'Tariff Jul 2021'!P45),(($H$5-('Tariff Jul 2021'!R45+'Tariff Jul 2021'!P45))*'Tariff Jul 2021'!S45/100),('Tariff Jul 2021'!T45*'Tariff Jul 2021'!S45/100))),0)</f>
        <v>0</v>
      </c>
      <c r="G57" s="208">
        <f>IF('Tariff Jul 2021'!T45&gt;0,IF(($H$5&lt;'Tariff Jul 2021'!T45),(0),($H$5-'Tariff Jul 2021'!T45)*'Tariff Jul 2021'!U45/100),IF(AND('Tariff Jul 2021'!R45&gt;0,'Tariff Jul 2021'!T45=""),IF(($H$5&lt;'Tariff Jul 2021'!R45),(0),($H$5-'Tariff Jul 2021'!R45)*'Tariff Jul 2021'!S45/100),IF(AND('Tariff Jul 2021'!P45&gt;0,'Tariff Jul 2021'!R45=""),IF(($H$5&lt;'Tariff Jul 2021'!P45),(0),($H$5-'Tariff Jul 2021'!P45)*'Tariff Jul 2021'!Q45/100),0)))</f>
        <v>0</v>
      </c>
      <c r="H57" s="208">
        <f>($I$5)*'Tariff Jul 2021'!AE45/100</f>
        <v>28.790665309090905</v>
      </c>
      <c r="I57" s="208">
        <v>0</v>
      </c>
      <c r="J57" s="208">
        <f t="shared" si="31"/>
        <v>288.6281232</v>
      </c>
      <c r="K57" s="283">
        <f t="shared" si="30"/>
        <v>767.44812916363639</v>
      </c>
      <c r="L57" s="283">
        <f t="shared" si="28"/>
        <v>1154.5124928</v>
      </c>
      <c r="M57" s="191">
        <f t="shared" si="29"/>
        <v>1269.9637420800002</v>
      </c>
      <c r="N57" s="187">
        <f>'Tariff Jul 2021'!AZ45</f>
        <v>0</v>
      </c>
      <c r="O57" s="187">
        <f>'Tariff Jul 2021'!BA45</f>
        <v>0</v>
      </c>
      <c r="P57" s="187">
        <f>'Tariff Jul 2021'!BB45</f>
        <v>0</v>
      </c>
      <c r="Q57" s="187">
        <f>'Tariff Jul 2021'!BC45</f>
        <v>0</v>
      </c>
      <c r="R57" s="192">
        <f>($F$6*'Tariff Jul 2021'!AT45/100)*4</f>
        <v>65.805299200000007</v>
      </c>
      <c r="S57" s="193" t="str">
        <f t="shared" si="20"/>
        <v>No discount</v>
      </c>
      <c r="T57" s="193" t="str">
        <f t="shared" si="21"/>
        <v>Exclusive</v>
      </c>
      <c r="U57" s="304">
        <f t="shared" si="22"/>
        <v>1154.5124928</v>
      </c>
      <c r="V57" s="283">
        <f t="shared" si="23"/>
        <v>1154.5124928</v>
      </c>
      <c r="W57" s="283">
        <f t="shared" si="24"/>
        <v>1088.7071936</v>
      </c>
      <c r="X57" s="283">
        <f t="shared" si="25"/>
        <v>1088.7071936</v>
      </c>
      <c r="Y57" s="285">
        <f t="shared" si="32"/>
        <v>1197.57791296</v>
      </c>
      <c r="Z57" s="285">
        <f t="shared" si="32"/>
        <v>1197.57791296</v>
      </c>
      <c r="AA57" s="194">
        <f>'Tariff Jul 2021'!AT45</f>
        <v>2.06</v>
      </c>
      <c r="AB57" s="195">
        <f>'Tariff Jul 2021'!BL45</f>
        <v>0</v>
      </c>
      <c r="AC57" s="195" t="str">
        <f>'Tariff Jul 2021'!BM45</f>
        <v>n</v>
      </c>
      <c r="AD57" s="196">
        <f>'Tariff Jul 2021'!G45</f>
        <v>42900</v>
      </c>
      <c r="AE57" s="327"/>
      <c r="AF57" s="327"/>
      <c r="AG57" s="327"/>
      <c r="AH57" s="327"/>
      <c r="AI57" s="327"/>
      <c r="AJ57" s="327"/>
      <c r="AK57" s="327"/>
      <c r="AL57" s="327"/>
      <c r="AM57" s="327"/>
      <c r="AN57" s="327"/>
      <c r="AO57" s="327"/>
      <c r="AP57" s="327"/>
      <c r="AQ57" s="327"/>
      <c r="AR57" s="327"/>
      <c r="AS57" s="327"/>
      <c r="AT57" s="327"/>
      <c r="AU57" s="327"/>
      <c r="AV57" s="327"/>
    </row>
    <row r="58" spans="1:48" s="187" customFormat="1" x14ac:dyDescent="0.15">
      <c r="A58" s="186" t="str">
        <f>'Tariff Jul 2021'!K46</f>
        <v>OVO Energy</v>
      </c>
      <c r="B58" s="187" t="str">
        <f>'Tariff Jul 2021'!L46</f>
        <v>The One Plan</v>
      </c>
      <c r="C58" s="208">
        <f>IF('Tariff Jul 2021'!BP46=0,91*'Tariff Jul 2021'!M46/100,(91*'Tariff Jul 2021'!M46/100)+'Tariff Jul 2021'!BP46/4)</f>
        <v>70.069999999999993</v>
      </c>
      <c r="D58" s="208">
        <f>IF('Tariff Jul 2021'!O46="",$H$5*'Tariff Jul 2021'!N46/100,IF($H$5&gt;='Tariff Jul 2021'!P46,('Tariff Jul 2021'!P46*'Tariff Jul 2021'!N46/100),($H$5*'Tariff Jul 2021'!N46/100)))</f>
        <v>178.52160000000001</v>
      </c>
      <c r="E58" s="208">
        <f>IF(AND('Tariff Jul 2021'!P46&gt;0,'Tariff Jul 2021'!R46&gt;0),IF($H$5&lt;'Tariff Jul 2021'!P46,0,IF($H$5&lt;=('Tariff Jul 2021'!R46+'Tariff Jul 2021'!P46),(($H$5-'Tariff Jul 2021'!P46)*'Tariff Jul 2021'!Q46/100),(('Tariff Jul 2021'!R46)*'Tariff Jul 2021'!Q46/100))),0)</f>
        <v>0</v>
      </c>
      <c r="F58" s="208">
        <f>IF(AND('Tariff Jul 2021'!Q46&gt;0,'Tariff Jul 2021'!S46&gt;0),IF($H$5&lt;('Tariff Jul 2021'!R46+'Tariff Jul 2021'!P46),0,IF($H$5&lt;=('Tariff Jul 2021'!T46+'Tariff Jul 2021'!R46+'Tariff Jul 2021'!P46),(($H$5-('Tariff Jul 2021'!R46+'Tariff Jul 2021'!P46))*'Tariff Jul 2021'!S46/100),('Tariff Jul 2021'!T46*'Tariff Jul 2021'!S46/100))),0)</f>
        <v>0</v>
      </c>
      <c r="G58" s="208">
        <f>IF('Tariff Jul 2021'!T46&gt;0,IF(($H$5&lt;'Tariff Jul 2021'!T46),(0),($H$5-'Tariff Jul 2021'!T46)*'Tariff Jul 2021'!U46/100),IF(AND('Tariff Jul 2021'!R46&gt;0,'Tariff Jul 2021'!T46=""),IF(($H$5&lt;'Tariff Jul 2021'!R46),(0),($H$5-'Tariff Jul 2021'!R46)*'Tariff Jul 2021'!S46/100),IF(AND('Tariff Jul 2021'!P46&gt;0,'Tariff Jul 2021'!R46=""),IF(($H$5&lt;'Tariff Jul 2021'!P46),(0),($H$5-'Tariff Jul 2021'!P46)*'Tariff Jul 2021'!Q46/100),0)))</f>
        <v>0</v>
      </c>
      <c r="H58" s="208">
        <f>($I$5)*'Tariff Jul 2021'!AE46/100</f>
        <v>31.491210239999997</v>
      </c>
      <c r="I58" s="208">
        <v>0</v>
      </c>
      <c r="J58" s="208">
        <f t="shared" si="31"/>
        <v>280.08281024000001</v>
      </c>
      <c r="K58" s="283">
        <f t="shared" si="30"/>
        <v>840.05124096000009</v>
      </c>
      <c r="L58" s="283">
        <f t="shared" si="28"/>
        <v>1120.3312409600001</v>
      </c>
      <c r="M58" s="191">
        <f t="shared" si="29"/>
        <v>1232.3643650560002</v>
      </c>
      <c r="N58" s="187">
        <f>'Tariff Jul 2021'!AZ46</f>
        <v>0</v>
      </c>
      <c r="O58" s="187">
        <f>'Tariff Jul 2021'!BA46</f>
        <v>0</v>
      </c>
      <c r="P58" s="187">
        <f>'Tariff Jul 2021'!BB46</f>
        <v>0</v>
      </c>
      <c r="Q58" s="187">
        <f>'Tariff Jul 2021'!BC46</f>
        <v>0</v>
      </c>
      <c r="R58" s="192">
        <f>($F$6*'Tariff Jul 2021'!AT46/100)*4</f>
        <v>255.55456000000001</v>
      </c>
      <c r="S58" s="193" t="str">
        <f t="shared" si="20"/>
        <v>No discount</v>
      </c>
      <c r="T58" s="193" t="str">
        <f t="shared" si="21"/>
        <v>Exclusive</v>
      </c>
      <c r="U58" s="304">
        <f t="shared" si="22"/>
        <v>1120.3312409600001</v>
      </c>
      <c r="V58" s="283">
        <f t="shared" si="23"/>
        <v>1120.3312409600001</v>
      </c>
      <c r="W58" s="283">
        <f t="shared" si="24"/>
        <v>864.77668096000002</v>
      </c>
      <c r="X58" s="283">
        <f t="shared" si="25"/>
        <v>864.77668096000002</v>
      </c>
      <c r="Y58" s="285">
        <f t="shared" si="32"/>
        <v>951.25434905600014</v>
      </c>
      <c r="Z58" s="285">
        <f t="shared" si="32"/>
        <v>951.25434905600014</v>
      </c>
      <c r="AA58" s="194">
        <f>'Tariff Jul 2021'!AT46</f>
        <v>8</v>
      </c>
      <c r="AB58" s="195">
        <f>'Tariff Jul 2021'!BL46</f>
        <v>0</v>
      </c>
      <c r="AC58" s="195" t="str">
        <f>'Tariff Jul 2021'!BM46</f>
        <v>n</v>
      </c>
      <c r="AD58" s="196">
        <f>'Tariff Jul 2021'!G46</f>
        <v>42916</v>
      </c>
      <c r="AE58" s="327"/>
      <c r="AF58" s="327"/>
      <c r="AG58" s="327"/>
      <c r="AH58" s="327"/>
      <c r="AI58" s="327"/>
      <c r="AJ58" s="327"/>
      <c r="AK58" s="327"/>
      <c r="AL58" s="327"/>
      <c r="AM58" s="327"/>
      <c r="AN58" s="327"/>
      <c r="AO58" s="327"/>
      <c r="AP58" s="327"/>
      <c r="AQ58" s="327"/>
      <c r="AR58" s="327"/>
      <c r="AS58" s="327"/>
      <c r="AT58" s="327"/>
      <c r="AU58" s="327"/>
      <c r="AV58" s="327"/>
    </row>
    <row r="59" spans="1:48" s="187" customFormat="1" x14ac:dyDescent="0.15">
      <c r="A59" s="186" t="str">
        <f>'Tariff Jul 2021'!K47</f>
        <v>ReAmped Energy</v>
      </c>
      <c r="B59" s="187" t="str">
        <f>'Tariff Jul 2021'!L47</f>
        <v>Solar</v>
      </c>
      <c r="C59" s="208">
        <f>IF('Tariff Jul 2021'!BP47=0,91*'Tariff Jul 2021'!M47/100,(91*'Tariff Jul 2021'!M47/100)+'Tariff Jul 2021'!BP47/4)</f>
        <v>59.563636363636363</v>
      </c>
      <c r="D59" s="208">
        <f>IF('Tariff Jul 2021'!O47="",$H$5*'Tariff Jul 2021'!N47/100,IF($H$5&gt;='Tariff Jul 2021'!P47,('Tariff Jul 2021'!P47*'Tariff Jul 2021'!N47/100),($H$5*'Tariff Jul 2021'!N47/100)))</f>
        <v>210.2010693818182</v>
      </c>
      <c r="E59" s="208">
        <f>IF(AND('Tariff Jul 2021'!P47&gt;0,'Tariff Jul 2021'!R47&gt;0),IF($H$5&lt;'Tariff Jul 2021'!P47,0,IF($H$5&lt;=('Tariff Jul 2021'!R47+'Tariff Jul 2021'!P47),(($H$5-'Tariff Jul 2021'!P47)*'Tariff Jul 2021'!Q47/100),(('Tariff Jul 2021'!R47)*'Tariff Jul 2021'!Q47/100))),0)</f>
        <v>0</v>
      </c>
      <c r="F59" s="208">
        <f>IF(AND('Tariff Jul 2021'!Q47&gt;0,'Tariff Jul 2021'!S47&gt;0),IF($H$5&lt;('Tariff Jul 2021'!R47+'Tariff Jul 2021'!P47),0,IF($H$5&lt;=('Tariff Jul 2021'!T47+'Tariff Jul 2021'!R47+'Tariff Jul 2021'!P47),(($H$5-('Tariff Jul 2021'!R47+'Tariff Jul 2021'!P47))*'Tariff Jul 2021'!S47/100),('Tariff Jul 2021'!T47*'Tariff Jul 2021'!S47/100))),0)</f>
        <v>0</v>
      </c>
      <c r="G59" s="208">
        <f>IF('Tariff Jul 2021'!T47&gt;0,IF(($H$5&lt;'Tariff Jul 2021'!T47),(0),($H$5-'Tariff Jul 2021'!T47)*'Tariff Jul 2021'!U47/100),IF(AND('Tariff Jul 2021'!R47&gt;0,'Tariff Jul 2021'!T47=""),IF(($H$5&lt;'Tariff Jul 2021'!R47),(0),($H$5-'Tariff Jul 2021'!R47)*'Tariff Jul 2021'!S47/100),IF(AND('Tariff Jul 2021'!P47&gt;0,'Tariff Jul 2021'!R47=""),IF(($H$5&lt;'Tariff Jul 2021'!P47),(0),($H$5-'Tariff Jul 2021'!P47)*'Tariff Jul 2021'!Q47/100),0)))</f>
        <v>0</v>
      </c>
      <c r="H59" s="208">
        <f>($I$5)*'Tariff Jul 2021'!AE47/100</f>
        <v>26.843156945454542</v>
      </c>
      <c r="I59" s="208">
        <v>0</v>
      </c>
      <c r="J59" s="208">
        <f t="shared" si="31"/>
        <v>296.60786269090909</v>
      </c>
      <c r="K59" s="283">
        <f t="shared" si="30"/>
        <v>948.1769053090909</v>
      </c>
      <c r="L59" s="283">
        <f t="shared" si="28"/>
        <v>1186.4314507636363</v>
      </c>
      <c r="M59" s="191">
        <f t="shared" si="29"/>
        <v>1305.07459584</v>
      </c>
      <c r="N59" s="187">
        <f>'Tariff Jul 2021'!AZ47</f>
        <v>0</v>
      </c>
      <c r="O59" s="187">
        <f>'Tariff Jul 2021'!BA47</f>
        <v>0</v>
      </c>
      <c r="P59" s="187">
        <f>'Tariff Jul 2021'!BB47</f>
        <v>0</v>
      </c>
      <c r="Q59" s="187">
        <f>'Tariff Jul 2021'!BC47</f>
        <v>0</v>
      </c>
      <c r="R59" s="192">
        <f>($F$6*'Tariff Jul 2021'!AT47/100)*4</f>
        <v>606.94208000000003</v>
      </c>
      <c r="S59" s="193" t="str">
        <f t="shared" si="20"/>
        <v>No discount</v>
      </c>
      <c r="T59" s="193" t="str">
        <f t="shared" si="21"/>
        <v>Exclusive</v>
      </c>
      <c r="U59" s="304">
        <f t="shared" si="22"/>
        <v>1186.4314507636363</v>
      </c>
      <c r="V59" s="283">
        <f t="shared" si="23"/>
        <v>1186.4314507636363</v>
      </c>
      <c r="W59" s="283">
        <f t="shared" si="24"/>
        <v>579.48937076363632</v>
      </c>
      <c r="X59" s="283">
        <f t="shared" si="25"/>
        <v>579.48937076363632</v>
      </c>
      <c r="Y59" s="285">
        <f t="shared" si="32"/>
        <v>637.43830783999999</v>
      </c>
      <c r="Z59" s="285">
        <f t="shared" si="32"/>
        <v>637.43830783999999</v>
      </c>
      <c r="AA59" s="194">
        <f>'Tariff Jul 2021'!AT47</f>
        <v>19</v>
      </c>
      <c r="AB59" s="195">
        <f>'Tariff Jul 2021'!BL47</f>
        <v>0</v>
      </c>
      <c r="AC59" s="195" t="str">
        <f>'Tariff Jul 2021'!BM47</f>
        <v>n</v>
      </c>
      <c r="AD59" s="196">
        <f>'Tariff Jul 2021'!G47</f>
        <v>42642</v>
      </c>
      <c r="AE59" s="327"/>
      <c r="AF59" s="327"/>
      <c r="AG59" s="327"/>
      <c r="AH59" s="327"/>
      <c r="AI59" s="327"/>
      <c r="AJ59" s="327"/>
      <c r="AK59" s="327"/>
      <c r="AL59" s="327"/>
      <c r="AM59" s="327"/>
      <c r="AN59" s="327"/>
      <c r="AO59" s="327"/>
      <c r="AP59" s="327"/>
      <c r="AQ59" s="327"/>
      <c r="AR59" s="327"/>
      <c r="AS59" s="327"/>
      <c r="AT59" s="327"/>
      <c r="AU59" s="327"/>
      <c r="AV59" s="327"/>
    </row>
    <row r="60" spans="1:48" s="187" customFormat="1" x14ac:dyDescent="0.15">
      <c r="A60" s="186" t="str">
        <f>'Tariff Jul 2021'!K48</f>
        <v>1st Energy</v>
      </c>
      <c r="B60" s="187" t="str">
        <f>'Tariff Jul 2021'!L48</f>
        <v>Solar Bonus</v>
      </c>
      <c r="C60" s="208">
        <f>IF('Tariff Jul 2021'!BP48=0,91*'Tariff Jul 2021'!M48/100,(91*'Tariff Jul 2021'!M48/100)+'Tariff Jul 2021'!BP48/4)</f>
        <v>73.668636363636352</v>
      </c>
      <c r="D60" s="208">
        <f>IF('Tariff Jul 2021'!O48="",$H$5*'Tariff Jul 2021'!N48/100,IF($H$5&gt;='Tariff Jul 2021'!P48,('Tariff Jul 2021'!P48*'Tariff Jul 2021'!N48/100),($H$5*'Tariff Jul 2021'!N48/100)))</f>
        <v>224.8073821090909</v>
      </c>
      <c r="E60" s="208">
        <f>IF(AND('Tariff Jul 2021'!P48&gt;0,'Tariff Jul 2021'!R48&gt;0),IF($H$5&lt;'Tariff Jul 2021'!P48,0,IF($H$5&lt;=('Tariff Jul 2021'!R48+'Tariff Jul 2021'!P48),(($H$5-'Tariff Jul 2021'!P48)*'Tariff Jul 2021'!Q48/100),(('Tariff Jul 2021'!R48)*'Tariff Jul 2021'!Q48/100))),0)</f>
        <v>0</v>
      </c>
      <c r="F60" s="208">
        <f>IF(AND('Tariff Jul 2021'!Q48&gt;0,'Tariff Jul 2021'!S48&gt;0),IF($H$5&lt;('Tariff Jul 2021'!R48+'Tariff Jul 2021'!P48),0,IF($H$5&lt;=('Tariff Jul 2021'!T48+'Tariff Jul 2021'!R48+'Tariff Jul 2021'!P48),(($H$5-('Tariff Jul 2021'!R48+'Tariff Jul 2021'!P48))*'Tariff Jul 2021'!S48/100),('Tariff Jul 2021'!T48*'Tariff Jul 2021'!S48/100))),0)</f>
        <v>0</v>
      </c>
      <c r="G60" s="208">
        <f>IF('Tariff Jul 2021'!T48&gt;0,IF(($H$5&lt;'Tariff Jul 2021'!T48),(0),($H$5-'Tariff Jul 2021'!T48)*'Tariff Jul 2021'!U48/100),IF(AND('Tariff Jul 2021'!R48&gt;0,'Tariff Jul 2021'!T48=""),IF(($H$5&lt;'Tariff Jul 2021'!R48),(0),($H$5-'Tariff Jul 2021'!R48)*'Tariff Jul 2021'!S48/100),IF(AND('Tariff Jul 2021'!P48&gt;0,'Tariff Jul 2021'!R48=""),IF(($H$5&lt;'Tariff Jul 2021'!P48),(0),($H$5-'Tariff Jul 2021'!P48)*'Tariff Jul 2021'!Q48/100),0)))</f>
        <v>0</v>
      </c>
      <c r="H60" s="208">
        <f>($I$5)*'Tariff Jul 2021'!AE48/100</f>
        <v>25.853173527272723</v>
      </c>
      <c r="I60" s="208">
        <v>0</v>
      </c>
      <c r="J60" s="208">
        <f t="shared" si="31"/>
        <v>324.32919199999992</v>
      </c>
      <c r="K60" s="283">
        <f t="shared" si="30"/>
        <v>1002.6422225454543</v>
      </c>
      <c r="L60" s="283">
        <f t="shared" si="28"/>
        <v>1297.3167679999997</v>
      </c>
      <c r="M60" s="191">
        <f t="shared" si="29"/>
        <v>1427.0484447999997</v>
      </c>
      <c r="N60" s="187">
        <f>'Tariff Jul 2021'!AZ48</f>
        <v>0</v>
      </c>
      <c r="O60" s="187">
        <f>'Tariff Jul 2021'!BA48</f>
        <v>0</v>
      </c>
      <c r="P60" s="187">
        <f>'Tariff Jul 2021'!BB48</f>
        <v>0</v>
      </c>
      <c r="Q60" s="187">
        <f>'Tariff Jul 2021'!BC48</f>
        <v>0</v>
      </c>
      <c r="R60" s="192">
        <f>($F$6*'Tariff Jul 2021'!AT48/100)*4</f>
        <v>415.27616</v>
      </c>
      <c r="S60" s="193" t="str">
        <f t="shared" si="20"/>
        <v>No discount</v>
      </c>
      <c r="T60" s="193" t="str">
        <f t="shared" si="21"/>
        <v>Exclusive</v>
      </c>
      <c r="U60" s="304">
        <f t="shared" si="22"/>
        <v>1297.3167679999997</v>
      </c>
      <c r="V60" s="283">
        <f t="shared" si="23"/>
        <v>1297.3167679999997</v>
      </c>
      <c r="W60" s="283">
        <f t="shared" si="24"/>
        <v>882.04060799999968</v>
      </c>
      <c r="X60" s="283">
        <f t="shared" si="25"/>
        <v>882.04060799999968</v>
      </c>
      <c r="Y60" s="285">
        <f t="shared" si="32"/>
        <v>970.24466879999977</v>
      </c>
      <c r="Z60" s="285">
        <f t="shared" si="32"/>
        <v>970.24466879999977</v>
      </c>
      <c r="AA60" s="194">
        <f>'Tariff Jul 2021'!AT48</f>
        <v>13</v>
      </c>
      <c r="AB60" s="195">
        <f>'Tariff Jul 2021'!BL48</f>
        <v>0</v>
      </c>
      <c r="AC60" s="195" t="str">
        <f>'Tariff Jul 2021'!BM48</f>
        <v>n</v>
      </c>
      <c r="AD60" s="196">
        <f>'Tariff Jul 2021'!G48</f>
        <v>42916</v>
      </c>
      <c r="AE60" s="327"/>
      <c r="AF60" s="327"/>
      <c r="AG60" s="327"/>
      <c r="AH60" s="327"/>
      <c r="AI60" s="327"/>
      <c r="AJ60" s="327"/>
      <c r="AK60" s="327"/>
      <c r="AL60" s="327"/>
      <c r="AM60" s="327"/>
      <c r="AN60" s="327"/>
      <c r="AO60" s="327"/>
      <c r="AP60" s="327"/>
      <c r="AQ60" s="327"/>
      <c r="AR60" s="327"/>
      <c r="AS60" s="327"/>
      <c r="AT60" s="327"/>
      <c r="AU60" s="327"/>
      <c r="AV60" s="327"/>
    </row>
    <row r="61" spans="1:48" s="187" customFormat="1" x14ac:dyDescent="0.15">
      <c r="A61" s="186" t="str">
        <f>'Tariff Jul 2021'!K49</f>
        <v>IO Energy</v>
      </c>
      <c r="B61" s="187" t="str">
        <f>'Tariff Jul 2021'!L49</f>
        <v>Spark</v>
      </c>
      <c r="C61" s="208">
        <f>IF('Tariff Jul 2021'!BP49=0,91*'Tariff Jul 2021'!M49/100,(91*'Tariff Jul 2021'!M49/100)+'Tariff Jul 2021'!BP49/4)</f>
        <v>90.999999999999986</v>
      </c>
      <c r="D61" s="208">
        <f>IF('Tariff Jul 2021'!O49="",$H$5*'Tariff Jul 2021'!N49/100,IF($H$5&gt;='Tariff Jul 2021'!P49,('Tariff Jul 2021'!P49*'Tariff Jul 2021'!N49/100),($H$5*'Tariff Jul 2021'!N49/100)))</f>
        <v>194.75083636363632</v>
      </c>
      <c r="E61" s="208">
        <f>IF(AND('Tariff Jul 2021'!P49&gt;0,'Tariff Jul 2021'!R49&gt;0),IF($H$5&lt;'Tariff Jul 2021'!P49,0,IF($H$5&lt;=('Tariff Jul 2021'!R49+'Tariff Jul 2021'!P49),(($H$5-'Tariff Jul 2021'!P49)*'Tariff Jul 2021'!Q49/100),(('Tariff Jul 2021'!R49)*'Tariff Jul 2021'!Q49/100))),0)</f>
        <v>0</v>
      </c>
      <c r="F61" s="208">
        <f>IF(AND('Tariff Jul 2021'!Q49&gt;0,'Tariff Jul 2021'!S49&gt;0),IF($H$5&lt;('Tariff Jul 2021'!R49+'Tariff Jul 2021'!P49),0,IF($H$5&lt;=('Tariff Jul 2021'!T49+'Tariff Jul 2021'!R49+'Tariff Jul 2021'!P49),(($H$5-('Tariff Jul 2021'!R49+'Tariff Jul 2021'!P49))*'Tariff Jul 2021'!S49/100),('Tariff Jul 2021'!T49*'Tariff Jul 2021'!S49/100))),0)</f>
        <v>0</v>
      </c>
      <c r="G61" s="208">
        <f>IF('Tariff Jul 2021'!T49&gt;0,IF(($H$5&lt;'Tariff Jul 2021'!T49),(0),($H$5-'Tariff Jul 2021'!T49)*'Tariff Jul 2021'!U49/100),IF(AND('Tariff Jul 2021'!R49&gt;0,'Tariff Jul 2021'!T49=""),IF(($H$5&lt;'Tariff Jul 2021'!R49),(0),($H$5-'Tariff Jul 2021'!R49)*'Tariff Jul 2021'!S49/100),IF(AND('Tariff Jul 2021'!P49&gt;0,'Tariff Jul 2021'!R49=""),IF(($H$5&lt;'Tariff Jul 2021'!P49),(0),($H$5-'Tariff Jul 2021'!P49)*'Tariff Jul 2021'!Q49/100),0)))</f>
        <v>0</v>
      </c>
      <c r="H61" s="208">
        <f>($I$5)*'Tariff Jul 2021'!AE49/100</f>
        <v>29.212625454545456</v>
      </c>
      <c r="I61" s="208">
        <v>0</v>
      </c>
      <c r="J61" s="208">
        <f t="shared" si="31"/>
        <v>314.96346181818177</v>
      </c>
      <c r="K61" s="283">
        <f t="shared" si="30"/>
        <v>895.85384727272708</v>
      </c>
      <c r="L61" s="283">
        <f t="shared" si="28"/>
        <v>1259.8538472727271</v>
      </c>
      <c r="M61" s="191">
        <f t="shared" si="29"/>
        <v>1385.8392319999998</v>
      </c>
      <c r="N61" s="187">
        <f>'Tariff Jul 2021'!AZ49</f>
        <v>0</v>
      </c>
      <c r="O61" s="187">
        <f>'Tariff Jul 2021'!BA49</f>
        <v>0</v>
      </c>
      <c r="P61" s="187">
        <f>'Tariff Jul 2021'!BB49</f>
        <v>0</v>
      </c>
      <c r="Q61" s="187">
        <f>'Tariff Jul 2021'!BC49</f>
        <v>0</v>
      </c>
      <c r="R61" s="192">
        <f>($F$6*'Tariff Jul 2021'!AT49/100)*4</f>
        <v>255.55456000000001</v>
      </c>
      <c r="S61" s="193" t="str">
        <f t="shared" si="20"/>
        <v>No discount</v>
      </c>
      <c r="T61" s="193" t="str">
        <f t="shared" si="21"/>
        <v>Exclusive</v>
      </c>
      <c r="U61" s="304">
        <f t="shared" si="22"/>
        <v>1259.8538472727271</v>
      </c>
      <c r="V61" s="283">
        <f t="shared" si="23"/>
        <v>1259.8538472727271</v>
      </c>
      <c r="W61" s="283">
        <f t="shared" si="24"/>
        <v>1004.299287272727</v>
      </c>
      <c r="X61" s="283">
        <f t="shared" si="25"/>
        <v>1004.299287272727</v>
      </c>
      <c r="Y61" s="285">
        <f t="shared" si="32"/>
        <v>1104.7292159999997</v>
      </c>
      <c r="Z61" s="285">
        <f t="shared" si="32"/>
        <v>1104.7292159999997</v>
      </c>
      <c r="AA61" s="194">
        <f>'Tariff Jul 2021'!AT49</f>
        <v>8</v>
      </c>
      <c r="AB61" s="195">
        <f>'Tariff Jul 2021'!BL49</f>
        <v>0</v>
      </c>
      <c r="AC61" s="195" t="str">
        <f>'Tariff Jul 2021'!BM49</f>
        <v>n</v>
      </c>
      <c r="AD61" s="196">
        <f>'Tariff Jul 2021'!G49</f>
        <v>42614</v>
      </c>
      <c r="AE61" s="327"/>
      <c r="AF61" s="327"/>
      <c r="AG61" s="327"/>
      <c r="AH61" s="327"/>
      <c r="AI61" s="327"/>
      <c r="AJ61" s="327"/>
      <c r="AK61" s="327"/>
      <c r="AL61" s="327"/>
      <c r="AM61" s="327"/>
      <c r="AN61" s="327"/>
      <c r="AO61" s="327"/>
      <c r="AP61" s="327"/>
      <c r="AQ61" s="327"/>
      <c r="AR61" s="327"/>
      <c r="AS61" s="327"/>
      <c r="AT61" s="327"/>
      <c r="AU61" s="327"/>
      <c r="AV61" s="327"/>
    </row>
    <row r="62" spans="1:48" s="187" customFormat="1" x14ac:dyDescent="0.15">
      <c r="A62" s="186" t="str">
        <f>'Tariff Jul 2021'!K50</f>
        <v>Nectr</v>
      </c>
      <c r="B62" s="187" t="str">
        <f>'Tariff Jul 2021'!L50</f>
        <v>Friends Clean</v>
      </c>
      <c r="C62" s="208">
        <f>IF('Tariff Jul 2021'!BP50=0,91*'Tariff Jul 2021'!M50/100,(91*'Tariff Jul 2021'!M50/100)+'Tariff Jul 2021'!BP50/4)</f>
        <v>93.274999999999977</v>
      </c>
      <c r="D62" s="208">
        <f>IF('Tariff Jul 2021'!O50="",$H$5*'Tariff Jul 2021'!N50/100,IF($H$5&gt;='Tariff Jul 2021'!P50,('Tariff Jul 2021'!P50*'Tariff Jul 2021'!N50/100),($H$5*'Tariff Jul 2021'!N50/100)))</f>
        <v>184.23429119999997</v>
      </c>
      <c r="E62" s="208">
        <f>IF(AND('Tariff Jul 2021'!P50&gt;0,'Tariff Jul 2021'!R50&gt;0),IF($H$5&lt;'Tariff Jul 2021'!P50,0,IF($H$5&lt;=('Tariff Jul 2021'!R50+'Tariff Jul 2021'!P50),(($H$5-'Tariff Jul 2021'!P50)*'Tariff Jul 2021'!Q50/100),(('Tariff Jul 2021'!R50)*'Tariff Jul 2021'!Q50/100))),0)</f>
        <v>0</v>
      </c>
      <c r="F62" s="208">
        <f>IF(AND('Tariff Jul 2021'!Q50&gt;0,'Tariff Jul 2021'!S50&gt;0),IF($H$5&lt;('Tariff Jul 2021'!R50+'Tariff Jul 2021'!P50),0,IF($H$5&lt;=('Tariff Jul 2021'!T50+'Tariff Jul 2021'!R50+'Tariff Jul 2021'!P50),(($H$5-('Tariff Jul 2021'!R50+'Tariff Jul 2021'!P50))*'Tariff Jul 2021'!S50/100),('Tariff Jul 2021'!T50*'Tariff Jul 2021'!S50/100))),0)</f>
        <v>0</v>
      </c>
      <c r="G62" s="208">
        <f>IF('Tariff Jul 2021'!T50&gt;0,IF(($H$5&lt;'Tariff Jul 2021'!T50),(0),($H$5-'Tariff Jul 2021'!T50)*'Tariff Jul 2021'!U50/100),IF(AND('Tariff Jul 2021'!R50&gt;0,'Tariff Jul 2021'!T50=""),IF(($H$5&lt;'Tariff Jul 2021'!R50),(0),($H$5-'Tariff Jul 2021'!R50)*'Tariff Jul 2021'!S50/100),IF(AND('Tariff Jul 2021'!P50&gt;0,'Tariff Jul 2021'!R50=""),IF(($H$5&lt;'Tariff Jul 2021'!P50),(0),($H$5-'Tariff Jul 2021'!P50)*'Tariff Jul 2021'!Q50/100),0)))</f>
        <v>0</v>
      </c>
      <c r="H62" s="208">
        <f>($I$5)*'Tariff Jul 2021'!AE50/100</f>
        <v>30.80309061818182</v>
      </c>
      <c r="I62" s="208">
        <v>0</v>
      </c>
      <c r="J62" s="208">
        <f t="shared" si="31"/>
        <v>308.31238181818179</v>
      </c>
      <c r="K62" s="283">
        <f t="shared" si="30"/>
        <v>860.14952727272725</v>
      </c>
      <c r="L62" s="283">
        <f t="shared" si="28"/>
        <v>1233.2495272727272</v>
      </c>
      <c r="M62" s="191">
        <f t="shared" si="29"/>
        <v>1356.57448</v>
      </c>
      <c r="N62" s="187">
        <f>'Tariff Jul 2021'!AZ50</f>
        <v>0</v>
      </c>
      <c r="O62" s="187">
        <f>'Tariff Jul 2021'!BA50</f>
        <v>0</v>
      </c>
      <c r="P62" s="187">
        <f>'Tariff Jul 2021'!BB50</f>
        <v>0</v>
      </c>
      <c r="Q62" s="187">
        <f>'Tariff Jul 2021'!BC50</f>
        <v>0</v>
      </c>
      <c r="R62" s="192">
        <f>($F$6*'Tariff Jul 2021'!AT50/100)*4</f>
        <v>63.888640000000002</v>
      </c>
      <c r="S62" s="193" t="str">
        <f t="shared" si="20"/>
        <v>No discount</v>
      </c>
      <c r="T62" s="193" t="str">
        <f t="shared" si="21"/>
        <v>Exclusive</v>
      </c>
      <c r="U62" s="304">
        <f t="shared" si="22"/>
        <v>1233.2495272727272</v>
      </c>
      <c r="V62" s="283">
        <f t="shared" si="23"/>
        <v>1233.2495272727272</v>
      </c>
      <c r="W62" s="283">
        <f t="shared" si="24"/>
        <v>1169.3608872727273</v>
      </c>
      <c r="X62" s="283">
        <f t="shared" si="25"/>
        <v>1169.3608872727273</v>
      </c>
      <c r="Y62" s="285">
        <f t="shared" si="32"/>
        <v>1286.2969760000001</v>
      </c>
      <c r="Z62" s="285">
        <f t="shared" si="32"/>
        <v>1286.2969760000001</v>
      </c>
      <c r="AA62" s="194">
        <f>'Tariff Jul 2021'!AT50</f>
        <v>2</v>
      </c>
      <c r="AB62" s="195">
        <f>'Tariff Jul 2021'!BL50</f>
        <v>0</v>
      </c>
      <c r="AC62" s="195" t="str">
        <f>'Tariff Jul 2021'!BM50</f>
        <v>n</v>
      </c>
      <c r="AD62" s="196">
        <f>'Tariff Jul 2021'!G50</f>
        <v>42916</v>
      </c>
      <c r="AE62" s="327"/>
      <c r="AF62" s="327"/>
      <c r="AG62" s="327"/>
      <c r="AH62" s="327"/>
      <c r="AI62" s="327"/>
      <c r="AJ62" s="327"/>
      <c r="AK62" s="327"/>
      <c r="AL62" s="327"/>
      <c r="AM62" s="327"/>
      <c r="AN62" s="327"/>
      <c r="AO62" s="327"/>
      <c r="AP62" s="327"/>
      <c r="AQ62" s="327"/>
      <c r="AR62" s="327"/>
      <c r="AS62" s="327"/>
      <c r="AT62" s="327"/>
      <c r="AU62" s="327"/>
      <c r="AV62" s="327"/>
    </row>
    <row r="63" spans="1:48" s="187" customFormat="1" x14ac:dyDescent="0.15">
      <c r="A63" s="186" t="str">
        <f>'Tariff Jul 2021'!K51</f>
        <v>Tango Energy</v>
      </c>
      <c r="B63" s="187" t="str">
        <f>'Tariff Jul 2021'!L51</f>
        <v>Solar Plus</v>
      </c>
      <c r="C63" s="208">
        <f>IF('Tariff Jul 2021'!BP51=0,91*'Tariff Jul 2021'!M51/100,(91*'Tariff Jul 2021'!M51/100)+'Tariff Jul 2021'!BP51/4)</f>
        <v>93.729999999999976</v>
      </c>
      <c r="D63" s="208">
        <f>IF('Tariff Jul 2021'!O51="",$H$5*'Tariff Jul 2021'!N51/100,IF($H$5&gt;='Tariff Jul 2021'!P51,('Tariff Jul 2021'!P51*'Tariff Jul 2021'!N51/100),($H$5*'Tariff Jul 2021'!N51/100)))</f>
        <v>245.6457216</v>
      </c>
      <c r="E63" s="208">
        <f>IF(AND('Tariff Jul 2021'!P51&gt;0,'Tariff Jul 2021'!R51&gt;0),IF($H$5&lt;'Tariff Jul 2021'!P51,0,IF($H$5&lt;=('Tariff Jul 2021'!R51+'Tariff Jul 2021'!P51),(($H$5-'Tariff Jul 2021'!P51)*'Tariff Jul 2021'!Q51/100),(('Tariff Jul 2021'!R51)*'Tariff Jul 2021'!Q51/100))),0)</f>
        <v>0</v>
      </c>
      <c r="F63" s="208">
        <f>IF(AND('Tariff Jul 2021'!Q51&gt;0,'Tariff Jul 2021'!S51&gt;0),IF($H$5&lt;('Tariff Jul 2021'!R51+'Tariff Jul 2021'!P51),0,IF($H$5&lt;=('Tariff Jul 2021'!T51+'Tariff Jul 2021'!R51+'Tariff Jul 2021'!P51),(($H$5-('Tariff Jul 2021'!R51+'Tariff Jul 2021'!P51))*'Tariff Jul 2021'!S51/100),('Tariff Jul 2021'!T51*'Tariff Jul 2021'!S51/100))),0)</f>
        <v>0</v>
      </c>
      <c r="G63" s="208">
        <f>IF('Tariff Jul 2021'!T51&gt;0,IF(($H$5&lt;'Tariff Jul 2021'!T51),(0),($H$5-'Tariff Jul 2021'!T51)*'Tariff Jul 2021'!U51/100),IF(AND('Tariff Jul 2021'!R51&gt;0,'Tariff Jul 2021'!T51=""),IF(($H$5&lt;'Tariff Jul 2021'!R51),(0),($H$5-'Tariff Jul 2021'!R51)*'Tariff Jul 2021'!S51/100),IF(AND('Tariff Jul 2021'!P51&gt;0,'Tariff Jul 2021'!R51=""),IF(($H$5&lt;'Tariff Jul 2021'!P51),(0),($H$5-'Tariff Jul 2021'!P51)*'Tariff Jul 2021'!Q51/100),0)))</f>
        <v>0</v>
      </c>
      <c r="H63" s="208">
        <f>($I$5)*'Tariff Jul 2021'!AE51/100</f>
        <v>24.343854545454541</v>
      </c>
      <c r="I63" s="208">
        <v>0</v>
      </c>
      <c r="J63" s="208">
        <f t="shared" ref="J63:J64" si="33">SUM(C63:I63)</f>
        <v>363.71957614545448</v>
      </c>
      <c r="K63" s="283">
        <f t="shared" ref="K63:K64" si="34">(J63-C63)*4</f>
        <v>1079.9583045818181</v>
      </c>
      <c r="L63" s="283">
        <f t="shared" ref="L63:L64" si="35">J63*4</f>
        <v>1454.8783045818179</v>
      </c>
      <c r="M63" s="191">
        <f t="shared" ref="M63:M64" si="36">L63*1.1</f>
        <v>1600.3661350399998</v>
      </c>
      <c r="N63" s="187">
        <f>'Tariff Jul 2021'!AZ51</f>
        <v>0</v>
      </c>
      <c r="O63" s="187">
        <f>'Tariff Jul 2021'!BA51</f>
        <v>0</v>
      </c>
      <c r="P63" s="187">
        <f>'Tariff Jul 2021'!BB51</f>
        <v>0</v>
      </c>
      <c r="Q63" s="187">
        <f>'Tariff Jul 2021'!BC51</f>
        <v>0</v>
      </c>
      <c r="R63" s="192">
        <f>($F$6*'Tariff Jul 2021'!AT51/100)*4</f>
        <v>638.88640000000009</v>
      </c>
      <c r="S63" s="193" t="str">
        <f t="shared" si="20"/>
        <v>No discount</v>
      </c>
      <c r="T63" s="193" t="str">
        <f t="shared" si="21"/>
        <v>Exclusive</v>
      </c>
      <c r="U63" s="304">
        <f t="shared" si="22"/>
        <v>1454.8783045818179</v>
      </c>
      <c r="V63" s="283">
        <f t="shared" si="23"/>
        <v>1454.8783045818179</v>
      </c>
      <c r="W63" s="283">
        <f t="shared" ref="W63:W64" si="37">U63-R63</f>
        <v>815.99190458181783</v>
      </c>
      <c r="X63" s="283">
        <f t="shared" ref="X63:X64" si="38">V63-R63</f>
        <v>815.99190458181783</v>
      </c>
      <c r="Y63" s="285">
        <f t="shared" ref="Y63:Y64" si="39">W63*1.1</f>
        <v>897.59109503999969</v>
      </c>
      <c r="Z63" s="285">
        <f t="shared" ref="Z63:Z64" si="40">X63*1.1</f>
        <v>897.59109503999969</v>
      </c>
      <c r="AA63" s="194">
        <f>'Tariff Jul 2021'!AT51</f>
        <v>20</v>
      </c>
      <c r="AB63" s="195">
        <f>'Tariff Jul 2021'!BL51</f>
        <v>0</v>
      </c>
      <c r="AC63" s="195" t="str">
        <f>'Tariff Jul 2021'!BM51</f>
        <v>n</v>
      </c>
      <c r="AD63" s="196">
        <f>'Tariff Jul 2021'!G51</f>
        <v>42857</v>
      </c>
      <c r="AE63" s="327"/>
      <c r="AF63" s="327"/>
      <c r="AG63" s="327"/>
      <c r="AH63" s="327"/>
      <c r="AI63" s="327"/>
      <c r="AJ63" s="327"/>
      <c r="AK63" s="327"/>
      <c r="AL63" s="327"/>
      <c r="AM63" s="327"/>
      <c r="AN63" s="327"/>
      <c r="AO63" s="327"/>
      <c r="AP63" s="327"/>
      <c r="AQ63" s="327"/>
      <c r="AR63" s="327"/>
      <c r="AS63" s="327"/>
      <c r="AT63" s="327"/>
      <c r="AU63" s="327"/>
      <c r="AV63" s="327"/>
    </row>
    <row r="64" spans="1:48" s="187" customFormat="1" ht="15" thickBot="1" x14ac:dyDescent="0.2">
      <c r="A64" s="197" t="str">
        <f>'Tariff Jul 2021'!K52</f>
        <v>Covau</v>
      </c>
      <c r="B64" s="198" t="str">
        <f>'Tariff Jul 2021'!L52</f>
        <v>Freedom Solar</v>
      </c>
      <c r="C64" s="209">
        <f>IF('Tariff Jul 2021'!BP52=0,91*'Tariff Jul 2021'!M52/100,(91*'Tariff Jul 2021'!M52/100)+'Tariff Jul 2021'!BP52/4)</f>
        <v>60.515000000000001</v>
      </c>
      <c r="D64" s="209">
        <f>IF('Tariff Jul 2021'!O52="",$H$5*'Tariff Jul 2021'!N52/100,IF($H$5&gt;='Tariff Jul 2021'!P52,('Tariff Jul 2021'!P52*'Tariff Jul 2021'!N52/100),($H$5*'Tariff Jul 2021'!N52/100)))</f>
        <v>203.96904261818182</v>
      </c>
      <c r="E64" s="209">
        <f>IF(AND('Tariff Jul 2021'!P52&gt;0,'Tariff Jul 2021'!R52&gt;0),IF($H$5&lt;'Tariff Jul 2021'!P52,0,IF($H$5&lt;=('Tariff Jul 2021'!R52+'Tariff Jul 2021'!P52),(($H$5-'Tariff Jul 2021'!P52)*'Tariff Jul 2021'!Q52/100),(('Tariff Jul 2021'!R52)*'Tariff Jul 2021'!Q52/100))),0)</f>
        <v>0</v>
      </c>
      <c r="F64" s="209">
        <f>IF(AND('Tariff Jul 2021'!Q52&gt;0,'Tariff Jul 2021'!S52&gt;0),IF($H$5&lt;('Tariff Jul 2021'!R52+'Tariff Jul 2021'!P52),0,IF($H$5&lt;=('Tariff Jul 2021'!T52+'Tariff Jul 2021'!R52+'Tariff Jul 2021'!P52),(($H$5-('Tariff Jul 2021'!R52+'Tariff Jul 2021'!P52))*'Tariff Jul 2021'!S52/100),('Tariff Jul 2021'!T52*'Tariff Jul 2021'!S52/100))),0)</f>
        <v>0</v>
      </c>
      <c r="G64" s="209">
        <f>IF('Tariff Jul 2021'!T52&gt;0,IF(($H$5&lt;'Tariff Jul 2021'!T52),(0),($H$5-'Tariff Jul 2021'!T52)*'Tariff Jul 2021'!U52/100),IF(AND('Tariff Jul 2021'!R52&gt;0,'Tariff Jul 2021'!T52=""),IF(($H$5&lt;'Tariff Jul 2021'!R52),(0),($H$5-'Tariff Jul 2021'!R52)*'Tariff Jul 2021'!S52/100),IF(AND('Tariff Jul 2021'!P52&gt;0,'Tariff Jul 2021'!R52=""),IF(($H$5&lt;'Tariff Jul 2021'!P52),(0),($H$5-'Tariff Jul 2021'!P52)*'Tariff Jul 2021'!Q52/100),0)))</f>
        <v>0</v>
      </c>
      <c r="H64" s="209">
        <f>($I$5)*'Tariff Jul 2021'!AE52/100</f>
        <v>25.258593322314045</v>
      </c>
      <c r="I64" s="209">
        <v>0</v>
      </c>
      <c r="J64" s="209">
        <f t="shared" si="33"/>
        <v>289.74263594049586</v>
      </c>
      <c r="K64" s="284">
        <f t="shared" si="34"/>
        <v>916.91054376198349</v>
      </c>
      <c r="L64" s="284">
        <f t="shared" si="35"/>
        <v>1158.9705437619834</v>
      </c>
      <c r="M64" s="202">
        <f t="shared" si="36"/>
        <v>1274.8675981381818</v>
      </c>
      <c r="N64" s="198">
        <f>'Tariff Jul 2021'!AZ52</f>
        <v>0</v>
      </c>
      <c r="O64" s="198">
        <f>'Tariff Jul 2021'!BA52</f>
        <v>5</v>
      </c>
      <c r="P64" s="198">
        <f>'Tariff Jul 2021'!BB52</f>
        <v>0</v>
      </c>
      <c r="Q64" s="198">
        <f>'Tariff Jul 2021'!BC52</f>
        <v>0</v>
      </c>
      <c r="R64" s="203">
        <f>($F$6*'Tariff Jul 2021'!AT52/100)*4</f>
        <v>175.69376</v>
      </c>
      <c r="S64" s="204" t="str">
        <f t="shared" si="20"/>
        <v>Guaranteed off usage</v>
      </c>
      <c r="T64" s="204" t="str">
        <f t="shared" si="21"/>
        <v>Exclusive</v>
      </c>
      <c r="U64" s="305">
        <f t="shared" si="22"/>
        <v>1113.1250165738843</v>
      </c>
      <c r="V64" s="284">
        <f t="shared" si="23"/>
        <v>1113.1250165738843</v>
      </c>
      <c r="W64" s="284">
        <f t="shared" si="37"/>
        <v>937.4312565738843</v>
      </c>
      <c r="X64" s="284">
        <f t="shared" si="38"/>
        <v>937.4312565738843</v>
      </c>
      <c r="Y64" s="286">
        <f t="shared" si="39"/>
        <v>1031.1743822312728</v>
      </c>
      <c r="Z64" s="286">
        <f t="shared" si="40"/>
        <v>1031.1743822312728</v>
      </c>
      <c r="AA64" s="205">
        <f>'Tariff Jul 2021'!AT52</f>
        <v>5.5</v>
      </c>
      <c r="AB64" s="206">
        <f>'Tariff Jul 2021'!BL52</f>
        <v>0</v>
      </c>
      <c r="AC64" s="206" t="str">
        <f>'Tariff Jul 2021'!BM52</f>
        <v>n</v>
      </c>
      <c r="AD64" s="207">
        <f>'Tariff Jul 2021'!G52</f>
        <v>42941</v>
      </c>
      <c r="AE64" s="327"/>
      <c r="AF64" s="327"/>
      <c r="AG64" s="327"/>
      <c r="AH64" s="327"/>
      <c r="AI64" s="327"/>
      <c r="AJ64" s="327"/>
      <c r="AK64" s="327"/>
      <c r="AL64" s="327"/>
      <c r="AM64" s="327"/>
      <c r="AN64" s="327"/>
      <c r="AO64" s="327"/>
      <c r="AP64" s="327"/>
      <c r="AQ64" s="327"/>
      <c r="AR64" s="327"/>
      <c r="AS64" s="327"/>
      <c r="AT64" s="327"/>
      <c r="AU64" s="327"/>
      <c r="AV64" s="327"/>
    </row>
    <row r="65" spans="1:48" s="187" customFormat="1" x14ac:dyDescent="0.15">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row>
    <row r="66" spans="1:48" s="187" customFormat="1" x14ac:dyDescent="0.15">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row>
    <row r="67" spans="1:48" s="187" customFormat="1" x14ac:dyDescent="0.15">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row>
    <row r="68" spans="1:48" s="187" customFormat="1" x14ac:dyDescent="0.15">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row>
    <row r="69" spans="1:48" s="187" customFormat="1" x14ac:dyDescent="0.15">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row>
    <row r="70" spans="1:48" s="187" customFormat="1" x14ac:dyDescent="0.15">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row>
    <row r="71" spans="1:48" s="187" customFormat="1" x14ac:dyDescent="0.15">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row>
    <row r="72" spans="1:48" s="187" customFormat="1" x14ac:dyDescent="0.15">
      <c r="A72" s="327"/>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row>
    <row r="73" spans="1:48" s="187" customFormat="1" x14ac:dyDescent="0.15">
      <c r="A73" s="327"/>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row>
    <row r="74" spans="1:48" s="187" customFormat="1" x14ac:dyDescent="0.15">
      <c r="A74" s="327"/>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row>
    <row r="75" spans="1:48" s="187" customFormat="1" x14ac:dyDescent="0.15">
      <c r="A75" s="327"/>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row>
    <row r="76" spans="1:48" s="187" customFormat="1" x14ac:dyDescent="0.15">
      <c r="A76" s="327"/>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row>
    <row r="77" spans="1:48" s="187" customFormat="1" x14ac:dyDescent="0.15">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row>
    <row r="78" spans="1:48" s="187" customFormat="1" x14ac:dyDescent="0.15">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row>
    <row r="79" spans="1:48" s="187" customFormat="1" x14ac:dyDescent="0.15">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row>
    <row r="80" spans="1:48" s="187" customFormat="1" x14ac:dyDescent="0.15"/>
    <row r="81" s="187" customFormat="1" x14ac:dyDescent="0.15"/>
    <row r="82" s="187" customFormat="1" x14ac:dyDescent="0.15"/>
    <row r="83" s="187" customFormat="1" x14ac:dyDescent="0.15"/>
    <row r="84" s="187" customFormat="1" x14ac:dyDescent="0.15"/>
    <row r="85" s="187" customFormat="1" x14ac:dyDescent="0.15"/>
    <row r="86" s="187" customFormat="1" x14ac:dyDescent="0.15"/>
    <row r="87" s="187" customFormat="1" x14ac:dyDescent="0.15"/>
    <row r="88" s="187" customFormat="1" x14ac:dyDescent="0.15"/>
    <row r="89" s="187" customFormat="1" x14ac:dyDescent="0.15"/>
    <row r="90" s="187" customFormat="1" x14ac:dyDescent="0.15"/>
    <row r="91" s="187" customFormat="1" x14ac:dyDescent="0.15"/>
    <row r="92" s="187" customFormat="1" x14ac:dyDescent="0.15"/>
    <row r="93" s="187" customFormat="1" x14ac:dyDescent="0.15"/>
    <row r="94" s="187" customFormat="1" x14ac:dyDescent="0.15"/>
    <row r="95" s="187" customFormat="1" x14ac:dyDescent="0.15"/>
    <row r="96" s="187" customFormat="1" x14ac:dyDescent="0.15"/>
    <row r="97" s="187" customFormat="1" x14ac:dyDescent="0.15"/>
    <row r="98" s="187" customFormat="1" x14ac:dyDescent="0.15"/>
    <row r="99" s="187" customFormat="1" x14ac:dyDescent="0.15"/>
    <row r="100" s="187" customFormat="1" x14ac:dyDescent="0.15"/>
    <row r="101" s="187" customFormat="1" x14ac:dyDescent="0.15"/>
    <row r="102" s="187" customFormat="1" x14ac:dyDescent="0.15"/>
    <row r="103" s="187" customFormat="1" x14ac:dyDescent="0.15"/>
    <row r="104" s="187" customFormat="1" x14ac:dyDescent="0.15"/>
    <row r="105" s="187" customFormat="1" x14ac:dyDescent="0.15"/>
    <row r="106" s="187" customFormat="1" x14ac:dyDescent="0.15"/>
    <row r="107" s="187" customFormat="1" x14ac:dyDescent="0.15"/>
    <row r="108" s="187" customFormat="1" x14ac:dyDescent="0.15"/>
    <row r="109" s="187" customFormat="1" x14ac:dyDescent="0.15"/>
    <row r="110" s="187" customFormat="1" x14ac:dyDescent="0.15"/>
    <row r="111" s="187" customFormat="1" x14ac:dyDescent="0.15"/>
    <row r="112" s="187" customFormat="1" x14ac:dyDescent="0.15"/>
    <row r="113" s="187" customFormat="1" x14ac:dyDescent="0.15"/>
    <row r="114" s="187" customFormat="1" x14ac:dyDescent="0.15"/>
    <row r="115" s="187" customFormat="1" x14ac:dyDescent="0.15"/>
    <row r="116" s="187" customFormat="1" x14ac:dyDescent="0.15"/>
    <row r="117" s="187" customFormat="1" x14ac:dyDescent="0.15"/>
    <row r="118" s="187" customFormat="1" x14ac:dyDescent="0.15"/>
    <row r="119" s="187" customFormat="1" x14ac:dyDescent="0.15"/>
    <row r="120" s="187" customFormat="1" x14ac:dyDescent="0.15"/>
    <row r="121" s="187" customFormat="1" x14ac:dyDescent="0.15"/>
    <row r="122" s="187" customFormat="1" x14ac:dyDescent="0.15"/>
    <row r="123" s="187" customFormat="1" x14ac:dyDescent="0.15"/>
    <row r="124" s="187" customFormat="1" x14ac:dyDescent="0.15"/>
    <row r="125" s="187" customFormat="1" x14ac:dyDescent="0.15"/>
    <row r="126" s="187" customFormat="1" x14ac:dyDescent="0.15"/>
    <row r="127" s="187" customFormat="1" x14ac:dyDescent="0.15"/>
    <row r="128" s="187" customFormat="1" x14ac:dyDescent="0.15"/>
    <row r="129" s="187" customFormat="1" x14ac:dyDescent="0.15"/>
    <row r="130" s="187" customFormat="1" x14ac:dyDescent="0.15"/>
    <row r="131" s="187" customFormat="1" x14ac:dyDescent="0.15"/>
    <row r="132" s="187" customFormat="1" x14ac:dyDescent="0.15"/>
    <row r="133" s="187" customFormat="1" x14ac:dyDescent="0.15"/>
    <row r="134" s="187" customFormat="1" x14ac:dyDescent="0.15"/>
    <row r="135" s="187" customFormat="1" x14ac:dyDescent="0.15"/>
    <row r="136" s="187" customFormat="1" x14ac:dyDescent="0.15"/>
    <row r="137" s="187" customFormat="1" x14ac:dyDescent="0.15"/>
    <row r="138" s="187" customFormat="1" x14ac:dyDescent="0.15"/>
    <row r="139" s="187" customFormat="1" x14ac:dyDescent="0.15"/>
    <row r="140" s="187" customFormat="1" x14ac:dyDescent="0.15"/>
    <row r="141" s="187" customFormat="1" x14ac:dyDescent="0.15"/>
    <row r="142" s="187" customFormat="1" x14ac:dyDescent="0.15"/>
    <row r="143" s="187" customFormat="1" x14ac:dyDescent="0.15"/>
    <row r="144" s="187" customFormat="1" x14ac:dyDescent="0.15"/>
    <row r="145" s="187" customFormat="1" x14ac:dyDescent="0.15"/>
    <row r="146" s="187" customFormat="1" x14ac:dyDescent="0.15"/>
    <row r="147" s="187" customFormat="1" x14ac:dyDescent="0.15"/>
    <row r="148" s="187" customFormat="1" x14ac:dyDescent="0.15"/>
    <row r="149" s="187" customFormat="1" x14ac:dyDescent="0.15"/>
    <row r="150" s="187" customFormat="1" x14ac:dyDescent="0.15"/>
    <row r="151" s="187" customFormat="1" x14ac:dyDescent="0.15"/>
    <row r="152" s="187" customFormat="1" x14ac:dyDescent="0.15"/>
    <row r="153" s="187" customFormat="1" x14ac:dyDescent="0.15"/>
    <row r="154" s="187" customFormat="1" x14ac:dyDescent="0.15"/>
    <row r="155" s="187" customFormat="1" x14ac:dyDescent="0.15"/>
    <row r="156" s="187" customFormat="1" x14ac:dyDescent="0.15"/>
    <row r="157" s="187" customFormat="1" x14ac:dyDescent="0.15"/>
    <row r="158" s="187" customFormat="1" x14ac:dyDescent="0.15"/>
    <row r="159" s="187" customFormat="1" x14ac:dyDescent="0.15"/>
    <row r="160" s="187" customFormat="1" x14ac:dyDescent="0.15"/>
    <row r="161" s="187" customFormat="1" x14ac:dyDescent="0.15"/>
    <row r="162" s="187" customFormat="1" x14ac:dyDescent="0.15"/>
    <row r="163" s="187" customFormat="1" x14ac:dyDescent="0.15"/>
    <row r="164" s="187" customFormat="1" x14ac:dyDescent="0.15"/>
    <row r="165" s="187" customFormat="1" x14ac:dyDescent="0.15"/>
    <row r="166" s="187" customFormat="1" x14ac:dyDescent="0.15"/>
    <row r="167" s="187" customFormat="1" x14ac:dyDescent="0.15"/>
    <row r="168" s="187" customFormat="1" x14ac:dyDescent="0.15"/>
    <row r="169" s="187" customFormat="1" x14ac:dyDescent="0.15"/>
    <row r="170" s="187" customFormat="1" x14ac:dyDescent="0.15"/>
    <row r="171" s="187" customFormat="1" x14ac:dyDescent="0.15"/>
    <row r="172" s="187" customFormat="1" x14ac:dyDescent="0.15"/>
    <row r="173" s="187" customFormat="1" x14ac:dyDescent="0.15"/>
    <row r="174" s="187" customFormat="1" x14ac:dyDescent="0.15"/>
    <row r="175" s="187" customFormat="1" x14ac:dyDescent="0.15"/>
    <row r="176" s="187" customFormat="1" x14ac:dyDescent="0.15"/>
    <row r="177" s="187" customFormat="1" x14ac:dyDescent="0.15"/>
    <row r="178" s="187" customFormat="1" x14ac:dyDescent="0.15"/>
    <row r="179" s="187" customFormat="1" x14ac:dyDescent="0.15"/>
    <row r="180" s="187" customFormat="1" x14ac:dyDescent="0.15"/>
    <row r="181" s="187" customFormat="1" x14ac:dyDescent="0.15"/>
    <row r="182" s="187" customFormat="1" x14ac:dyDescent="0.15"/>
    <row r="183" s="187" customFormat="1" x14ac:dyDescent="0.15"/>
    <row r="184" s="187" customFormat="1" x14ac:dyDescent="0.15"/>
    <row r="185" s="187" customFormat="1" x14ac:dyDescent="0.15"/>
    <row r="186" s="187" customFormat="1" x14ac:dyDescent="0.15"/>
    <row r="187" s="187" customFormat="1" x14ac:dyDescent="0.15"/>
    <row r="188" s="187" customFormat="1" x14ac:dyDescent="0.15"/>
    <row r="189" s="187" customFormat="1" x14ac:dyDescent="0.15"/>
    <row r="190" s="187" customFormat="1" x14ac:dyDescent="0.15"/>
    <row r="191" s="187" customFormat="1" x14ac:dyDescent="0.15"/>
    <row r="192" s="187" customFormat="1" x14ac:dyDescent="0.15"/>
    <row r="193" s="187" customFormat="1" x14ac:dyDescent="0.15"/>
    <row r="194" s="187" customFormat="1" x14ac:dyDescent="0.15"/>
    <row r="195" s="187" customFormat="1" x14ac:dyDescent="0.15"/>
    <row r="196" s="187" customFormat="1" x14ac:dyDescent="0.15"/>
    <row r="197" s="187" customFormat="1" x14ac:dyDescent="0.15"/>
    <row r="198" s="187" customFormat="1" x14ac:dyDescent="0.15"/>
    <row r="199" s="187" customFormat="1" x14ac:dyDescent="0.15"/>
    <row r="200" s="187" customFormat="1" x14ac:dyDescent="0.15"/>
    <row r="201" s="187" customFormat="1" x14ac:dyDescent="0.15"/>
    <row r="202" s="187" customFormat="1" x14ac:dyDescent="0.15"/>
    <row r="203" s="187" customFormat="1" x14ac:dyDescent="0.15"/>
    <row r="204" s="187" customFormat="1" x14ac:dyDescent="0.15"/>
    <row r="205" s="187" customFormat="1" x14ac:dyDescent="0.15"/>
    <row r="206" s="187" customFormat="1" x14ac:dyDescent="0.15"/>
    <row r="207" s="187" customFormat="1" x14ac:dyDescent="0.15"/>
    <row r="208" s="187" customFormat="1" x14ac:dyDescent="0.15"/>
    <row r="209" s="187" customFormat="1" x14ac:dyDescent="0.15"/>
    <row r="210" s="187" customFormat="1" x14ac:dyDescent="0.15"/>
    <row r="211" s="187" customFormat="1" x14ac:dyDescent="0.15"/>
    <row r="212" s="187" customFormat="1" x14ac:dyDescent="0.15"/>
    <row r="213" s="187" customFormat="1" x14ac:dyDescent="0.15"/>
    <row r="214" s="187" customFormat="1" x14ac:dyDescent="0.15"/>
    <row r="215" s="187" customFormat="1" x14ac:dyDescent="0.15"/>
    <row r="216" s="187" customFormat="1" x14ac:dyDescent="0.15"/>
    <row r="217" s="187" customFormat="1" x14ac:dyDescent="0.15"/>
    <row r="218" s="187" customFormat="1" x14ac:dyDescent="0.15"/>
    <row r="219" s="187" customFormat="1" x14ac:dyDescent="0.15"/>
    <row r="220" s="187" customFormat="1" x14ac:dyDescent="0.15"/>
    <row r="221" s="187" customFormat="1" x14ac:dyDescent="0.15"/>
    <row r="222" s="187" customFormat="1" x14ac:dyDescent="0.15"/>
    <row r="223" s="187" customFormat="1" x14ac:dyDescent="0.15"/>
    <row r="224" s="187" customFormat="1" x14ac:dyDescent="0.15"/>
    <row r="225" s="187" customFormat="1" x14ac:dyDescent="0.15"/>
    <row r="226" s="187" customFormat="1" x14ac:dyDescent="0.15"/>
    <row r="227" s="187" customFormat="1" x14ac:dyDescent="0.15"/>
    <row r="228" s="187" customFormat="1" x14ac:dyDescent="0.15"/>
    <row r="229" s="187" customFormat="1" x14ac:dyDescent="0.15"/>
    <row r="230" s="187" customFormat="1" x14ac:dyDescent="0.15"/>
    <row r="231" s="187" customFormat="1" x14ac:dyDescent="0.15"/>
    <row r="232" s="187" customFormat="1" x14ac:dyDescent="0.15"/>
    <row r="233" s="187" customFormat="1" x14ac:dyDescent="0.15"/>
    <row r="234" s="187" customFormat="1" x14ac:dyDescent="0.15"/>
    <row r="235" s="187" customFormat="1" x14ac:dyDescent="0.15"/>
    <row r="236" s="187" customFormat="1" x14ac:dyDescent="0.15"/>
    <row r="237" s="187" customFormat="1" x14ac:dyDescent="0.15"/>
    <row r="238" s="187" customFormat="1" x14ac:dyDescent="0.15"/>
    <row r="239" s="187" customFormat="1" x14ac:dyDescent="0.15"/>
    <row r="240" s="187" customFormat="1" x14ac:dyDescent="0.15"/>
    <row r="241" s="187" customFormat="1" x14ac:dyDescent="0.15"/>
    <row r="242" s="187" customFormat="1" x14ac:dyDescent="0.15"/>
    <row r="243" s="187" customFormat="1" x14ac:dyDescent="0.15"/>
    <row r="244" s="187" customFormat="1" x14ac:dyDescent="0.15"/>
    <row r="245" s="187" customFormat="1" x14ac:dyDescent="0.15"/>
    <row r="246" s="187" customFormat="1" x14ac:dyDescent="0.15"/>
    <row r="247" s="187" customFormat="1" x14ac:dyDescent="0.15"/>
    <row r="248" s="187" customFormat="1" x14ac:dyDescent="0.15"/>
    <row r="249" s="187" customFormat="1" x14ac:dyDescent="0.15"/>
    <row r="250" s="187" customFormat="1" x14ac:dyDescent="0.15"/>
    <row r="251" s="187" customFormat="1" x14ac:dyDescent="0.15"/>
    <row r="252" s="187" customFormat="1" x14ac:dyDescent="0.15"/>
    <row r="253" s="187" customFormat="1" x14ac:dyDescent="0.15"/>
    <row r="254" s="187" customFormat="1" x14ac:dyDescent="0.15"/>
    <row r="255" s="187" customFormat="1" x14ac:dyDescent="0.15"/>
    <row r="256" s="187" customFormat="1" x14ac:dyDescent="0.15"/>
    <row r="257" s="187" customFormat="1" x14ac:dyDescent="0.15"/>
    <row r="258" s="187" customFormat="1" x14ac:dyDescent="0.15"/>
    <row r="259" s="187" customFormat="1" x14ac:dyDescent="0.15"/>
    <row r="260" s="187" customFormat="1" x14ac:dyDescent="0.15"/>
    <row r="261" s="187" customFormat="1" x14ac:dyDescent="0.15"/>
    <row r="262" s="187" customFormat="1" x14ac:dyDescent="0.15"/>
    <row r="263" s="187" customFormat="1" x14ac:dyDescent="0.15"/>
    <row r="264" s="187" customFormat="1" x14ac:dyDescent="0.15"/>
    <row r="265" s="187" customFormat="1" x14ac:dyDescent="0.15"/>
    <row r="266" s="187" customFormat="1" x14ac:dyDescent="0.15"/>
    <row r="267" s="187" customFormat="1" x14ac:dyDescent="0.15"/>
    <row r="268" s="187" customFormat="1" x14ac:dyDescent="0.15"/>
    <row r="269" s="187" customFormat="1" x14ac:dyDescent="0.15"/>
    <row r="270" s="187" customFormat="1" x14ac:dyDescent="0.15"/>
    <row r="271" s="187" customFormat="1" x14ac:dyDescent="0.15"/>
    <row r="272" s="187" customFormat="1" x14ac:dyDescent="0.15"/>
    <row r="273" s="187" customFormat="1" x14ac:dyDescent="0.15"/>
    <row r="274" s="187" customFormat="1" x14ac:dyDescent="0.15"/>
    <row r="275" s="187" customFormat="1" x14ac:dyDescent="0.15"/>
    <row r="276" s="187" customFormat="1" x14ac:dyDescent="0.15"/>
    <row r="277" s="187" customFormat="1" x14ac:dyDescent="0.15"/>
    <row r="278" s="187" customFormat="1" x14ac:dyDescent="0.15"/>
    <row r="279" s="187" customFormat="1" x14ac:dyDescent="0.15"/>
    <row r="280" s="187" customFormat="1" x14ac:dyDescent="0.15"/>
    <row r="281" s="187" customFormat="1" x14ac:dyDescent="0.15"/>
    <row r="282" s="187" customFormat="1" x14ac:dyDescent="0.15"/>
    <row r="283" s="187" customFormat="1" x14ac:dyDescent="0.15"/>
    <row r="284" s="187" customFormat="1" x14ac:dyDescent="0.15"/>
    <row r="285" s="187" customFormat="1" x14ac:dyDescent="0.15"/>
    <row r="286" s="187" customFormat="1" x14ac:dyDescent="0.15"/>
    <row r="287" s="187" customFormat="1" x14ac:dyDescent="0.15"/>
    <row r="288" s="187" customFormat="1" x14ac:dyDescent="0.15"/>
    <row r="289" s="187" customFormat="1" x14ac:dyDescent="0.15"/>
    <row r="290" s="187" customFormat="1" x14ac:dyDescent="0.15"/>
    <row r="291" s="187" customFormat="1" x14ac:dyDescent="0.15"/>
    <row r="292" s="187" customFormat="1" x14ac:dyDescent="0.15"/>
    <row r="293" s="187" customFormat="1" x14ac:dyDescent="0.15"/>
    <row r="294" s="187" customFormat="1" x14ac:dyDescent="0.15"/>
    <row r="295" s="187" customFormat="1" x14ac:dyDescent="0.15"/>
    <row r="296" s="187" customFormat="1" x14ac:dyDescent="0.15"/>
    <row r="297" s="187" customFormat="1" x14ac:dyDescent="0.15"/>
    <row r="298" s="187" customFormat="1" x14ac:dyDescent="0.15"/>
    <row r="299" s="187" customFormat="1" x14ac:dyDescent="0.15"/>
    <row r="300" s="187" customFormat="1" x14ac:dyDescent="0.15"/>
    <row r="301" s="187" customFormat="1" x14ac:dyDescent="0.15"/>
    <row r="302" s="187" customFormat="1" x14ac:dyDescent="0.15"/>
    <row r="303" s="187" customFormat="1" x14ac:dyDescent="0.15"/>
    <row r="304" s="187" customFormat="1" x14ac:dyDescent="0.15"/>
    <row r="305" s="187" customFormat="1" x14ac:dyDescent="0.15"/>
    <row r="306" s="187" customFormat="1" x14ac:dyDescent="0.15"/>
    <row r="307" s="187" customFormat="1" x14ac:dyDescent="0.15"/>
    <row r="308" s="187" customFormat="1" x14ac:dyDescent="0.15"/>
    <row r="309" s="187" customFormat="1" x14ac:dyDescent="0.15"/>
    <row r="310" s="187" customFormat="1" x14ac:dyDescent="0.15"/>
    <row r="311" s="187" customFormat="1" x14ac:dyDescent="0.15"/>
    <row r="312" s="187" customFormat="1" x14ac:dyDescent="0.15"/>
    <row r="313" s="187" customFormat="1" x14ac:dyDescent="0.15"/>
    <row r="314" s="187" customFormat="1" x14ac:dyDescent="0.15"/>
    <row r="315" s="187" customFormat="1" x14ac:dyDescent="0.15"/>
    <row r="316" s="187" customFormat="1" x14ac:dyDescent="0.15"/>
    <row r="317" s="187" customFormat="1" x14ac:dyDescent="0.15"/>
    <row r="318" s="187" customFormat="1" x14ac:dyDescent="0.15"/>
    <row r="319" s="187" customFormat="1" x14ac:dyDescent="0.15"/>
    <row r="320" s="187" customFormat="1" x14ac:dyDescent="0.15"/>
    <row r="321" s="187" customFormat="1" x14ac:dyDescent="0.15"/>
    <row r="322" s="187" customFormat="1" x14ac:dyDescent="0.15"/>
    <row r="323" s="187" customFormat="1" x14ac:dyDescent="0.15"/>
    <row r="324" s="187" customFormat="1" x14ac:dyDescent="0.15"/>
    <row r="325" s="187" customFormat="1" x14ac:dyDescent="0.15"/>
    <row r="326" s="187" customFormat="1" x14ac:dyDescent="0.15"/>
    <row r="327" s="187" customFormat="1" x14ac:dyDescent="0.15"/>
    <row r="328" s="187" customFormat="1" x14ac:dyDescent="0.15"/>
    <row r="329" s="187" customFormat="1" x14ac:dyDescent="0.15"/>
    <row r="330" s="187" customFormat="1" x14ac:dyDescent="0.15"/>
    <row r="331" s="187" customFormat="1" x14ac:dyDescent="0.15"/>
    <row r="332" s="187" customFormat="1" x14ac:dyDescent="0.15"/>
    <row r="333" s="187" customFormat="1" x14ac:dyDescent="0.15"/>
    <row r="334" s="187" customFormat="1" x14ac:dyDescent="0.15"/>
    <row r="335" s="187" customFormat="1" x14ac:dyDescent="0.15"/>
    <row r="336" s="187" customFormat="1" x14ac:dyDescent="0.15"/>
    <row r="337" s="187" customFormat="1" x14ac:dyDescent="0.15"/>
    <row r="338" s="187" customFormat="1" x14ac:dyDescent="0.15"/>
    <row r="339" s="187" customFormat="1" x14ac:dyDescent="0.15"/>
    <row r="340" s="187" customFormat="1" x14ac:dyDescent="0.15"/>
    <row r="341" s="187" customFormat="1" x14ac:dyDescent="0.15"/>
    <row r="342" s="187" customFormat="1" x14ac:dyDescent="0.15"/>
    <row r="343" s="187" customFormat="1" x14ac:dyDescent="0.15"/>
    <row r="344" s="187" customFormat="1" x14ac:dyDescent="0.15"/>
    <row r="345" s="187" customFormat="1" x14ac:dyDescent="0.15"/>
    <row r="346" s="187" customFormat="1" x14ac:dyDescent="0.15"/>
    <row r="347" s="187" customFormat="1" x14ac:dyDescent="0.15"/>
    <row r="348" s="187" customFormat="1" x14ac:dyDescent="0.15"/>
    <row r="349" s="187" customFormat="1" x14ac:dyDescent="0.15"/>
    <row r="350" s="187" customFormat="1" x14ac:dyDescent="0.15"/>
    <row r="351" s="187" customFormat="1" x14ac:dyDescent="0.15"/>
    <row r="352" s="187" customFormat="1" x14ac:dyDescent="0.15"/>
    <row r="353" s="187" customFormat="1" x14ac:dyDescent="0.15"/>
    <row r="354" s="187" customFormat="1" x14ac:dyDescent="0.15"/>
    <row r="355" s="187" customFormat="1" x14ac:dyDescent="0.15"/>
    <row r="356" s="187" customFormat="1" x14ac:dyDescent="0.15"/>
    <row r="357" s="187" customFormat="1" x14ac:dyDescent="0.15"/>
    <row r="358" s="187" customFormat="1" x14ac:dyDescent="0.15"/>
    <row r="359" s="187" customFormat="1" x14ac:dyDescent="0.15"/>
    <row r="360" s="187" customFormat="1" x14ac:dyDescent="0.15"/>
    <row r="361" s="187" customFormat="1" x14ac:dyDescent="0.15"/>
    <row r="362" s="187" customFormat="1" x14ac:dyDescent="0.15"/>
    <row r="363" s="187" customFormat="1" x14ac:dyDescent="0.15"/>
    <row r="364" s="187" customFormat="1" x14ac:dyDescent="0.15"/>
    <row r="365" s="187" customFormat="1" x14ac:dyDescent="0.15"/>
    <row r="366" s="187" customFormat="1" x14ac:dyDescent="0.15"/>
    <row r="367" s="187" customFormat="1" x14ac:dyDescent="0.15"/>
    <row r="368" s="187" customFormat="1" x14ac:dyDescent="0.15"/>
    <row r="369" s="187" customFormat="1" x14ac:dyDescent="0.15"/>
    <row r="370" s="187" customFormat="1" x14ac:dyDescent="0.15"/>
    <row r="371" s="187" customFormat="1" x14ac:dyDescent="0.15"/>
    <row r="372" s="187" customFormat="1" x14ac:dyDescent="0.15"/>
    <row r="373" s="187" customFormat="1" x14ac:dyDescent="0.15"/>
    <row r="374" s="187" customFormat="1" x14ac:dyDescent="0.15"/>
    <row r="375" s="187" customFormat="1" x14ac:dyDescent="0.15"/>
    <row r="376" s="187" customFormat="1" x14ac:dyDescent="0.15"/>
    <row r="377" s="187" customFormat="1" x14ac:dyDescent="0.15"/>
    <row r="378" s="187" customFormat="1" x14ac:dyDescent="0.15"/>
    <row r="379" s="187" customFormat="1" x14ac:dyDescent="0.15"/>
    <row r="380" s="187" customFormat="1" x14ac:dyDescent="0.15"/>
    <row r="381" s="187" customFormat="1" x14ac:dyDescent="0.15"/>
    <row r="382" s="187" customFormat="1" x14ac:dyDescent="0.15"/>
    <row r="383" s="187" customFormat="1" x14ac:dyDescent="0.15"/>
    <row r="384" s="187" customFormat="1" x14ac:dyDescent="0.15"/>
    <row r="385" s="187" customFormat="1" x14ac:dyDescent="0.15"/>
    <row r="386" s="187" customFormat="1" x14ac:dyDescent="0.15"/>
    <row r="387" s="187" customFormat="1" x14ac:dyDescent="0.15"/>
    <row r="388" s="187" customFormat="1" x14ac:dyDescent="0.15"/>
    <row r="389" s="187" customFormat="1" x14ac:dyDescent="0.15"/>
    <row r="390" s="187" customFormat="1" x14ac:dyDescent="0.15"/>
    <row r="391" s="187" customFormat="1" x14ac:dyDescent="0.15"/>
    <row r="392" s="187" customFormat="1" x14ac:dyDescent="0.15"/>
    <row r="393" s="187" customFormat="1" x14ac:dyDescent="0.15"/>
    <row r="394" s="187" customFormat="1" x14ac:dyDescent="0.15"/>
    <row r="395" s="187" customFormat="1" x14ac:dyDescent="0.15"/>
    <row r="396" s="187" customFormat="1" x14ac:dyDescent="0.15"/>
    <row r="397" s="187" customFormat="1" x14ac:dyDescent="0.15"/>
    <row r="398" s="187" customFormat="1" x14ac:dyDescent="0.15"/>
    <row r="399" s="187" customFormat="1" x14ac:dyDescent="0.15"/>
    <row r="400" s="187" customFormat="1" x14ac:dyDescent="0.15"/>
    <row r="401" s="187" customFormat="1" x14ac:dyDescent="0.15"/>
    <row r="402" s="187" customFormat="1" x14ac:dyDescent="0.15"/>
    <row r="403" s="187" customFormat="1" x14ac:dyDescent="0.15"/>
    <row r="404" s="187" customFormat="1" x14ac:dyDescent="0.15"/>
    <row r="405" s="187" customFormat="1" x14ac:dyDescent="0.15"/>
    <row r="406" s="187" customFormat="1" x14ac:dyDescent="0.15"/>
    <row r="407" s="187" customFormat="1" x14ac:dyDescent="0.15"/>
    <row r="408" s="187" customFormat="1" x14ac:dyDescent="0.15"/>
    <row r="409" s="187" customFormat="1" x14ac:dyDescent="0.15"/>
    <row r="410" s="187" customFormat="1" x14ac:dyDescent="0.15"/>
    <row r="411" s="187" customFormat="1" x14ac:dyDescent="0.15"/>
    <row r="412" s="187" customFormat="1" x14ac:dyDescent="0.15"/>
    <row r="413" s="187" customFormat="1" x14ac:dyDescent="0.15"/>
    <row r="414" s="187" customFormat="1" x14ac:dyDescent="0.15"/>
    <row r="415" s="187" customFormat="1" x14ac:dyDescent="0.15"/>
    <row r="416" s="187" customFormat="1" x14ac:dyDescent="0.15"/>
    <row r="417" s="187" customFormat="1" x14ac:dyDescent="0.15"/>
    <row r="418" s="187" customFormat="1" x14ac:dyDescent="0.15"/>
    <row r="419" s="187" customFormat="1" x14ac:dyDescent="0.15"/>
    <row r="420" s="187" customFormat="1" x14ac:dyDescent="0.15"/>
    <row r="421" s="187" customFormat="1" x14ac:dyDescent="0.15"/>
    <row r="422" s="187" customFormat="1" x14ac:dyDescent="0.15"/>
    <row r="423" s="187" customFormat="1" x14ac:dyDescent="0.15"/>
    <row r="424" s="187" customFormat="1" x14ac:dyDescent="0.15"/>
    <row r="425" s="187" customFormat="1" x14ac:dyDescent="0.15"/>
    <row r="426" s="187" customFormat="1" x14ac:dyDescent="0.15"/>
    <row r="427" s="187" customFormat="1" x14ac:dyDescent="0.15"/>
    <row r="428" s="187" customFormat="1" x14ac:dyDescent="0.15"/>
    <row r="429" s="187" customFormat="1" x14ac:dyDescent="0.15"/>
    <row r="430" s="187" customFormat="1" x14ac:dyDescent="0.15"/>
    <row r="431" s="187" customFormat="1" x14ac:dyDescent="0.15"/>
    <row r="432" s="187" customFormat="1" x14ac:dyDescent="0.15"/>
    <row r="433" s="187" customFormat="1" x14ac:dyDescent="0.15"/>
    <row r="434" s="187" customFormat="1" x14ac:dyDescent="0.15"/>
    <row r="435" s="187" customFormat="1" x14ac:dyDescent="0.15"/>
    <row r="436" s="187" customFormat="1" x14ac:dyDescent="0.15"/>
    <row r="437" s="187" customFormat="1" x14ac:dyDescent="0.15"/>
    <row r="438" s="187" customFormat="1" x14ac:dyDescent="0.15"/>
    <row r="439" s="187" customFormat="1" x14ac:dyDescent="0.15"/>
    <row r="440" s="187" customFormat="1" x14ac:dyDescent="0.15"/>
    <row r="441" s="187" customFormat="1" x14ac:dyDescent="0.15"/>
    <row r="442" s="187" customFormat="1" x14ac:dyDescent="0.15"/>
    <row r="443" s="187" customFormat="1" x14ac:dyDescent="0.15"/>
    <row r="444" s="187" customFormat="1" x14ac:dyDescent="0.15"/>
    <row r="445" s="187" customFormat="1" x14ac:dyDescent="0.15"/>
    <row r="446" s="187" customFormat="1" x14ac:dyDescent="0.15"/>
    <row r="447" s="187" customFormat="1" x14ac:dyDescent="0.15"/>
    <row r="448" s="187" customFormat="1" x14ac:dyDescent="0.15"/>
    <row r="449" s="187" customFormat="1" x14ac:dyDescent="0.15"/>
    <row r="450" s="187" customFormat="1" x14ac:dyDescent="0.15"/>
    <row r="451" s="187" customFormat="1" x14ac:dyDescent="0.15"/>
    <row r="452" s="187" customFormat="1" x14ac:dyDescent="0.15"/>
    <row r="453" s="187" customFormat="1" x14ac:dyDescent="0.15"/>
    <row r="454" s="187" customFormat="1" x14ac:dyDescent="0.15"/>
    <row r="455" s="187" customFormat="1" x14ac:dyDescent="0.15"/>
    <row r="456" s="187" customFormat="1" x14ac:dyDescent="0.15"/>
    <row r="457" s="187" customFormat="1" x14ac:dyDescent="0.15"/>
    <row r="458" s="187" customFormat="1" x14ac:dyDescent="0.15"/>
    <row r="459" s="187" customFormat="1" x14ac:dyDescent="0.15"/>
    <row r="460" s="187" customFormat="1" x14ac:dyDescent="0.15"/>
    <row r="461" s="187" customFormat="1" x14ac:dyDescent="0.15"/>
    <row r="462" s="187" customFormat="1" x14ac:dyDescent="0.15"/>
    <row r="463" s="187" customFormat="1" x14ac:dyDescent="0.15"/>
    <row r="464" s="187" customFormat="1" x14ac:dyDescent="0.15"/>
    <row r="465" s="187" customFormat="1" x14ac:dyDescent="0.15"/>
    <row r="466" s="187" customFormat="1" x14ac:dyDescent="0.15"/>
    <row r="467" s="187" customFormat="1" x14ac:dyDescent="0.15"/>
    <row r="468" s="187" customFormat="1" x14ac:dyDescent="0.15"/>
    <row r="469" s="187" customFormat="1" x14ac:dyDescent="0.15"/>
    <row r="470" s="187" customFormat="1" x14ac:dyDescent="0.15"/>
    <row r="471" s="187" customFormat="1" x14ac:dyDescent="0.15"/>
    <row r="472" s="187" customFormat="1" x14ac:dyDescent="0.15"/>
    <row r="473" s="187" customFormat="1" x14ac:dyDescent="0.15"/>
    <row r="474" s="187" customFormat="1" x14ac:dyDescent="0.15"/>
    <row r="475" s="187" customFormat="1" x14ac:dyDescent="0.15"/>
    <row r="476" s="187" customFormat="1" x14ac:dyDescent="0.15"/>
    <row r="477" s="187" customFormat="1" x14ac:dyDescent="0.15"/>
    <row r="478" s="187" customFormat="1" x14ac:dyDescent="0.15"/>
    <row r="479" s="187" customFormat="1" x14ac:dyDescent="0.15"/>
    <row r="480" s="187" customFormat="1" x14ac:dyDescent="0.15"/>
    <row r="481" s="187" customFormat="1" x14ac:dyDescent="0.15"/>
    <row r="482" s="187" customFormat="1" x14ac:dyDescent="0.15"/>
    <row r="483" s="187" customFormat="1" x14ac:dyDescent="0.15"/>
    <row r="484" s="187" customFormat="1" x14ac:dyDescent="0.15"/>
    <row r="485" s="187" customFormat="1" x14ac:dyDescent="0.15"/>
    <row r="486" s="187" customFormat="1" x14ac:dyDescent="0.15"/>
    <row r="487" s="187" customFormat="1" x14ac:dyDescent="0.15"/>
    <row r="488" s="187" customFormat="1" x14ac:dyDescent="0.15"/>
    <row r="489" s="187" customFormat="1" x14ac:dyDescent="0.15"/>
    <row r="490" s="187" customFormat="1" x14ac:dyDescent="0.15"/>
    <row r="491" s="187" customFormat="1" x14ac:dyDescent="0.15"/>
    <row r="492" s="187" customFormat="1" x14ac:dyDescent="0.15"/>
    <row r="493" s="187" customFormat="1" x14ac:dyDescent="0.15"/>
    <row r="494" s="187" customFormat="1" x14ac:dyDescent="0.15"/>
    <row r="495" s="187" customFormat="1" x14ac:dyDescent="0.15"/>
    <row r="496" s="187" customFormat="1" x14ac:dyDescent="0.15"/>
    <row r="497" s="187" customFormat="1" x14ac:dyDescent="0.15"/>
    <row r="498" s="187" customFormat="1" x14ac:dyDescent="0.15"/>
    <row r="499" s="187" customFormat="1" x14ac:dyDescent="0.15"/>
    <row r="500" s="187" customFormat="1" x14ac:dyDescent="0.15"/>
    <row r="501" s="187" customFormat="1" x14ac:dyDescent="0.15"/>
    <row r="502" s="187" customFormat="1" x14ac:dyDescent="0.15"/>
    <row r="503" s="187" customFormat="1" x14ac:dyDescent="0.15"/>
    <row r="504" s="187" customFormat="1" x14ac:dyDescent="0.15"/>
    <row r="505" s="187" customFormat="1" x14ac:dyDescent="0.15"/>
    <row r="506" s="187" customFormat="1" x14ac:dyDescent="0.15"/>
    <row r="507" s="187" customFormat="1" x14ac:dyDescent="0.15"/>
    <row r="508" s="187" customFormat="1" x14ac:dyDescent="0.15"/>
    <row r="509" s="187" customFormat="1" x14ac:dyDescent="0.15"/>
    <row r="510" s="187" customFormat="1" x14ac:dyDescent="0.15"/>
    <row r="511" s="187" customFormat="1" x14ac:dyDescent="0.15"/>
    <row r="512" s="187" customFormat="1" x14ac:dyDescent="0.15"/>
    <row r="513" s="187" customFormat="1" x14ac:dyDescent="0.15"/>
    <row r="514" s="187" customFormat="1" x14ac:dyDescent="0.15"/>
    <row r="515" s="187" customFormat="1" x14ac:dyDescent="0.15"/>
    <row r="516" s="187" customFormat="1" x14ac:dyDescent="0.15"/>
    <row r="517" s="187" customFormat="1" x14ac:dyDescent="0.15"/>
    <row r="518" s="187" customFormat="1" x14ac:dyDescent="0.15"/>
    <row r="519" s="187" customFormat="1" x14ac:dyDescent="0.15"/>
    <row r="520" s="187" customFormat="1" x14ac:dyDescent="0.15"/>
    <row r="521" s="187" customFormat="1" x14ac:dyDescent="0.15"/>
    <row r="522" s="187" customFormat="1" x14ac:dyDescent="0.15"/>
    <row r="523" s="187" customFormat="1" x14ac:dyDescent="0.15"/>
    <row r="524" s="187" customFormat="1" x14ac:dyDescent="0.15"/>
    <row r="525" s="187" customFormat="1" x14ac:dyDescent="0.15"/>
    <row r="526" s="187" customFormat="1" x14ac:dyDescent="0.15"/>
    <row r="527" s="187" customFormat="1" x14ac:dyDescent="0.15"/>
    <row r="528" s="187" customFormat="1" x14ac:dyDescent="0.15"/>
    <row r="529" s="187" customFormat="1" x14ac:dyDescent="0.15"/>
    <row r="530" s="187" customFormat="1" x14ac:dyDescent="0.15"/>
    <row r="531" s="187" customFormat="1" x14ac:dyDescent="0.15"/>
    <row r="532" s="187" customFormat="1" x14ac:dyDescent="0.15"/>
    <row r="533" s="187" customFormat="1" x14ac:dyDescent="0.15"/>
    <row r="534" s="187" customFormat="1" x14ac:dyDescent="0.15"/>
    <row r="535" s="187" customFormat="1" x14ac:dyDescent="0.15"/>
    <row r="536" s="187" customFormat="1" x14ac:dyDescent="0.15"/>
    <row r="537" s="187" customFormat="1" x14ac:dyDescent="0.15"/>
    <row r="538" s="187" customFormat="1" x14ac:dyDescent="0.15"/>
    <row r="539" s="187" customFormat="1" x14ac:dyDescent="0.15"/>
    <row r="540" s="187" customFormat="1" x14ac:dyDescent="0.15"/>
    <row r="541" s="187" customFormat="1" x14ac:dyDescent="0.15"/>
    <row r="542" s="187" customFormat="1" x14ac:dyDescent="0.15"/>
    <row r="543" s="187" customFormat="1" x14ac:dyDescent="0.15"/>
    <row r="544" s="187" customFormat="1" x14ac:dyDescent="0.15"/>
    <row r="545" s="187" customFormat="1" x14ac:dyDescent="0.15"/>
    <row r="546" s="187" customFormat="1" x14ac:dyDescent="0.15"/>
    <row r="547" s="187" customFormat="1" x14ac:dyDescent="0.15"/>
    <row r="548" s="187" customFormat="1" x14ac:dyDescent="0.15"/>
    <row r="549" s="187" customFormat="1" x14ac:dyDescent="0.15"/>
    <row r="550" s="187" customFormat="1" x14ac:dyDescent="0.15"/>
    <row r="551" s="187" customFormat="1" x14ac:dyDescent="0.15"/>
    <row r="552" s="187" customFormat="1" x14ac:dyDescent="0.15"/>
    <row r="553" s="187" customFormat="1" x14ac:dyDescent="0.15"/>
    <row r="554" s="187" customFormat="1" x14ac:dyDescent="0.15"/>
    <row r="555" s="187" customFormat="1" x14ac:dyDescent="0.15"/>
    <row r="556" s="187" customFormat="1" x14ac:dyDescent="0.15"/>
    <row r="557" s="187" customFormat="1" x14ac:dyDescent="0.15"/>
    <row r="558" s="187" customFormat="1" x14ac:dyDescent="0.15"/>
    <row r="559" s="187" customFormat="1" x14ac:dyDescent="0.15"/>
    <row r="560" s="187" customFormat="1" x14ac:dyDescent="0.15"/>
    <row r="561" s="187" customFormat="1" x14ac:dyDescent="0.15"/>
    <row r="562" s="187" customFormat="1" x14ac:dyDescent="0.15"/>
    <row r="563" s="187" customFormat="1" x14ac:dyDescent="0.15"/>
    <row r="564" s="187" customFormat="1" x14ac:dyDescent="0.15"/>
    <row r="565" s="187" customFormat="1" x14ac:dyDescent="0.15"/>
    <row r="566" s="187" customFormat="1" x14ac:dyDescent="0.15"/>
    <row r="567" s="187" customFormat="1" x14ac:dyDescent="0.15"/>
    <row r="568" s="187" customFormat="1" x14ac:dyDescent="0.15"/>
    <row r="569" s="187" customFormat="1" x14ac:dyDescent="0.15"/>
    <row r="570" s="187" customFormat="1" x14ac:dyDescent="0.15"/>
    <row r="571" s="187" customFormat="1" x14ac:dyDescent="0.15"/>
    <row r="572" s="187" customFormat="1" x14ac:dyDescent="0.15"/>
    <row r="573" s="187" customFormat="1" x14ac:dyDescent="0.15"/>
    <row r="574" s="187" customFormat="1" x14ac:dyDescent="0.15"/>
    <row r="575" s="187" customFormat="1" x14ac:dyDescent="0.15"/>
    <row r="576" s="187" customFormat="1" x14ac:dyDescent="0.15"/>
    <row r="577" s="187" customFormat="1" x14ac:dyDescent="0.15"/>
    <row r="578" s="187" customFormat="1" x14ac:dyDescent="0.15"/>
    <row r="579" s="187" customFormat="1" x14ac:dyDescent="0.15"/>
    <row r="580" s="187" customFormat="1" x14ac:dyDescent="0.15"/>
    <row r="581" s="187" customFormat="1" x14ac:dyDescent="0.15"/>
    <row r="582" s="187" customFormat="1" x14ac:dyDescent="0.15"/>
    <row r="583" s="187" customFormat="1" x14ac:dyDescent="0.15"/>
    <row r="584" s="187" customFormat="1" x14ac:dyDescent="0.15"/>
    <row r="585" s="187" customFormat="1" x14ac:dyDescent="0.15"/>
    <row r="586" s="187" customFormat="1" x14ac:dyDescent="0.15"/>
    <row r="587" s="187" customFormat="1" x14ac:dyDescent="0.15"/>
    <row r="588" s="187" customFormat="1" x14ac:dyDescent="0.15"/>
    <row r="589" s="187" customFormat="1" x14ac:dyDescent="0.15"/>
    <row r="590" s="187" customFormat="1" x14ac:dyDescent="0.15"/>
    <row r="591" s="187" customFormat="1" x14ac:dyDescent="0.15"/>
    <row r="592" s="187" customFormat="1" x14ac:dyDescent="0.15"/>
    <row r="593" s="187" customFormat="1" x14ac:dyDescent="0.15"/>
    <row r="594" s="187" customFormat="1" x14ac:dyDescent="0.15"/>
    <row r="595" s="187" customFormat="1" x14ac:dyDescent="0.15"/>
    <row r="596" s="187" customFormat="1" x14ac:dyDescent="0.15"/>
    <row r="597" s="187" customFormat="1" x14ac:dyDescent="0.15"/>
    <row r="598" s="187" customFormat="1" x14ac:dyDescent="0.15"/>
    <row r="599" s="187" customFormat="1" x14ac:dyDescent="0.15"/>
    <row r="600" s="187" customFormat="1" x14ac:dyDescent="0.15"/>
    <row r="601" s="187" customFormat="1" x14ac:dyDescent="0.15"/>
    <row r="602" s="187" customFormat="1" x14ac:dyDescent="0.15"/>
    <row r="603" s="187" customFormat="1" x14ac:dyDescent="0.15"/>
    <row r="604" s="187" customFormat="1" x14ac:dyDescent="0.15"/>
    <row r="605" s="187" customFormat="1" x14ac:dyDescent="0.15"/>
    <row r="606" s="187" customFormat="1" x14ac:dyDescent="0.15"/>
    <row r="607" s="187" customFormat="1" x14ac:dyDescent="0.15"/>
    <row r="608" s="187" customFormat="1" x14ac:dyDescent="0.15"/>
    <row r="609" s="187" customFormat="1" x14ac:dyDescent="0.15"/>
    <row r="610" s="187" customFormat="1" x14ac:dyDescent="0.15"/>
    <row r="611" s="187" customFormat="1" x14ac:dyDescent="0.15"/>
    <row r="612" s="187" customFormat="1" x14ac:dyDescent="0.15"/>
    <row r="613" s="187" customFormat="1" x14ac:dyDescent="0.15"/>
    <row r="614" s="187" customFormat="1" x14ac:dyDescent="0.15"/>
    <row r="615" s="187" customFormat="1" x14ac:dyDescent="0.15"/>
    <row r="616" s="187" customFormat="1" x14ac:dyDescent="0.15"/>
    <row r="617" s="187" customFormat="1" x14ac:dyDescent="0.15"/>
    <row r="618" s="187" customFormat="1" x14ac:dyDescent="0.15"/>
    <row r="619" s="187" customFormat="1" x14ac:dyDescent="0.15"/>
    <row r="620" s="187" customFormat="1" x14ac:dyDescent="0.15"/>
    <row r="621" s="187" customFormat="1" x14ac:dyDescent="0.15"/>
    <row r="622" s="187" customFormat="1" x14ac:dyDescent="0.15"/>
    <row r="623" s="187" customFormat="1" x14ac:dyDescent="0.15"/>
    <row r="624" s="187" customFormat="1" x14ac:dyDescent="0.15"/>
    <row r="625" s="187" customFormat="1" x14ac:dyDescent="0.15"/>
    <row r="626" s="187" customFormat="1" x14ac:dyDescent="0.15"/>
    <row r="627" s="187" customFormat="1" x14ac:dyDescent="0.15"/>
    <row r="628" s="187" customFormat="1" x14ac:dyDescent="0.15"/>
    <row r="629" s="187" customFormat="1" x14ac:dyDescent="0.15"/>
    <row r="630" s="187" customFormat="1" x14ac:dyDescent="0.15"/>
    <row r="631" s="187" customFormat="1" x14ac:dyDescent="0.15"/>
    <row r="632" s="187" customFormat="1" x14ac:dyDescent="0.15"/>
    <row r="633" s="187" customFormat="1" x14ac:dyDescent="0.15"/>
    <row r="634" s="187" customFormat="1" x14ac:dyDescent="0.15"/>
    <row r="635" s="187" customFormat="1" x14ac:dyDescent="0.15"/>
    <row r="636" s="187" customFormat="1" x14ac:dyDescent="0.15"/>
    <row r="637" s="187" customFormat="1" x14ac:dyDescent="0.15"/>
    <row r="638" s="187" customFormat="1" x14ac:dyDescent="0.15"/>
    <row r="639" s="187" customFormat="1" x14ac:dyDescent="0.15"/>
    <row r="640" s="187" customFormat="1" x14ac:dyDescent="0.15"/>
    <row r="641" s="187" customFormat="1" x14ac:dyDescent="0.15"/>
    <row r="642" s="187" customFormat="1" x14ac:dyDescent="0.15"/>
  </sheetData>
  <sheetProtection algorithmName="SHA-512" hashValue="oJKUU6RsJ4pSnXKMZy4YsQ8XR98nHDMH5VyYFScgeYS37bvH0oq+Livdgohnbl/oxOz4d8Jtpz3FkeYUPaCdnA==" saltValue="oAA2UfwQKAYssUJ0qqSjqw==" spinCount="100000" sheet="1" objects="1" scenarios="1"/>
  <dataValidations count="2">
    <dataValidation type="whole" showInputMessage="1" showErrorMessage="1" errorTitle="Incorrect number" error="Please enter quarterly consumption between 700-4000kWh" sqref="C5" xr:uid="{E92653AC-672C-3A47-9B33-21B5AD1A5C02}">
      <formula1>700</formula1>
      <formula2>4000</formula2>
    </dataValidation>
    <dataValidation type="decimal" showInputMessage="1" showErrorMessage="1" errorTitle="Incorrect entry" error="Enter 1.5 or 3.0 only" sqref="C4" xr:uid="{8F7A4FA5-1C67-0E4B-AE1D-9267EB4377E4}">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7D237-52D4-CA41-972C-9EE5EECA0500}">
  <sheetPr codeName="Sheet2"/>
  <dimension ref="A1:AD62"/>
  <sheetViews>
    <sheetView zoomScale="90" zoomScaleNormal="90" workbookViewId="0">
      <selection activeCell="AU7" sqref="AU7"/>
    </sheetView>
  </sheetViews>
  <sheetFormatPr baseColWidth="10" defaultRowHeight="14" x14ac:dyDescent="0.15"/>
  <cols>
    <col min="1" max="1" width="21.6640625" style="213" customWidth="1"/>
    <col min="2" max="2" width="27" style="213" customWidth="1"/>
    <col min="3" max="10" width="13.83203125" style="213" customWidth="1"/>
    <col min="11" max="12" width="13.83203125" style="213" hidden="1" customWidth="1"/>
    <col min="13" max="18" width="13.83203125" style="213" customWidth="1"/>
    <col min="19" max="24" width="13.83203125" style="213" hidden="1" customWidth="1"/>
    <col min="25" max="30" width="13.83203125" style="213" customWidth="1"/>
    <col min="31" max="16384" width="10.83203125" style="213"/>
  </cols>
  <sheetData>
    <row r="1" spans="1:30" x14ac:dyDescent="0.15">
      <c r="A1" s="213" t="s">
        <v>340</v>
      </c>
      <c r="K1" s="213">
        <v>3</v>
      </c>
    </row>
    <row r="2" spans="1:30" x14ac:dyDescent="0.15">
      <c r="A2" s="214" t="s">
        <v>152</v>
      </c>
    </row>
    <row r="3" spans="1:30" x14ac:dyDescent="0.15">
      <c r="A3" s="214"/>
    </row>
    <row r="4" spans="1:30" x14ac:dyDescent="0.15">
      <c r="A4" s="173" t="s">
        <v>341</v>
      </c>
      <c r="B4" s="174"/>
      <c r="C4" s="175">
        <v>3</v>
      </c>
      <c r="E4" s="176" t="s">
        <v>366</v>
      </c>
      <c r="F4" s="177">
        <f>IF(C4&lt;K1,(630),(1260))</f>
        <v>1260</v>
      </c>
      <c r="G4" s="173"/>
      <c r="H4" s="178" t="s">
        <v>367</v>
      </c>
      <c r="I4" s="179" t="s">
        <v>368</v>
      </c>
    </row>
    <row r="5" spans="1:30" x14ac:dyDescent="0.15">
      <c r="A5" s="180" t="s">
        <v>369</v>
      </c>
      <c r="B5" s="181"/>
      <c r="C5" s="182">
        <v>1500</v>
      </c>
      <c r="E5" s="176" t="s">
        <v>370</v>
      </c>
      <c r="F5" s="183">
        <f>C5-(F4-F6)</f>
        <v>892.68</v>
      </c>
      <c r="G5" s="180" t="s">
        <v>371</v>
      </c>
      <c r="H5" s="184">
        <f>F5*80/100</f>
        <v>714.14399999999989</v>
      </c>
      <c r="I5" s="185">
        <f>F5*20/100</f>
        <v>178.53599999999997</v>
      </c>
    </row>
    <row r="6" spans="1:30" x14ac:dyDescent="0.15">
      <c r="E6" s="176" t="s">
        <v>372</v>
      </c>
      <c r="F6" s="183">
        <f>IF(C4&lt;K1,(F4*22.1/100),(F4*51.8/100))</f>
        <v>652.67999999999995</v>
      </c>
    </row>
    <row r="7" spans="1:30" ht="15" thickBot="1" x14ac:dyDescent="0.2"/>
    <row r="8" spans="1:30" x14ac:dyDescent="0.15">
      <c r="A8" s="266" t="s">
        <v>356</v>
      </c>
      <c r="B8" s="267"/>
      <c r="C8" s="267"/>
      <c r="D8" s="267"/>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8"/>
    </row>
    <row r="9" spans="1:30" ht="90" x14ac:dyDescent="0.15">
      <c r="A9" s="271" t="s">
        <v>231</v>
      </c>
      <c r="B9" s="272" t="s">
        <v>243</v>
      </c>
      <c r="C9" s="279" t="s">
        <v>244</v>
      </c>
      <c r="D9" s="279" t="s">
        <v>227</v>
      </c>
      <c r="E9" s="279" t="s">
        <v>357</v>
      </c>
      <c r="F9" s="279" t="s">
        <v>358</v>
      </c>
      <c r="G9" s="279" t="s">
        <v>321</v>
      </c>
      <c r="H9" s="279" t="s">
        <v>328</v>
      </c>
      <c r="I9" s="279" t="s">
        <v>329</v>
      </c>
      <c r="J9" s="273" t="s">
        <v>799</v>
      </c>
      <c r="K9" s="280" t="s">
        <v>246</v>
      </c>
      <c r="L9" s="280" t="s">
        <v>247</v>
      </c>
      <c r="M9" s="274" t="s">
        <v>636</v>
      </c>
      <c r="N9" s="275" t="s">
        <v>249</v>
      </c>
      <c r="O9" s="275" t="s">
        <v>250</v>
      </c>
      <c r="P9" s="275" t="s">
        <v>251</v>
      </c>
      <c r="Q9" s="275" t="s">
        <v>365</v>
      </c>
      <c r="R9" s="276" t="s">
        <v>373</v>
      </c>
      <c r="S9" s="281" t="s">
        <v>637</v>
      </c>
      <c r="T9" s="281" t="s">
        <v>638</v>
      </c>
      <c r="U9" s="282" t="s">
        <v>255</v>
      </c>
      <c r="V9" s="282" t="s">
        <v>224</v>
      </c>
      <c r="W9" s="282" t="s">
        <v>374</v>
      </c>
      <c r="X9" s="282" t="s">
        <v>375</v>
      </c>
      <c r="Y9" s="276" t="s">
        <v>376</v>
      </c>
      <c r="Z9" s="276" t="s">
        <v>436</v>
      </c>
      <c r="AA9" s="275" t="s">
        <v>155</v>
      </c>
      <c r="AB9" s="275" t="s">
        <v>225</v>
      </c>
      <c r="AC9" s="275" t="s">
        <v>226</v>
      </c>
      <c r="AD9" s="277" t="s">
        <v>221</v>
      </c>
    </row>
    <row r="10" spans="1:30" x14ac:dyDescent="0.15">
      <c r="A10" s="186" t="str">
        <f>'Tariff Jul 2020'!K2</f>
        <v>AGL</v>
      </c>
      <c r="B10" s="187" t="str">
        <f>'Tariff Jul 2020'!L2</f>
        <v>Solar Savers</v>
      </c>
      <c r="C10" s="188">
        <f>IF('Tariff Jul 2020'!BP2=0,91*'Tariff Jul 2020'!M2/100,(91*'Tariff Jul 2020'!M2/100)+'Tariff Jul 2020'!BP2/4)</f>
        <v>73.709999999999994</v>
      </c>
      <c r="D10" s="188">
        <f>IF('Tariff Jul 2020'!O2="",$F$5*'Tariff Jul 2020'!N2/100,IF($F$5&gt;='Tariff Jul 2020'!P2,('Tariff Jul 2020'!P2*'Tariff Jul 2020'!N2/100),($F$5*'Tariff Jul 2020'!N2/100)))</f>
        <v>327.6947127272727</v>
      </c>
      <c r="E10" s="188">
        <f>IF(AND('Tariff Jul 2020'!P2&gt;0,'Tariff Jul 2020'!R2&gt;0),IF($F$5&lt;'Tariff Jul 2020'!P2,0,IF($F$5&lt;=('Tariff Jul 2020'!R2+'Tariff Jul 2020'!P2),(($F$5-'Tariff Jul 2020'!P2)*'Tariff Jul 2020'!Q2/100),(('Tariff Jul 2020'!R2)*'Tariff Jul 2020'!Q2/100))),0)</f>
        <v>0</v>
      </c>
      <c r="F10" s="189">
        <f>IF(AND('Tariff Jul 2020'!Q2&gt;0,'Tariff Jul 2020'!S2&gt;0),IF($F$5&lt;('Tariff Jul 2020'!R2+'Tariff Jul 2020'!P2),0,IF($F$5&lt;=('Tariff Jul 2020'!T2+'Tariff Jul 2020'!R2+'Tariff Jul 2020'!P2),(($F$5-('Tariff Jul 2020'!R2+'Tariff Jul 2020'!P2))*'Tariff Jul 2020'!S2/100),('Tariff Jul 2020'!T2*'Tariff Jul 2020'!S2/100))),0)</f>
        <v>0</v>
      </c>
      <c r="G10" s="188">
        <v>0</v>
      </c>
      <c r="H10" s="188">
        <v>0</v>
      </c>
      <c r="I10" s="189">
        <f>IF('Tariff Jul 2020'!T2&gt;0,IF(($F$5&lt;'Tariff Jul 2020'!T2),(0),($F$5-'Tariff Jul 2020'!T2)*'Tariff Jul 2020'!U2/100),IF(AND('Tariff Jul 2020'!R2&gt;0,'Tariff Jul 2020'!T2=""),IF(($F$5&lt;'Tariff Jul 2020'!R2),(0),($F$5-'Tariff Jul 2020'!R2)*'Tariff Jul 2020'!S2/100),IF(AND('Tariff Jul 2020'!P2&gt;0,'Tariff Jul 2020'!R2=""),IF(($F$5&lt;'Tariff Jul 2020'!P2),(0),($F$5-'Tariff Jul 2020'!P2)*'Tariff Jul 2020'!Q2/100),0)))</f>
        <v>0</v>
      </c>
      <c r="J10" s="188">
        <f>SUM(C10:I10)</f>
        <v>401.40471272727268</v>
      </c>
      <c r="K10" s="190">
        <f>(J10-C10)*4</f>
        <v>1310.7788509090908</v>
      </c>
      <c r="L10" s="190">
        <f>J10*4</f>
        <v>1605.6188509090907</v>
      </c>
      <c r="M10" s="191">
        <f>L10*1.1</f>
        <v>1766.180736</v>
      </c>
      <c r="N10" s="187">
        <f>'Tariff Jul 2020'!AZ2</f>
        <v>0</v>
      </c>
      <c r="O10" s="187">
        <f>'Tariff Jul 2020'!BA2</f>
        <v>0</v>
      </c>
      <c r="P10" s="187">
        <f>'Tariff Jul 2020'!BB2</f>
        <v>0</v>
      </c>
      <c r="Q10" s="187">
        <f>'Tariff Jul 2020'!BC2</f>
        <v>0</v>
      </c>
      <c r="R10" s="192">
        <f>($F$6*'Tariff Jul 2020'!AT2/100)*4</f>
        <v>469.92959999999999</v>
      </c>
      <c r="S10" s="193" t="str">
        <f>IF(SUM(N10:Q10)=0,"No discount",IF(N10&gt;0,"Guaranteed off bill",IF(O10&gt;0,"Guaranteed off usage",IF(P10&gt;0,"Pay-on-time off bill","Pay-on-time off usage"))))</f>
        <v>No discount</v>
      </c>
      <c r="T10" s="193" t="str">
        <f>IF(OR(A10="Origin Energy",A10="Red Energy",A10="Powershop"),"Inclusive","Exclusive")</f>
        <v>Exclusive</v>
      </c>
      <c r="U10" s="304">
        <f>IF(AND(S10="Guaranteed off bill",T10="Inclusive"),((L10*1.1)-((L10*1.1)*N10/100))/1.1,IF(AND(S10="Guaranteed off usage",T10="Inclusive"),((L10*1.1)-((K10*1.1)*O10/100))/1.1,IF(AND(S10="Guaranteed off bill",T10="Exclusive"),L10-(L10*N10/100),IF(AND(S10="Guaranteed off usage",T10="Exclusive"),L10-(K10*O10/100),IF(T10="Inclusive",((L10*1.1))/1.1,L10)))))</f>
        <v>1605.6188509090907</v>
      </c>
      <c r="V10" s="283">
        <f>IF(AND(S10="Pay-on-time off bill",T10="Inclusive"),((U10*1.1)-((U10*1.1)*P10/100))/1.1,IF(AND(S10="Pay-on-time off usage",T10="Inclusive"),((U10*1.1)-((K10*1.1)*Q10/100))/1.1,IF(AND(S10="Pay-on-time off bill",T10="Exclusive"),U10-(U10*P10/100),IF(AND(S10="Pay-on-time off usage",T10="Exclusive"),U10-(K10*Q10/100),IF(T10="Inclusive",((U10*1.1))/1.1,U10)))))</f>
        <v>1605.6188509090907</v>
      </c>
      <c r="W10" s="283">
        <f t="shared" ref="W10:W27" si="0">U10-R10</f>
        <v>1135.6892509090908</v>
      </c>
      <c r="X10" s="283">
        <f t="shared" ref="X10:X27" si="1">V10-R10</f>
        <v>1135.6892509090908</v>
      </c>
      <c r="Y10" s="285">
        <f t="shared" ref="Y10:Z25" si="2">W10*1.1</f>
        <v>1249.258176</v>
      </c>
      <c r="Z10" s="285">
        <f t="shared" si="2"/>
        <v>1249.258176</v>
      </c>
      <c r="AA10" s="194">
        <f>'Tariff Jul 2020'!AT2</f>
        <v>18</v>
      </c>
      <c r="AB10" s="195">
        <f>'Tariff Jul 2020'!BL2</f>
        <v>0</v>
      </c>
      <c r="AC10" s="195" t="str">
        <f>'Tariff Jul 2020'!BM2</f>
        <v>n</v>
      </c>
      <c r="AD10" s="196">
        <f>'Tariff Jul 2020'!G2</f>
        <v>42551</v>
      </c>
    </row>
    <row r="11" spans="1:30" x14ac:dyDescent="0.15">
      <c r="A11" s="186" t="str">
        <f>'Tariff Jul 2020'!K3</f>
        <v>Alinta Energy</v>
      </c>
      <c r="B11" s="187" t="str">
        <f>'Tariff Jul 2020'!L3</f>
        <v>No fuss</v>
      </c>
      <c r="C11" s="188">
        <f>IF('Tariff Jul 2020'!BP3=0,91*'Tariff Jul 2020'!M3/100,(91*'Tariff Jul 2020'!M3/100)+'Tariff Jul 2020'!BP3/4)</f>
        <v>75.53</v>
      </c>
      <c r="D11" s="188">
        <f>IF('Tariff Jul 2020'!O3="",$F$5*'Tariff Jul 2020'!N3/100,IF($F$5&gt;='Tariff Jul 2020'!P3,('Tariff Jul 2020'!P3*'Tariff Jul 2020'!N3/100),($F$5*'Tariff Jul 2020'!N3/100)))</f>
        <v>90.463636363636354</v>
      </c>
      <c r="E11" s="188">
        <f>IF(AND('Tariff Jul 2020'!P3&gt;0,'Tariff Jul 2020'!R3&gt;0),IF($F$5&lt;'Tariff Jul 2020'!P3,0,IF($F$5&lt;=('Tariff Jul 2020'!R3+'Tariff Jul 2020'!P3),(($F$5-'Tariff Jul 2020'!P3)*'Tariff Jul 2020'!Q3/100),(('Tariff Jul 2020'!R3)*'Tariff Jul 2020'!Q3/100))),0)</f>
        <v>0</v>
      </c>
      <c r="F11" s="189">
        <f>IF(AND('Tariff Jul 2020'!Q3&gt;0,'Tariff Jul 2020'!S3&gt;0),IF($F$5&lt;('Tariff Jul 2020'!R3+'Tariff Jul 2020'!P3),0,IF($F$5&lt;=('Tariff Jul 2020'!T3+'Tariff Jul 2020'!R3+'Tariff Jul 2020'!P3),(($F$5-('Tariff Jul 2020'!R3+'Tariff Jul 2020'!P3))*'Tariff Jul 2020'!S3/100),('Tariff Jul 2020'!T3*'Tariff Jul 2020'!S3/100))),0)</f>
        <v>0</v>
      </c>
      <c r="G11" s="188">
        <v>0</v>
      </c>
      <c r="H11" s="188">
        <v>0</v>
      </c>
      <c r="I11" s="189">
        <f>IF('Tariff Jul 2020'!T3&gt;0,IF(($F$5&lt;'Tariff Jul 2020'!T3),(0),($F$5-'Tariff Jul 2020'!T3)*'Tariff Jul 2020'!U3/100),IF(AND('Tariff Jul 2020'!R3&gt;0,'Tariff Jul 2020'!T3=""),IF(($F$5&lt;'Tariff Jul 2020'!R3),(0),($F$5-'Tariff Jul 2020'!R3)*'Tariff Jul 2020'!S3/100),IF(AND('Tariff Jul 2020'!P3&gt;0,'Tariff Jul 2020'!R3=""),IF(($F$5&lt;'Tariff Jul 2020'!P3),(0),($F$5-'Tariff Jul 2020'!P3)*'Tariff Jul 2020'!Q3/100),0)))</f>
        <v>199.0866</v>
      </c>
      <c r="J11" s="188">
        <f t="shared" ref="J11:J27" si="3">SUM(C11:I11)</f>
        <v>365.08023636363635</v>
      </c>
      <c r="K11" s="190">
        <f>(J11-C11)*4</f>
        <v>1158.2009454545455</v>
      </c>
      <c r="L11" s="190">
        <f t="shared" ref="L11:L27" si="4">J11*4</f>
        <v>1460.3209454545454</v>
      </c>
      <c r="M11" s="191">
        <f t="shared" ref="M11:M27" si="5">L11*1.1</f>
        <v>1606.35304</v>
      </c>
      <c r="N11" s="187">
        <f>'Tariff Jul 2020'!AZ3</f>
        <v>0</v>
      </c>
      <c r="O11" s="187">
        <f>'Tariff Jul 2020'!BA3</f>
        <v>0</v>
      </c>
      <c r="P11" s="187">
        <f>'Tariff Jul 2020'!BB3</f>
        <v>0</v>
      </c>
      <c r="Q11" s="187">
        <f>'Tariff Jul 2020'!BC3</f>
        <v>0</v>
      </c>
      <c r="R11" s="192">
        <f>($F$6*'Tariff Jul 2020'!AT3/100)*4</f>
        <v>248.01839999999996</v>
      </c>
      <c r="S11" s="193" t="str">
        <f t="shared" ref="S11:S27" si="6">IF(SUM(N11:Q11)=0,"No discount",IF(N11&gt;0,"Guaranteed off bill",IF(O11&gt;0,"Guaranteed off usage",IF(P11&gt;0,"Pay-on-time off bill","Pay-on-time off usage"))))</f>
        <v>No discount</v>
      </c>
      <c r="T11" s="193" t="str">
        <f t="shared" ref="T11:T27" si="7">IF(OR(A11="Origin Energy",A11="Red Energy",A11="Powershop"),"Inclusive","Exclusive")</f>
        <v>Exclusive</v>
      </c>
      <c r="U11" s="304">
        <f t="shared" ref="U11:U27" si="8">IF(AND(S11="Guaranteed off bill",T11="Inclusive"),((L11*1.1)-((L11*1.1)*N11/100))/1.1,IF(AND(S11="Guaranteed off usage",T11="Inclusive"),((L11*1.1)-((K11*1.1)*O11/100))/1.1,IF(AND(S11="Guaranteed off bill",T11="Exclusive"),L11-(L11*N11/100),IF(AND(S11="Guaranteed off usage",T11="Exclusive"),L11-(K11*O11/100),IF(T11="Inclusive",((L11*1.1))/1.1,L11)))))</f>
        <v>1460.3209454545454</v>
      </c>
      <c r="V11" s="283">
        <f t="shared" ref="V11:V27" si="9">IF(AND(S11="Pay-on-time off bill",T11="Inclusive"),((U11*1.1)-((U11*1.1)*P11/100))/1.1,IF(AND(S11="Pay-on-time off usage",T11="Inclusive"),((U11*1.1)-((K11*1.1)*Q11/100))/1.1,IF(AND(S11="Pay-on-time off bill",T11="Exclusive"),U11-(U11*P11/100),IF(AND(S11="Pay-on-time off usage",T11="Exclusive"),U11-(K11*Q11/100),IF(T11="Inclusive",((U11*1.1))/1.1,U11)))))</f>
        <v>1460.3209454545454</v>
      </c>
      <c r="W11" s="283">
        <f t="shared" si="0"/>
        <v>1212.3025454545455</v>
      </c>
      <c r="X11" s="283">
        <f t="shared" si="1"/>
        <v>1212.3025454545455</v>
      </c>
      <c r="Y11" s="285">
        <f t="shared" si="2"/>
        <v>1333.5328000000002</v>
      </c>
      <c r="Z11" s="285">
        <f t="shared" si="2"/>
        <v>1333.5328000000002</v>
      </c>
      <c r="AA11" s="194">
        <f>'Tariff Jul 2020'!AT3</f>
        <v>9.5</v>
      </c>
      <c r="AB11" s="195">
        <f>'Tariff Jul 2020'!BL3</f>
        <v>0</v>
      </c>
      <c r="AC11" s="195" t="str">
        <f>'Tariff Jul 2020'!BM3</f>
        <v>n</v>
      </c>
      <c r="AD11" s="196">
        <f>'Tariff Jul 2020'!G3</f>
        <v>42567</v>
      </c>
    </row>
    <row r="12" spans="1:30" x14ac:dyDescent="0.15">
      <c r="A12" s="186" t="str">
        <f>'Tariff Jul 2020'!K4</f>
        <v>Click Energy</v>
      </c>
      <c r="B12" s="187" t="str">
        <f>'Tariff Jul 2020'!L4</f>
        <v>Flora Solar</v>
      </c>
      <c r="C12" s="188">
        <f>IF('Tariff Jul 2020'!BP4=0,91*'Tariff Jul 2020'!M4/100,(91*'Tariff Jul 2020'!M4/100)+'Tariff Jul 2020'!BP4/4)</f>
        <v>84.084000000000003</v>
      </c>
      <c r="D12" s="188">
        <f>IF('Tariff Jul 2020'!O4="",$F$5*'Tariff Jul 2020'!N4/100,IF($F$5&gt;='Tariff Jul 2020'!P4,('Tariff Jul 2020'!P4*'Tariff Jul 2020'!N4/100),($F$5*'Tariff Jul 2020'!N4/100)))</f>
        <v>296.36976000000004</v>
      </c>
      <c r="E12" s="188">
        <f>IF(AND('Tariff Jul 2020'!P4&gt;0,'Tariff Jul 2020'!R4&gt;0),IF($F$5&lt;'Tariff Jul 2020'!P4,0,IF($F$5&lt;=('Tariff Jul 2020'!R4+'Tariff Jul 2020'!P4),(($F$5-'Tariff Jul 2020'!P4)*'Tariff Jul 2020'!Q4/100),(('Tariff Jul 2020'!R4)*'Tariff Jul 2020'!Q4/100))),0)</f>
        <v>0</v>
      </c>
      <c r="F12" s="189">
        <f>IF(AND('Tariff Jul 2020'!Q4&gt;0,'Tariff Jul 2020'!S4&gt;0),IF($F$5&lt;('Tariff Jul 2020'!R4+'Tariff Jul 2020'!P4),0,IF($F$5&lt;=('Tariff Jul 2020'!T4+'Tariff Jul 2020'!R4+'Tariff Jul 2020'!P4),(($F$5-('Tariff Jul 2020'!R4+'Tariff Jul 2020'!P4))*'Tariff Jul 2020'!S4/100),('Tariff Jul 2020'!T4*'Tariff Jul 2020'!S4/100))),0)</f>
        <v>0</v>
      </c>
      <c r="G12" s="188">
        <v>0</v>
      </c>
      <c r="H12" s="188">
        <v>0</v>
      </c>
      <c r="I12" s="189">
        <f>IF('Tariff Jul 2020'!T4&gt;0,IF(($F$5&lt;'Tariff Jul 2020'!T4),(0),($F$5-'Tariff Jul 2020'!T4)*'Tariff Jul 2020'!U4/100),IF(AND('Tariff Jul 2020'!R4&gt;0,'Tariff Jul 2020'!T4=""),IF(($F$5&lt;'Tariff Jul 2020'!R4),(0),($F$5-'Tariff Jul 2020'!R4)*'Tariff Jul 2020'!S4/100),IF(AND('Tariff Jul 2020'!P4&gt;0,'Tariff Jul 2020'!R4=""),IF(($F$5&lt;'Tariff Jul 2020'!P4),(0),($F$5-'Tariff Jul 2020'!P4)*'Tariff Jul 2020'!Q4/100),0)))</f>
        <v>0</v>
      </c>
      <c r="J12" s="188">
        <f t="shared" si="3"/>
        <v>380.45376000000005</v>
      </c>
      <c r="K12" s="190">
        <f t="shared" ref="K12:K27" si="10">(J12-C12)*4</f>
        <v>1185.4790400000002</v>
      </c>
      <c r="L12" s="190">
        <f t="shared" si="4"/>
        <v>1521.8150400000002</v>
      </c>
      <c r="M12" s="191">
        <f t="shared" si="5"/>
        <v>1673.9965440000003</v>
      </c>
      <c r="N12" s="187">
        <f>'Tariff Jul 2020'!AZ4</f>
        <v>0</v>
      </c>
      <c r="O12" s="187">
        <f>'Tariff Jul 2020'!BA4</f>
        <v>0</v>
      </c>
      <c r="P12" s="187">
        <f>'Tariff Jul 2020'!BB4</f>
        <v>0</v>
      </c>
      <c r="Q12" s="187">
        <f>'Tariff Jul 2020'!BC4</f>
        <v>0</v>
      </c>
      <c r="R12" s="192">
        <f>($F$6*'Tariff Jul 2020'!AT4/100)*4</f>
        <v>443.82239999999996</v>
      </c>
      <c r="S12" s="193" t="str">
        <f t="shared" si="6"/>
        <v>No discount</v>
      </c>
      <c r="T12" s="193" t="str">
        <f t="shared" si="7"/>
        <v>Exclusive</v>
      </c>
      <c r="U12" s="304">
        <f t="shared" si="8"/>
        <v>1521.8150400000002</v>
      </c>
      <c r="V12" s="283">
        <f t="shared" si="9"/>
        <v>1521.8150400000002</v>
      </c>
      <c r="W12" s="283">
        <f t="shared" si="0"/>
        <v>1077.9926400000002</v>
      </c>
      <c r="X12" s="283">
        <f t="shared" si="1"/>
        <v>1077.9926400000002</v>
      </c>
      <c r="Y12" s="285">
        <f t="shared" si="2"/>
        <v>1185.7919040000004</v>
      </c>
      <c r="Z12" s="285">
        <f t="shared" si="2"/>
        <v>1185.7919040000004</v>
      </c>
      <c r="AA12" s="194">
        <f>'Tariff Jul 2020'!AT4</f>
        <v>17</v>
      </c>
      <c r="AB12" s="195">
        <f>'Tariff Jul 2020'!BL4</f>
        <v>0</v>
      </c>
      <c r="AC12" s="195" t="str">
        <f>'Tariff Jul 2020'!BM4</f>
        <v>n</v>
      </c>
      <c r="AD12" s="196">
        <f>'Tariff Jul 2020'!G4</f>
        <v>42551</v>
      </c>
    </row>
    <row r="13" spans="1:30" x14ac:dyDescent="0.15">
      <c r="A13" s="186" t="str">
        <f>'Tariff Jul 2020'!K5</f>
        <v>Commander</v>
      </c>
      <c r="B13" s="187" t="str">
        <f>'Tariff Jul 2020'!L5</f>
        <v>Market offer</v>
      </c>
      <c r="C13" s="188">
        <f>IF('Tariff Jul 2020'!BP5=0,91*'Tariff Jul 2020'!M5/100,(91*'Tariff Jul 2020'!M5/100)+'Tariff Jul 2020'!BP5/4)</f>
        <v>80.808000000000007</v>
      </c>
      <c r="D13" s="188">
        <f>IF('Tariff Jul 2020'!O5="",$F$5*'Tariff Jul 2020'!N5/100,IF($F$5&gt;='Tariff Jul 2020'!P5,('Tariff Jul 2020'!P5*'Tariff Jul 2020'!N5/100),($F$5*'Tariff Jul 2020'!N5/100)))</f>
        <v>289.30947272727269</v>
      </c>
      <c r="E13" s="188">
        <f>IF(AND('Tariff Jul 2020'!P5&gt;0,'Tariff Jul 2020'!R5&gt;0),IF($F$5&lt;'Tariff Jul 2020'!P5,0,IF($F$5&lt;=('Tariff Jul 2020'!R5+'Tariff Jul 2020'!P5),(($F$5-'Tariff Jul 2020'!P5)*'Tariff Jul 2020'!Q5/100),(('Tariff Jul 2020'!R5)*'Tariff Jul 2020'!Q5/100))),0)</f>
        <v>0</v>
      </c>
      <c r="F13" s="189">
        <f>IF(AND('Tariff Jul 2020'!Q5&gt;0,'Tariff Jul 2020'!S5&gt;0),IF($F$5&lt;('Tariff Jul 2020'!R5+'Tariff Jul 2020'!P5),0,IF($F$5&lt;=('Tariff Jul 2020'!T5+'Tariff Jul 2020'!R5+'Tariff Jul 2020'!P5),(($F$5-('Tariff Jul 2020'!R5+'Tariff Jul 2020'!P5))*'Tariff Jul 2020'!S5/100),('Tariff Jul 2020'!T5*'Tariff Jul 2020'!S5/100))),0)</f>
        <v>0</v>
      </c>
      <c r="G13" s="188">
        <v>0</v>
      </c>
      <c r="H13" s="188">
        <v>0</v>
      </c>
      <c r="I13" s="189">
        <f>IF('Tariff Jul 2020'!T5&gt;0,IF(($F$5&lt;'Tariff Jul 2020'!T5),(0),($F$5-'Tariff Jul 2020'!T5)*'Tariff Jul 2020'!U5/100),IF(AND('Tariff Jul 2020'!R5&gt;0,'Tariff Jul 2020'!T5=""),IF(($F$5&lt;'Tariff Jul 2020'!R5),(0),($F$5-'Tariff Jul 2020'!R5)*'Tariff Jul 2020'!S5/100),IF(AND('Tariff Jul 2020'!P5&gt;0,'Tariff Jul 2020'!R5=""),IF(($F$5&lt;'Tariff Jul 2020'!P5),(0),($F$5-'Tariff Jul 2020'!P5)*'Tariff Jul 2020'!Q5/100),0)))</f>
        <v>0</v>
      </c>
      <c r="J13" s="188">
        <f t="shared" si="3"/>
        <v>370.11747272727268</v>
      </c>
      <c r="K13" s="190">
        <f t="shared" si="10"/>
        <v>1157.2378909090908</v>
      </c>
      <c r="L13" s="190">
        <f t="shared" si="4"/>
        <v>1480.4698909090907</v>
      </c>
      <c r="M13" s="191">
        <f t="shared" si="5"/>
        <v>1628.5168799999999</v>
      </c>
      <c r="N13" s="187">
        <f>'Tariff Jul 2020'!AZ5</f>
        <v>0</v>
      </c>
      <c r="O13" s="187">
        <f>'Tariff Jul 2020'!BA5</f>
        <v>0</v>
      </c>
      <c r="P13" s="187">
        <f>'Tariff Jul 2020'!BB5</f>
        <v>0</v>
      </c>
      <c r="Q13" s="187">
        <f>'Tariff Jul 2020'!BC5</f>
        <v>0</v>
      </c>
      <c r="R13" s="192">
        <f>($F$6*'Tariff Jul 2020'!AT5/100)*4</f>
        <v>302.84351999999996</v>
      </c>
      <c r="S13" s="193" t="str">
        <f t="shared" si="6"/>
        <v>No discount</v>
      </c>
      <c r="T13" s="193" t="str">
        <f t="shared" si="7"/>
        <v>Exclusive</v>
      </c>
      <c r="U13" s="304">
        <f t="shared" si="8"/>
        <v>1480.4698909090907</v>
      </c>
      <c r="V13" s="283">
        <f t="shared" si="9"/>
        <v>1480.4698909090907</v>
      </c>
      <c r="W13" s="283">
        <f t="shared" si="0"/>
        <v>1177.6263709090908</v>
      </c>
      <c r="X13" s="283">
        <f t="shared" si="1"/>
        <v>1177.6263709090908</v>
      </c>
      <c r="Y13" s="285">
        <f t="shared" si="2"/>
        <v>1295.3890080000001</v>
      </c>
      <c r="Z13" s="285">
        <f t="shared" si="2"/>
        <v>1295.3890080000001</v>
      </c>
      <c r="AA13" s="194">
        <f>'Tariff Jul 2020'!AT5</f>
        <v>11.6</v>
      </c>
      <c r="AB13" s="195">
        <f>'Tariff Jul 2020'!BL5</f>
        <v>0</v>
      </c>
      <c r="AC13" s="195" t="str">
        <f>'Tariff Jul 2020'!BM5</f>
        <v>n</v>
      </c>
      <c r="AD13" s="196">
        <f>'Tariff Jul 2020'!G5</f>
        <v>42551</v>
      </c>
    </row>
    <row r="14" spans="1:30" x14ac:dyDescent="0.15">
      <c r="A14" s="186" t="str">
        <f>'Tariff Jul 2020'!K6</f>
        <v>Diamond Energy</v>
      </c>
      <c r="B14" s="187" t="str">
        <f>'Tariff Jul 2020'!L6</f>
        <v>Renewable Saver POT</v>
      </c>
      <c r="C14" s="188">
        <f>IF('Tariff Jul 2020'!BP6=0,91*'Tariff Jul 2020'!M6/100,(91*'Tariff Jul 2020'!M6/100)+'Tariff Jul 2020'!BP6/4)</f>
        <v>79.124499999999998</v>
      </c>
      <c r="D14" s="188">
        <f>IF('Tariff Jul 2020'!O6="",$F$5*'Tariff Jul 2020'!N6/100,IF($F$5&gt;='Tariff Jul 2020'!P6,('Tariff Jul 2020'!P6*'Tariff Jul 2020'!N6/100),($F$5*'Tariff Jul 2020'!N6/100)))</f>
        <v>99.78</v>
      </c>
      <c r="E14" s="188">
        <f>IF(AND('Tariff Jul 2020'!P6&gt;0,'Tariff Jul 2020'!R6&gt;0),IF($F$5&lt;'Tariff Jul 2020'!P6,0,IF($F$5&lt;=('Tariff Jul 2020'!R6+'Tariff Jul 2020'!P6),(($F$5-'Tariff Jul 2020'!P6)*'Tariff Jul 2020'!Q6/100),(('Tariff Jul 2020'!R6)*'Tariff Jul 2020'!Q6/100))),0)</f>
        <v>212.712852</v>
      </c>
      <c r="F14" s="189">
        <f>IF(AND('Tariff Jul 2020'!Q6&gt;0,'Tariff Jul 2020'!S6&gt;0),IF($F$5&lt;('Tariff Jul 2020'!R6+'Tariff Jul 2020'!P6),0,IF($F$5&lt;=('Tariff Jul 2020'!T6+'Tariff Jul 2020'!R6+'Tariff Jul 2020'!P6),(($F$5-('Tariff Jul 2020'!R6+'Tariff Jul 2020'!P6))*'Tariff Jul 2020'!S6/100),('Tariff Jul 2020'!T6*'Tariff Jul 2020'!S6/100))),0)</f>
        <v>0</v>
      </c>
      <c r="G14" s="188">
        <v>0</v>
      </c>
      <c r="H14" s="188">
        <v>0</v>
      </c>
      <c r="I14" s="189">
        <f>IF('Tariff Jul 2020'!T6&gt;0,IF(($F$5&lt;'Tariff Jul 2020'!T6),(0),($F$5-'Tariff Jul 2020'!T6)*'Tariff Jul 2020'!U6/100),IF(AND('Tariff Jul 2020'!R6&gt;0,'Tariff Jul 2020'!T6=""),IF(($F$5&lt;'Tariff Jul 2020'!R6),(0),($F$5-'Tariff Jul 2020'!R6)*'Tariff Jul 2020'!S6/100),IF(AND('Tariff Jul 2020'!P6&gt;0,'Tariff Jul 2020'!R6=""),IF(($F$5&lt;'Tariff Jul 2020'!P6),(0),($F$5-'Tariff Jul 2020'!P6)*'Tariff Jul 2020'!Q6/100),0)))</f>
        <v>0</v>
      </c>
      <c r="J14" s="188">
        <f t="shared" si="3"/>
        <v>391.61735199999998</v>
      </c>
      <c r="K14" s="190">
        <f t="shared" si="10"/>
        <v>1249.9714079999999</v>
      </c>
      <c r="L14" s="190">
        <f t="shared" si="4"/>
        <v>1566.4694079999999</v>
      </c>
      <c r="M14" s="191">
        <f t="shared" si="5"/>
        <v>1723.1163488</v>
      </c>
      <c r="N14" s="187">
        <f>'Tariff Jul 2020'!AZ6</f>
        <v>0</v>
      </c>
      <c r="O14" s="187">
        <f>'Tariff Jul 2020'!BA6</f>
        <v>0</v>
      </c>
      <c r="P14" s="187">
        <f>'Tariff Jul 2020'!BB6</f>
        <v>7</v>
      </c>
      <c r="Q14" s="187">
        <f>'Tariff Jul 2020'!BC6</f>
        <v>0</v>
      </c>
      <c r="R14" s="192">
        <f>($F$6*'Tariff Jul 2020'!AT6/100)*4</f>
        <v>313.28640000000001</v>
      </c>
      <c r="S14" s="193" t="str">
        <f t="shared" si="6"/>
        <v>Pay-on-time off bill</v>
      </c>
      <c r="T14" s="193" t="str">
        <f t="shared" si="7"/>
        <v>Exclusive</v>
      </c>
      <c r="U14" s="304">
        <f t="shared" si="8"/>
        <v>1566.4694079999999</v>
      </c>
      <c r="V14" s="283">
        <f t="shared" si="9"/>
        <v>1456.81654944</v>
      </c>
      <c r="W14" s="283">
        <f t="shared" si="0"/>
        <v>1253.183008</v>
      </c>
      <c r="X14" s="283">
        <f t="shared" si="1"/>
        <v>1143.5301494400001</v>
      </c>
      <c r="Y14" s="285">
        <f t="shared" si="2"/>
        <v>1378.5013088000001</v>
      </c>
      <c r="Z14" s="285">
        <f t="shared" si="2"/>
        <v>1257.8831643840001</v>
      </c>
      <c r="AA14" s="194">
        <f>'Tariff Jul 2020'!AT6</f>
        <v>12</v>
      </c>
      <c r="AB14" s="195">
        <f>'Tariff Jul 2020'!BL6</f>
        <v>0</v>
      </c>
      <c r="AC14" s="195" t="str">
        <f>'Tariff Jul 2020'!BM6</f>
        <v>n</v>
      </c>
      <c r="AD14" s="196">
        <f>'Tariff Jul 2020'!G6</f>
        <v>42494</v>
      </c>
    </row>
    <row r="15" spans="1:30" x14ac:dyDescent="0.15">
      <c r="A15" s="186" t="str">
        <f>'Tariff Jul 2020'!K7</f>
        <v>Dodo Power &amp; Gas</v>
      </c>
      <c r="B15" s="187" t="str">
        <f>'Tariff Jul 2020'!L7</f>
        <v>Market offer</v>
      </c>
      <c r="C15" s="188">
        <f>IF('Tariff Jul 2020'!BP7=0,91*'Tariff Jul 2020'!M7/100,(91*'Tariff Jul 2020'!M7/100)+'Tariff Jul 2020'!BP7/4)</f>
        <v>80.808000000000007</v>
      </c>
      <c r="D15" s="188">
        <f>IF('Tariff Jul 2020'!O7="",$F$5*'Tariff Jul 2020'!N7/100,IF($F$5&gt;='Tariff Jul 2020'!P7,('Tariff Jul 2020'!P7*'Tariff Jul 2020'!N7/100),($F$5*'Tariff Jul 2020'!N7/100)))</f>
        <v>289.30947272727269</v>
      </c>
      <c r="E15" s="188">
        <f>IF(AND('Tariff Jul 2020'!P7&gt;0,'Tariff Jul 2020'!R7&gt;0),IF($F$5&lt;'Tariff Jul 2020'!P7,0,IF($F$5&lt;=('Tariff Jul 2020'!R7+'Tariff Jul 2020'!P7),(($F$5-'Tariff Jul 2020'!P7)*'Tariff Jul 2020'!Q7/100),(('Tariff Jul 2020'!R7)*'Tariff Jul 2020'!Q7/100))),0)</f>
        <v>0</v>
      </c>
      <c r="F15" s="189">
        <f>IF(AND('Tariff Jul 2020'!Q7&gt;0,'Tariff Jul 2020'!S7&gt;0),IF($F$5&lt;('Tariff Jul 2020'!R7+'Tariff Jul 2020'!P7),0,IF($F$5&lt;=('Tariff Jul 2020'!T7+'Tariff Jul 2020'!R7+'Tariff Jul 2020'!P7),(($F$5-('Tariff Jul 2020'!R7+'Tariff Jul 2020'!P7))*'Tariff Jul 2020'!S7/100),('Tariff Jul 2020'!T7*'Tariff Jul 2020'!S7/100))),0)</f>
        <v>0</v>
      </c>
      <c r="G15" s="188">
        <v>0</v>
      </c>
      <c r="H15" s="188">
        <v>0</v>
      </c>
      <c r="I15" s="189">
        <f>IF('Tariff Jul 2020'!T7&gt;0,IF(($F$5&lt;'Tariff Jul 2020'!T7),(0),($F$5-'Tariff Jul 2020'!T7)*'Tariff Jul 2020'!U7/100),IF(AND('Tariff Jul 2020'!R7&gt;0,'Tariff Jul 2020'!T7=""),IF(($F$5&lt;'Tariff Jul 2020'!R7),(0),($F$5-'Tariff Jul 2020'!R7)*'Tariff Jul 2020'!S7/100),IF(AND('Tariff Jul 2020'!P7&gt;0,'Tariff Jul 2020'!R7=""),IF(($F$5&lt;'Tariff Jul 2020'!P7),(0),($F$5-'Tariff Jul 2020'!P7)*'Tariff Jul 2020'!Q7/100),0)))</f>
        <v>0</v>
      </c>
      <c r="J15" s="188">
        <f t="shared" si="3"/>
        <v>370.11747272727268</v>
      </c>
      <c r="K15" s="190">
        <f t="shared" si="10"/>
        <v>1157.2378909090908</v>
      </c>
      <c r="L15" s="190">
        <f t="shared" si="4"/>
        <v>1480.4698909090907</v>
      </c>
      <c r="M15" s="191">
        <f t="shared" si="5"/>
        <v>1628.5168799999999</v>
      </c>
      <c r="N15" s="187">
        <f>'Tariff Jul 2020'!AZ7</f>
        <v>0</v>
      </c>
      <c r="O15" s="187">
        <f>'Tariff Jul 2020'!BA7</f>
        <v>0</v>
      </c>
      <c r="P15" s="187">
        <f>'Tariff Jul 2020'!BB7</f>
        <v>0</v>
      </c>
      <c r="Q15" s="187">
        <f>'Tariff Jul 2020'!BC7</f>
        <v>0</v>
      </c>
      <c r="R15" s="192">
        <f>($F$6*'Tariff Jul 2020'!AT7/100)*4</f>
        <v>302.84351999999996</v>
      </c>
      <c r="S15" s="193" t="str">
        <f t="shared" si="6"/>
        <v>No discount</v>
      </c>
      <c r="T15" s="193" t="str">
        <f t="shared" si="7"/>
        <v>Exclusive</v>
      </c>
      <c r="U15" s="304">
        <f t="shared" si="8"/>
        <v>1480.4698909090907</v>
      </c>
      <c r="V15" s="283">
        <f t="shared" si="9"/>
        <v>1480.4698909090907</v>
      </c>
      <c r="W15" s="283">
        <f t="shared" si="0"/>
        <v>1177.6263709090908</v>
      </c>
      <c r="X15" s="283">
        <f t="shared" si="1"/>
        <v>1177.6263709090908</v>
      </c>
      <c r="Y15" s="285">
        <f t="shared" si="2"/>
        <v>1295.3890080000001</v>
      </c>
      <c r="Z15" s="285">
        <f t="shared" si="2"/>
        <v>1295.3890080000001</v>
      </c>
      <c r="AA15" s="194">
        <f>'Tariff Jul 2020'!AT7</f>
        <v>11.6</v>
      </c>
      <c r="AB15" s="195">
        <f>'Tariff Jul 2020'!BL7</f>
        <v>0</v>
      </c>
      <c r="AC15" s="195" t="str">
        <f>'Tariff Jul 2020'!BM7</f>
        <v>n</v>
      </c>
      <c r="AD15" s="196">
        <f>'Tariff Jul 2020'!G7</f>
        <v>42551</v>
      </c>
    </row>
    <row r="16" spans="1:30" x14ac:dyDescent="0.15">
      <c r="A16" s="186" t="str">
        <f>'Tariff Jul 2020'!K8</f>
        <v>EnergyAustralia</v>
      </c>
      <c r="B16" s="187" t="str">
        <f>'Tariff Jul 2020'!L8</f>
        <v>Total Plan Home</v>
      </c>
      <c r="C16" s="188">
        <f>IF('Tariff Jul 2020'!BP8=0,91*'Tariff Jul 2020'!M8/100,(91*'Tariff Jul 2020'!M8/100)+'Tariff Jul 2020'!BP8/4)</f>
        <v>70.97999999999999</v>
      </c>
      <c r="D16" s="188">
        <f>IF('Tariff Jul 2020'!O8="",$F$5*'Tariff Jul 2020'!N8/100,IF($F$5&gt;='Tariff Jul 2020'!P8,('Tariff Jul 2020'!P8*'Tariff Jul 2020'!N8/100),($F$5*'Tariff Jul 2020'!N8/100)))</f>
        <v>308.1369054545454</v>
      </c>
      <c r="E16" s="188">
        <f>IF(AND('Tariff Jul 2020'!P8&gt;0,'Tariff Jul 2020'!R8&gt;0),IF($F$5&lt;'Tariff Jul 2020'!P8,0,IF($F$5&lt;=('Tariff Jul 2020'!R8+'Tariff Jul 2020'!P8),(($F$5-'Tariff Jul 2020'!P8)*'Tariff Jul 2020'!Q8/100),(('Tariff Jul 2020'!R8)*'Tariff Jul 2020'!Q8/100))),0)</f>
        <v>0</v>
      </c>
      <c r="F16" s="189">
        <f>IF(AND('Tariff Jul 2020'!Q8&gt;0,'Tariff Jul 2020'!S8&gt;0),IF($F$5&lt;('Tariff Jul 2020'!R8+'Tariff Jul 2020'!P8),0,IF($F$5&lt;=('Tariff Jul 2020'!T8+'Tariff Jul 2020'!R8+'Tariff Jul 2020'!P8),(($F$5-('Tariff Jul 2020'!R8+'Tariff Jul 2020'!P8))*'Tariff Jul 2020'!S8/100),('Tariff Jul 2020'!T8*'Tariff Jul 2020'!S8/100))),0)</f>
        <v>0</v>
      </c>
      <c r="G16" s="188">
        <v>0</v>
      </c>
      <c r="H16" s="188">
        <v>0</v>
      </c>
      <c r="I16" s="189">
        <f>IF('Tariff Jul 2020'!T8&gt;0,IF(($F$5&lt;'Tariff Jul 2020'!T8),(0),($F$5-'Tariff Jul 2020'!T8)*'Tariff Jul 2020'!U8/100),IF(AND('Tariff Jul 2020'!R8&gt;0,'Tariff Jul 2020'!T8=""),IF(($F$5&lt;'Tariff Jul 2020'!R8),(0),($F$5-'Tariff Jul 2020'!R8)*'Tariff Jul 2020'!S8/100),IF(AND('Tariff Jul 2020'!P8&gt;0,'Tariff Jul 2020'!R8=""),IF(($F$5&lt;'Tariff Jul 2020'!P8),(0),($F$5-'Tariff Jul 2020'!P8)*'Tariff Jul 2020'!Q8/100),0)))</f>
        <v>0</v>
      </c>
      <c r="J16" s="188">
        <f t="shared" si="3"/>
        <v>379.11690545454542</v>
      </c>
      <c r="K16" s="190">
        <f t="shared" si="10"/>
        <v>1232.5476218181816</v>
      </c>
      <c r="L16" s="190">
        <f t="shared" si="4"/>
        <v>1516.4676218181817</v>
      </c>
      <c r="M16" s="191">
        <f t="shared" si="5"/>
        <v>1668.114384</v>
      </c>
      <c r="N16" s="187">
        <f>'Tariff Jul 2020'!AZ8</f>
        <v>6</v>
      </c>
      <c r="O16" s="187">
        <f>'Tariff Jul 2020'!BA8</f>
        <v>0</v>
      </c>
      <c r="P16" s="187">
        <f>'Tariff Jul 2020'!BB8</f>
        <v>0</v>
      </c>
      <c r="Q16" s="187">
        <f>'Tariff Jul 2020'!BC8</f>
        <v>0</v>
      </c>
      <c r="R16" s="192">
        <f>($F$6*'Tariff Jul 2020'!AT8/100)*4</f>
        <v>300.2328</v>
      </c>
      <c r="S16" s="193" t="str">
        <f t="shared" si="6"/>
        <v>Guaranteed off bill</v>
      </c>
      <c r="T16" s="193" t="str">
        <f t="shared" si="7"/>
        <v>Exclusive</v>
      </c>
      <c r="U16" s="304">
        <f t="shared" si="8"/>
        <v>1425.4795645090908</v>
      </c>
      <c r="V16" s="283">
        <f t="shared" si="9"/>
        <v>1425.4795645090908</v>
      </c>
      <c r="W16" s="283">
        <f t="shared" si="0"/>
        <v>1125.2467645090908</v>
      </c>
      <c r="X16" s="283">
        <f t="shared" si="1"/>
        <v>1125.2467645090908</v>
      </c>
      <c r="Y16" s="285">
        <f t="shared" si="2"/>
        <v>1237.7714409600001</v>
      </c>
      <c r="Z16" s="285">
        <f t="shared" si="2"/>
        <v>1237.7714409600001</v>
      </c>
      <c r="AA16" s="194">
        <f>'Tariff Jul 2020'!AT8</f>
        <v>11.5</v>
      </c>
      <c r="AB16" s="195">
        <f>'Tariff Jul 2020'!BL8</f>
        <v>0</v>
      </c>
      <c r="AC16" s="195" t="str">
        <f>'Tariff Jul 2020'!BM8</f>
        <v>n</v>
      </c>
      <c r="AD16" s="196">
        <f>'Tariff Jul 2020'!G8</f>
        <v>42551</v>
      </c>
    </row>
    <row r="17" spans="1:30" x14ac:dyDescent="0.15">
      <c r="A17" s="186" t="str">
        <f>'Tariff Jul 2020'!K9</f>
        <v>Lumo Energy</v>
      </c>
      <c r="B17" s="187" t="str">
        <f>'Tariff Jul 2020'!L9</f>
        <v>Plus</v>
      </c>
      <c r="C17" s="188">
        <f>IF('Tariff Jul 2020'!BP9=0,91*'Tariff Jul 2020'!M9/100,(91*'Tariff Jul 2020'!M9/100)+'Tariff Jul 2020'!BP9/4)</f>
        <v>75.124636363636355</v>
      </c>
      <c r="D17" s="188">
        <f>IF('Tariff Jul 2020'!O9="",$F$5*'Tariff Jul 2020'!N9/100,IF($F$5&gt;='Tariff Jul 2020'!P9,('Tariff Jul 2020'!P9*'Tariff Jul 2020'!N9/100),($F$5*'Tariff Jul 2020'!N9/100)))</f>
        <v>276.32503636363634</v>
      </c>
      <c r="E17" s="188">
        <f>IF(AND('Tariff Jul 2020'!P9&gt;0,'Tariff Jul 2020'!R9&gt;0),IF($F$5&lt;'Tariff Jul 2020'!P9,0,IF($F$5&lt;=('Tariff Jul 2020'!R9+'Tariff Jul 2020'!P9),(($F$5-'Tariff Jul 2020'!P9)*'Tariff Jul 2020'!Q9/100),(('Tariff Jul 2020'!R9)*'Tariff Jul 2020'!Q9/100))),0)</f>
        <v>0</v>
      </c>
      <c r="F17" s="189">
        <f>IF(AND('Tariff Jul 2020'!Q9&gt;0,'Tariff Jul 2020'!S9&gt;0),IF($F$5&lt;('Tariff Jul 2020'!R9+'Tariff Jul 2020'!P9),0,IF($F$5&lt;=('Tariff Jul 2020'!T9+'Tariff Jul 2020'!R9+'Tariff Jul 2020'!P9),(($F$5-('Tariff Jul 2020'!R9+'Tariff Jul 2020'!P9))*'Tariff Jul 2020'!S9/100),('Tariff Jul 2020'!T9*'Tariff Jul 2020'!S9/100))),0)</f>
        <v>0</v>
      </c>
      <c r="G17" s="188">
        <v>0</v>
      </c>
      <c r="H17" s="188">
        <v>0</v>
      </c>
      <c r="I17" s="189">
        <f>IF('Tariff Jul 2020'!T9&gt;0,IF(($F$5&lt;'Tariff Jul 2020'!T9),(0),($F$5-'Tariff Jul 2020'!T9)*'Tariff Jul 2020'!U9/100),IF(AND('Tariff Jul 2020'!R9&gt;0,'Tariff Jul 2020'!T9=""),IF(($F$5&lt;'Tariff Jul 2020'!R9),(0),($F$5-'Tariff Jul 2020'!R9)*'Tariff Jul 2020'!S9/100),IF(AND('Tariff Jul 2020'!P9&gt;0,'Tariff Jul 2020'!R9=""),IF(($F$5&lt;'Tariff Jul 2020'!P9),(0),($F$5-'Tariff Jul 2020'!P9)*'Tariff Jul 2020'!Q9/100),0)))</f>
        <v>0</v>
      </c>
      <c r="J17" s="188">
        <f t="shared" si="3"/>
        <v>351.44967272727268</v>
      </c>
      <c r="K17" s="190">
        <f t="shared" si="10"/>
        <v>1105.3001454545454</v>
      </c>
      <c r="L17" s="190">
        <f t="shared" si="4"/>
        <v>1405.7986909090907</v>
      </c>
      <c r="M17" s="191">
        <f t="shared" si="5"/>
        <v>1546.3785599999999</v>
      </c>
      <c r="N17" s="187">
        <f>'Tariff Jul 2020'!AZ9</f>
        <v>0</v>
      </c>
      <c r="O17" s="187">
        <f>'Tariff Jul 2020'!BA9</f>
        <v>0</v>
      </c>
      <c r="P17" s="187">
        <f>'Tariff Jul 2020'!BB9</f>
        <v>0</v>
      </c>
      <c r="Q17" s="187">
        <f>'Tariff Jul 2020'!BC9</f>
        <v>0</v>
      </c>
      <c r="R17" s="192">
        <f>($F$6*'Tariff Jul 2020'!AT9/100)*4</f>
        <v>391.60799999999995</v>
      </c>
      <c r="S17" s="193" t="str">
        <f t="shared" si="6"/>
        <v>No discount</v>
      </c>
      <c r="T17" s="193" t="str">
        <f t="shared" si="7"/>
        <v>Exclusive</v>
      </c>
      <c r="U17" s="304">
        <f t="shared" si="8"/>
        <v>1405.7986909090907</v>
      </c>
      <c r="V17" s="283">
        <f t="shared" si="9"/>
        <v>1405.7986909090907</v>
      </c>
      <c r="W17" s="283">
        <f t="shared" si="0"/>
        <v>1014.1906909090908</v>
      </c>
      <c r="X17" s="283">
        <f t="shared" si="1"/>
        <v>1014.1906909090908</v>
      </c>
      <c r="Y17" s="285">
        <f t="shared" si="2"/>
        <v>1115.6097600000001</v>
      </c>
      <c r="Z17" s="285">
        <f t="shared" si="2"/>
        <v>1115.6097600000001</v>
      </c>
      <c r="AA17" s="194">
        <f>'Tariff Jul 2020'!AT9</f>
        <v>15</v>
      </c>
      <c r="AB17" s="195">
        <f>'Tariff Jul 2020'!BL9</f>
        <v>0</v>
      </c>
      <c r="AC17" s="195" t="str">
        <f>'Tariff Jul 2020'!BM9</f>
        <v>n</v>
      </c>
      <c r="AD17" s="196">
        <f>'Tariff Jul 2020'!G9</f>
        <v>42551</v>
      </c>
    </row>
    <row r="18" spans="1:30" x14ac:dyDescent="0.15">
      <c r="A18" s="186" t="str">
        <f>'Tariff Jul 2020'!K10</f>
        <v>Momentum Energy</v>
      </c>
      <c r="B18" s="187" t="str">
        <f>'Tariff Jul 2020'!L10</f>
        <v>SmilePower Flexi</v>
      </c>
      <c r="C18" s="188">
        <f>IF('Tariff Jul 2020'!BP10=0,91*'Tariff Jul 2020'!M10/100,(91*'Tariff Jul 2020'!M10/100)+'Tariff Jul 2020'!BP10/4)</f>
        <v>83.289818181818191</v>
      </c>
      <c r="D18" s="188">
        <f>IF('Tariff Jul 2020'!O10="",$F$5*'Tariff Jul 2020'!N10/100,IF($F$5&gt;='Tariff Jul 2020'!P10,('Tariff Jul 2020'!P10*'Tariff Jul 2020'!N10/100),($F$5*'Tariff Jul 2020'!N10/100)))</f>
        <v>289.71523636363634</v>
      </c>
      <c r="E18" s="188">
        <f>IF(AND('Tariff Jul 2020'!P10&gt;0,'Tariff Jul 2020'!R10&gt;0),IF($F$5&lt;'Tariff Jul 2020'!P10,0,IF($F$5&lt;=('Tariff Jul 2020'!R10+'Tariff Jul 2020'!P10),(($F$5-'Tariff Jul 2020'!P10)*'Tariff Jul 2020'!Q10/100),(('Tariff Jul 2020'!R10)*'Tariff Jul 2020'!Q10/100))),0)</f>
        <v>0</v>
      </c>
      <c r="F18" s="189">
        <f>IF(AND('Tariff Jul 2020'!Q10&gt;0,'Tariff Jul 2020'!S10&gt;0),IF($F$5&lt;('Tariff Jul 2020'!R10+'Tariff Jul 2020'!P10),0,IF($F$5&lt;=('Tariff Jul 2020'!T10+'Tariff Jul 2020'!R10+'Tariff Jul 2020'!P10),(($F$5-('Tariff Jul 2020'!R10+'Tariff Jul 2020'!P10))*'Tariff Jul 2020'!S10/100),('Tariff Jul 2020'!T10*'Tariff Jul 2020'!S10/100))),0)</f>
        <v>0</v>
      </c>
      <c r="G18" s="188">
        <v>0</v>
      </c>
      <c r="H18" s="188">
        <v>0</v>
      </c>
      <c r="I18" s="189">
        <f>IF('Tariff Jul 2020'!T10&gt;0,IF(($F$5&lt;'Tariff Jul 2020'!T10),(0),($F$5-'Tariff Jul 2020'!T10)*'Tariff Jul 2020'!U10/100),IF(AND('Tariff Jul 2020'!R10&gt;0,'Tariff Jul 2020'!T10=""),IF(($F$5&lt;'Tariff Jul 2020'!R10),(0),($F$5-'Tariff Jul 2020'!R10)*'Tariff Jul 2020'!S10/100),IF(AND('Tariff Jul 2020'!P10&gt;0,'Tariff Jul 2020'!R10=""),IF(($F$5&lt;'Tariff Jul 2020'!P10),(0),($F$5-'Tariff Jul 2020'!P10)*'Tariff Jul 2020'!Q10/100),0)))</f>
        <v>0</v>
      </c>
      <c r="J18" s="188">
        <f t="shared" si="3"/>
        <v>373.00505454545453</v>
      </c>
      <c r="K18" s="190">
        <f t="shared" si="10"/>
        <v>1158.8609454545453</v>
      </c>
      <c r="L18" s="190">
        <f t="shared" si="4"/>
        <v>1492.0202181818181</v>
      </c>
      <c r="M18" s="191">
        <f t="shared" si="5"/>
        <v>1641.2222400000001</v>
      </c>
      <c r="N18" s="187">
        <f>'Tariff Jul 2020'!AZ10</f>
        <v>0</v>
      </c>
      <c r="O18" s="187">
        <f>'Tariff Jul 2020'!BA10</f>
        <v>0</v>
      </c>
      <c r="P18" s="187">
        <f>'Tariff Jul 2020'!BB10</f>
        <v>0</v>
      </c>
      <c r="Q18" s="187">
        <f>'Tariff Jul 2020'!BC10</f>
        <v>0</v>
      </c>
      <c r="R18" s="192">
        <f>($F$6*'Tariff Jul 2020'!AT10/100)*4</f>
        <v>177.52895999999998</v>
      </c>
      <c r="S18" s="193" t="str">
        <f t="shared" si="6"/>
        <v>No discount</v>
      </c>
      <c r="T18" s="193" t="str">
        <f t="shared" si="7"/>
        <v>Exclusive</v>
      </c>
      <c r="U18" s="304">
        <f t="shared" si="8"/>
        <v>1492.0202181818181</v>
      </c>
      <c r="V18" s="283">
        <f t="shared" si="9"/>
        <v>1492.0202181818181</v>
      </c>
      <c r="W18" s="283">
        <f t="shared" si="0"/>
        <v>1314.491258181818</v>
      </c>
      <c r="X18" s="283">
        <f t="shared" si="1"/>
        <v>1314.491258181818</v>
      </c>
      <c r="Y18" s="285">
        <f t="shared" si="2"/>
        <v>1445.940384</v>
      </c>
      <c r="Z18" s="285">
        <f t="shared" si="2"/>
        <v>1445.940384</v>
      </c>
      <c r="AA18" s="194">
        <f>'Tariff Jul 2020'!AT10</f>
        <v>6.8</v>
      </c>
      <c r="AB18" s="195">
        <f>'Tariff Jul 2020'!BL10</f>
        <v>0</v>
      </c>
      <c r="AC18" s="195" t="str">
        <f>'Tariff Jul 2020'!BM10</f>
        <v>n</v>
      </c>
      <c r="AD18" s="196">
        <f>'Tariff Jul 2020'!G10</f>
        <v>42551</v>
      </c>
    </row>
    <row r="19" spans="1:30" x14ac:dyDescent="0.15">
      <c r="A19" s="186" t="str">
        <f>'Tariff Jul 2020'!K11</f>
        <v>Origin Energy</v>
      </c>
      <c r="B19" s="187" t="str">
        <f>'Tariff Jul 2020'!L11</f>
        <v>Solar Boost</v>
      </c>
      <c r="C19" s="188">
        <f>IF('Tariff Jul 2020'!BP11=0,91*'Tariff Jul 2020'!M11/100,(91*'Tariff Jul 2020'!M11/100)+'Tariff Jul 2020'!BP11/4)</f>
        <v>70.905545454545447</v>
      </c>
      <c r="D19" s="188">
        <f>IF('Tariff Jul 2020'!O11="",$F$5*'Tariff Jul 2020'!N11/100,IF($F$5&gt;='Tariff Jul 2020'!P11,('Tariff Jul 2020'!P11*'Tariff Jul 2020'!N11/100),($F$5*'Tariff Jul 2020'!N11/100)))</f>
        <v>308.21805818181815</v>
      </c>
      <c r="E19" s="188">
        <f>IF(AND('Tariff Jul 2020'!P11&gt;0,'Tariff Jul 2020'!R11&gt;0),IF($F$5&lt;'Tariff Jul 2020'!P11,0,IF($F$5&lt;=('Tariff Jul 2020'!R11+'Tariff Jul 2020'!P11),(($F$5-'Tariff Jul 2020'!P11)*'Tariff Jul 2020'!Q11/100),(('Tariff Jul 2020'!R11)*'Tariff Jul 2020'!Q11/100))),0)</f>
        <v>0</v>
      </c>
      <c r="F19" s="189">
        <f>IF(AND('Tariff Jul 2020'!Q11&gt;0,'Tariff Jul 2020'!S11&gt;0),IF($F$5&lt;('Tariff Jul 2020'!R11+'Tariff Jul 2020'!P11),0,IF($F$5&lt;=('Tariff Jul 2020'!T11+'Tariff Jul 2020'!R11+'Tariff Jul 2020'!P11),(($F$5-('Tariff Jul 2020'!R11+'Tariff Jul 2020'!P11))*'Tariff Jul 2020'!S11/100),('Tariff Jul 2020'!T11*'Tariff Jul 2020'!S11/100))),0)</f>
        <v>0</v>
      </c>
      <c r="G19" s="188">
        <v>0</v>
      </c>
      <c r="H19" s="188">
        <v>0</v>
      </c>
      <c r="I19" s="189">
        <f>IF('Tariff Jul 2020'!T11&gt;0,IF(($F$5&lt;'Tariff Jul 2020'!T11),(0),($F$5-'Tariff Jul 2020'!T11)*'Tariff Jul 2020'!U11/100),IF(AND('Tariff Jul 2020'!R11&gt;0,'Tariff Jul 2020'!T11=""),IF(($F$5&lt;'Tariff Jul 2020'!R11),(0),($F$5-'Tariff Jul 2020'!R11)*'Tariff Jul 2020'!S11/100),IF(AND('Tariff Jul 2020'!P11&gt;0,'Tariff Jul 2020'!R11=""),IF(($F$5&lt;'Tariff Jul 2020'!P11),(0),($F$5-'Tariff Jul 2020'!P11)*'Tariff Jul 2020'!Q11/100),0)))</f>
        <v>0</v>
      </c>
      <c r="J19" s="188">
        <f t="shared" si="3"/>
        <v>379.12360363636361</v>
      </c>
      <c r="K19" s="190">
        <f t="shared" si="10"/>
        <v>1232.8722327272726</v>
      </c>
      <c r="L19" s="190">
        <f t="shared" si="4"/>
        <v>1516.4944145454544</v>
      </c>
      <c r="M19" s="191">
        <f t="shared" si="5"/>
        <v>1668.1438559999999</v>
      </c>
      <c r="N19" s="187">
        <f>'Tariff Jul 2020'!AZ11</f>
        <v>0</v>
      </c>
      <c r="O19" s="187">
        <f>'Tariff Jul 2020'!BA11</f>
        <v>0</v>
      </c>
      <c r="P19" s="187">
        <f>'Tariff Jul 2020'!BB11</f>
        <v>0</v>
      </c>
      <c r="Q19" s="187">
        <f>'Tariff Jul 2020'!BC11</f>
        <v>0</v>
      </c>
      <c r="R19" s="192">
        <f>($F$6*'Tariff Jul 2020'!AT11/100)*4</f>
        <v>339.39359999999999</v>
      </c>
      <c r="S19" s="193" t="str">
        <f t="shared" si="6"/>
        <v>No discount</v>
      </c>
      <c r="T19" s="193" t="str">
        <f t="shared" si="7"/>
        <v>Inclusive</v>
      </c>
      <c r="U19" s="304">
        <f t="shared" si="8"/>
        <v>1516.4944145454544</v>
      </c>
      <c r="V19" s="283">
        <f t="shared" si="9"/>
        <v>1516.4944145454544</v>
      </c>
      <c r="W19" s="283">
        <f t="shared" si="0"/>
        <v>1177.1008145454543</v>
      </c>
      <c r="X19" s="283">
        <f t="shared" si="1"/>
        <v>1177.1008145454543</v>
      </c>
      <c r="Y19" s="285">
        <f t="shared" si="2"/>
        <v>1294.810896</v>
      </c>
      <c r="Z19" s="285">
        <f t="shared" si="2"/>
        <v>1294.810896</v>
      </c>
      <c r="AA19" s="194">
        <f>'Tariff Jul 2020'!AT11</f>
        <v>13</v>
      </c>
      <c r="AB19" s="195">
        <f>'Tariff Jul 2020'!BL11</f>
        <v>0</v>
      </c>
      <c r="AC19" s="195" t="str">
        <f>'Tariff Jul 2020'!BM11</f>
        <v>n</v>
      </c>
      <c r="AD19" s="196">
        <f>'Tariff Jul 2020'!G11</f>
        <v>42551</v>
      </c>
    </row>
    <row r="20" spans="1:30" x14ac:dyDescent="0.15">
      <c r="A20" s="186" t="str">
        <f>'Tariff Jul 2020'!K12</f>
        <v>Powerdirect</v>
      </c>
      <c r="B20" s="187" t="str">
        <f>'Tariff Jul 2020'!L12</f>
        <v>Rate Saver</v>
      </c>
      <c r="C20" s="188">
        <f>IF('Tariff Jul 2020'!BP12=0,91*'Tariff Jul 2020'!M12/100,(91*'Tariff Jul 2020'!M12/100)+'Tariff Jul 2020'!BP12/4)</f>
        <v>65.098090909090899</v>
      </c>
      <c r="D20" s="188">
        <f>IF('Tariff Jul 2020'!O12="",$F$5*'Tariff Jul 2020'!N12/100,IF($F$5&gt;='Tariff Jul 2020'!P12,('Tariff Jul 2020'!P12*'Tariff Jul 2020'!N12/100),($F$5*'Tariff Jul 2020'!N12/100)))</f>
        <v>272.4297054545454</v>
      </c>
      <c r="E20" s="188">
        <f>IF(AND('Tariff Jul 2020'!P12&gt;0,'Tariff Jul 2020'!R12&gt;0),IF($F$5&lt;'Tariff Jul 2020'!P12,0,IF($F$5&lt;=('Tariff Jul 2020'!R12+'Tariff Jul 2020'!P12),(($F$5-'Tariff Jul 2020'!P12)*'Tariff Jul 2020'!Q12/100),(('Tariff Jul 2020'!R12)*'Tariff Jul 2020'!Q12/100))),0)</f>
        <v>0</v>
      </c>
      <c r="F20" s="189">
        <f>IF(AND('Tariff Jul 2020'!Q12&gt;0,'Tariff Jul 2020'!S12&gt;0),IF($F$5&lt;('Tariff Jul 2020'!R12+'Tariff Jul 2020'!P12),0,IF($F$5&lt;=('Tariff Jul 2020'!T12+'Tariff Jul 2020'!R12+'Tariff Jul 2020'!P12),(($F$5-('Tariff Jul 2020'!R12+'Tariff Jul 2020'!P12))*'Tariff Jul 2020'!S12/100),('Tariff Jul 2020'!T12*'Tariff Jul 2020'!S12/100))),0)</f>
        <v>0</v>
      </c>
      <c r="G20" s="188">
        <v>0</v>
      </c>
      <c r="H20" s="188">
        <v>0</v>
      </c>
      <c r="I20" s="189">
        <f>IF('Tariff Jul 2020'!T12&gt;0,IF(($F$5&lt;'Tariff Jul 2020'!T12),(0),($F$5-'Tariff Jul 2020'!T12)*'Tariff Jul 2020'!U12/100),IF(AND('Tariff Jul 2020'!R12&gt;0,'Tariff Jul 2020'!T12=""),IF(($F$5&lt;'Tariff Jul 2020'!R12),(0),($F$5-'Tariff Jul 2020'!R12)*'Tariff Jul 2020'!S12/100),IF(AND('Tariff Jul 2020'!P12&gt;0,'Tariff Jul 2020'!R12=""),IF(($F$5&lt;'Tariff Jul 2020'!P12),(0),($F$5-'Tariff Jul 2020'!P12)*'Tariff Jul 2020'!Q12/100),0)))</f>
        <v>0</v>
      </c>
      <c r="J20" s="188">
        <f t="shared" si="3"/>
        <v>337.5277963636363</v>
      </c>
      <c r="K20" s="190">
        <f t="shared" si="10"/>
        <v>1089.7188218181816</v>
      </c>
      <c r="L20" s="190">
        <f t="shared" si="4"/>
        <v>1350.1111854545452</v>
      </c>
      <c r="M20" s="191">
        <f t="shared" si="5"/>
        <v>1485.1223039999998</v>
      </c>
      <c r="N20" s="187">
        <f>'Tariff Jul 2020'!AZ12</f>
        <v>0</v>
      </c>
      <c r="O20" s="187">
        <f>'Tariff Jul 2020'!BA12</f>
        <v>0</v>
      </c>
      <c r="P20" s="187">
        <f>'Tariff Jul 2020'!BB12</f>
        <v>0</v>
      </c>
      <c r="Q20" s="187">
        <f>'Tariff Jul 2020'!BC12</f>
        <v>0</v>
      </c>
      <c r="R20" s="192">
        <f>($F$6*'Tariff Jul 2020'!AT12/100)*4</f>
        <v>323.72928000000002</v>
      </c>
      <c r="S20" s="193" t="str">
        <f t="shared" si="6"/>
        <v>No discount</v>
      </c>
      <c r="T20" s="193" t="str">
        <f t="shared" si="7"/>
        <v>Exclusive</v>
      </c>
      <c r="U20" s="304">
        <f t="shared" si="8"/>
        <v>1350.1111854545452</v>
      </c>
      <c r="V20" s="283">
        <f t="shared" si="9"/>
        <v>1350.1111854545452</v>
      </c>
      <c r="W20" s="283">
        <f t="shared" si="0"/>
        <v>1026.3819054545452</v>
      </c>
      <c r="X20" s="283">
        <f t="shared" si="1"/>
        <v>1026.3819054545452</v>
      </c>
      <c r="Y20" s="285">
        <f t="shared" si="2"/>
        <v>1129.0200959999997</v>
      </c>
      <c r="Z20" s="285">
        <f t="shared" si="2"/>
        <v>1129.0200959999997</v>
      </c>
      <c r="AA20" s="194">
        <f>'Tariff Jul 2020'!AT12</f>
        <v>12.4</v>
      </c>
      <c r="AB20" s="195">
        <f>'Tariff Jul 2020'!BL12</f>
        <v>0</v>
      </c>
      <c r="AC20" s="195" t="str">
        <f>'Tariff Jul 2020'!BM12</f>
        <v>n</v>
      </c>
      <c r="AD20" s="196">
        <f>'Tariff Jul 2020'!G12</f>
        <v>42551</v>
      </c>
    </row>
    <row r="21" spans="1:30" x14ac:dyDescent="0.15">
      <c r="A21" s="186" t="str">
        <f>'Tariff Jul 2020'!K13</f>
        <v>Red Energy</v>
      </c>
      <c r="B21" s="187" t="str">
        <f>'Tariff Jul 2020'!L13</f>
        <v>Living Energy Saver</v>
      </c>
      <c r="C21" s="188">
        <f>IF('Tariff Jul 2020'!BP13=0,91*'Tariff Jul 2020'!M13/100,(91*'Tariff Jul 2020'!M13/100)+'Tariff Jul 2020'!BP13/4)</f>
        <v>97.37</v>
      </c>
      <c r="D21" s="188">
        <f>IF('Tariff Jul 2020'!O13="",$F$5*'Tariff Jul 2020'!N13/100,IF($F$5&gt;='Tariff Jul 2020'!P13,('Tariff Jul 2020'!P13*'Tariff Jul 2020'!N13/100),($F$5*'Tariff Jul 2020'!N13/100)))</f>
        <v>283.70993454545453</v>
      </c>
      <c r="E21" s="188">
        <f>IF(AND('Tariff Jul 2020'!P13&gt;0,'Tariff Jul 2020'!R13&gt;0),IF($F$5&lt;'Tariff Jul 2020'!P13,0,IF($F$5&lt;=('Tariff Jul 2020'!R13+'Tariff Jul 2020'!P13),(($F$5-'Tariff Jul 2020'!P13)*'Tariff Jul 2020'!Q13/100),(('Tariff Jul 2020'!R13)*'Tariff Jul 2020'!Q13/100))),0)</f>
        <v>0</v>
      </c>
      <c r="F21" s="189">
        <f>IF(AND('Tariff Jul 2020'!Q13&gt;0,'Tariff Jul 2020'!S13&gt;0),IF($F$5&lt;('Tariff Jul 2020'!R13+'Tariff Jul 2020'!P13),0,IF($F$5&lt;=('Tariff Jul 2020'!T13+'Tariff Jul 2020'!R13+'Tariff Jul 2020'!P13),(($F$5-('Tariff Jul 2020'!R13+'Tariff Jul 2020'!P13))*'Tariff Jul 2020'!S13/100),('Tariff Jul 2020'!T13*'Tariff Jul 2020'!S13/100))),0)</f>
        <v>0</v>
      </c>
      <c r="G21" s="188">
        <v>0</v>
      </c>
      <c r="H21" s="188">
        <v>0</v>
      </c>
      <c r="I21" s="189">
        <f>IF('Tariff Jul 2020'!T13&gt;0,IF(($F$5&lt;'Tariff Jul 2020'!T13),(0),($F$5-'Tariff Jul 2020'!T13)*'Tariff Jul 2020'!U13/100),IF(AND('Tariff Jul 2020'!R13&gt;0,'Tariff Jul 2020'!T13=""),IF(($F$5&lt;'Tariff Jul 2020'!R13),(0),($F$5-'Tariff Jul 2020'!R13)*'Tariff Jul 2020'!S13/100),IF(AND('Tariff Jul 2020'!P13&gt;0,'Tariff Jul 2020'!R13=""),IF(($F$5&lt;'Tariff Jul 2020'!P13),(0),($F$5-'Tariff Jul 2020'!P13)*'Tariff Jul 2020'!Q13/100),0)))</f>
        <v>0</v>
      </c>
      <c r="J21" s="188">
        <f t="shared" si="3"/>
        <v>381.07993454545453</v>
      </c>
      <c r="K21" s="190">
        <f>(J21-C21)*4</f>
        <v>1134.8397381818181</v>
      </c>
      <c r="L21" s="190">
        <f t="shared" si="4"/>
        <v>1524.3197381818181</v>
      </c>
      <c r="M21" s="191">
        <f t="shared" si="5"/>
        <v>1676.751712</v>
      </c>
      <c r="N21" s="187">
        <f>'Tariff Jul 2020'!AZ13</f>
        <v>0</v>
      </c>
      <c r="O21" s="187">
        <f>'Tariff Jul 2020'!BA13</f>
        <v>0</v>
      </c>
      <c r="P21" s="187">
        <f>'Tariff Jul 2020'!BB13</f>
        <v>0</v>
      </c>
      <c r="Q21" s="187">
        <f>'Tariff Jul 2020'!BC13</f>
        <v>0</v>
      </c>
      <c r="R21" s="192">
        <f>($F$6*'Tariff Jul 2020'!AT13/100)*4</f>
        <v>370.72223999999994</v>
      </c>
      <c r="S21" s="193" t="str">
        <f t="shared" si="6"/>
        <v>No discount</v>
      </c>
      <c r="T21" s="193" t="str">
        <f t="shared" si="7"/>
        <v>Inclusive</v>
      </c>
      <c r="U21" s="304">
        <f t="shared" si="8"/>
        <v>1524.3197381818181</v>
      </c>
      <c r="V21" s="283">
        <f t="shared" si="9"/>
        <v>1524.3197381818181</v>
      </c>
      <c r="W21" s="283">
        <f t="shared" si="0"/>
        <v>1153.5974981818181</v>
      </c>
      <c r="X21" s="283">
        <f t="shared" si="1"/>
        <v>1153.5974981818181</v>
      </c>
      <c r="Y21" s="285">
        <f t="shared" si="2"/>
        <v>1268.9572479999999</v>
      </c>
      <c r="Z21" s="285">
        <f t="shared" si="2"/>
        <v>1268.9572479999999</v>
      </c>
      <c r="AA21" s="194">
        <f>'Tariff Jul 2020'!AT13</f>
        <v>14.2</v>
      </c>
      <c r="AB21" s="195">
        <f>'Tariff Jul 2020'!BL13</f>
        <v>0</v>
      </c>
      <c r="AC21" s="195" t="str">
        <f>'Tariff Jul 2020'!BM13</f>
        <v>n</v>
      </c>
      <c r="AD21" s="196">
        <f>'Tariff Jul 2020'!G13</f>
        <v>42551</v>
      </c>
    </row>
    <row r="22" spans="1:30" x14ac:dyDescent="0.15">
      <c r="A22" s="186" t="str">
        <f>'Tariff Jul 2020'!K14</f>
        <v>Energy Locals</v>
      </c>
      <c r="B22" s="187" t="str">
        <f>'Tariff Jul 2020'!L14</f>
        <v>Local Saver</v>
      </c>
      <c r="C22" s="188">
        <f>IF('Tariff Jul 2020'!BP14=0,91*'Tariff Jul 2020'!M14/100,(91*'Tariff Jul 2020'!M14/100)+'Tariff Jul 2020'!BP14/4)</f>
        <v>110.03749999999999</v>
      </c>
      <c r="D22" s="188">
        <f>IF('Tariff Jul 2020'!O14="",$F$5*'Tariff Jul 2020'!N14/100,IF($F$5&gt;='Tariff Jul 2020'!P14,('Tariff Jul 2020'!P14*'Tariff Jul 2020'!N14/100),($F$5*'Tariff Jul 2020'!N14/100)))</f>
        <v>243.43383599999999</v>
      </c>
      <c r="E22" s="188">
        <f>IF(AND('Tariff Jul 2020'!P14&gt;0,'Tariff Jul 2020'!R14&gt;0),IF($F$5&lt;'Tariff Jul 2020'!P14,0,IF($F$5&lt;=('Tariff Jul 2020'!R14+'Tariff Jul 2020'!P14),(($F$5-'Tariff Jul 2020'!P14)*'Tariff Jul 2020'!Q14/100),(('Tariff Jul 2020'!R14)*'Tariff Jul 2020'!Q14/100))),0)</f>
        <v>0</v>
      </c>
      <c r="F22" s="189">
        <f>IF(AND('Tariff Jul 2020'!Q14&gt;0,'Tariff Jul 2020'!S14&gt;0),IF($F$5&lt;('Tariff Jul 2020'!R14+'Tariff Jul 2020'!P14),0,IF($F$5&lt;=('Tariff Jul 2020'!T14+'Tariff Jul 2020'!R14+'Tariff Jul 2020'!P14),(($F$5-('Tariff Jul 2020'!R14+'Tariff Jul 2020'!P14))*'Tariff Jul 2020'!S14/100),('Tariff Jul 2020'!T14*'Tariff Jul 2020'!S14/100))),0)</f>
        <v>0</v>
      </c>
      <c r="G22" s="188">
        <v>0</v>
      </c>
      <c r="H22" s="188">
        <v>0</v>
      </c>
      <c r="I22" s="189">
        <f>IF('Tariff Jul 2020'!T14&gt;0,IF(($F$5&lt;'Tariff Jul 2020'!T14),(0),($F$5-'Tariff Jul 2020'!T14)*'Tariff Jul 2020'!U14/100),IF(AND('Tariff Jul 2020'!R14&gt;0,'Tariff Jul 2020'!T14=""),IF(($F$5&lt;'Tariff Jul 2020'!R14),(0),($F$5-'Tariff Jul 2020'!R14)*'Tariff Jul 2020'!S14/100),IF(AND('Tariff Jul 2020'!P14&gt;0,'Tariff Jul 2020'!R14=""),IF(($F$5&lt;'Tariff Jul 2020'!P14),(0),($F$5-'Tariff Jul 2020'!P14)*'Tariff Jul 2020'!Q14/100),0)))</f>
        <v>0</v>
      </c>
      <c r="J22" s="188">
        <f t="shared" si="3"/>
        <v>353.47133599999995</v>
      </c>
      <c r="K22" s="190">
        <f t="shared" si="10"/>
        <v>973.73534399999983</v>
      </c>
      <c r="L22" s="190">
        <f t="shared" si="4"/>
        <v>1413.8853439999998</v>
      </c>
      <c r="M22" s="191">
        <f t="shared" si="5"/>
        <v>1555.2738783999998</v>
      </c>
      <c r="N22" s="187">
        <f>'Tariff Jul 2020'!AZ14</f>
        <v>0</v>
      </c>
      <c r="O22" s="187">
        <f>'Tariff Jul 2020'!BA14</f>
        <v>0</v>
      </c>
      <c r="P22" s="187">
        <f>'Tariff Jul 2020'!BB14</f>
        <v>0</v>
      </c>
      <c r="Q22" s="187">
        <f>'Tariff Jul 2020'!BC14</f>
        <v>0</v>
      </c>
      <c r="R22" s="192">
        <f>($F$6*'Tariff Jul 2020'!AT14/100)*4</f>
        <v>257.93913600000002</v>
      </c>
      <c r="S22" s="193" t="str">
        <f t="shared" si="6"/>
        <v>No discount</v>
      </c>
      <c r="T22" s="193" t="str">
        <f t="shared" si="7"/>
        <v>Exclusive</v>
      </c>
      <c r="U22" s="304">
        <f t="shared" si="8"/>
        <v>1413.8853439999998</v>
      </c>
      <c r="V22" s="283">
        <f t="shared" si="9"/>
        <v>1413.8853439999998</v>
      </c>
      <c r="W22" s="283">
        <f t="shared" si="0"/>
        <v>1155.9462079999998</v>
      </c>
      <c r="X22" s="283">
        <f t="shared" si="1"/>
        <v>1155.9462079999998</v>
      </c>
      <c r="Y22" s="285">
        <f t="shared" si="2"/>
        <v>1271.5408287999999</v>
      </c>
      <c r="Z22" s="285">
        <f t="shared" si="2"/>
        <v>1271.5408287999999</v>
      </c>
      <c r="AA22" s="194">
        <f>'Tariff Jul 2020'!AT14</f>
        <v>9.8800000000000008</v>
      </c>
      <c r="AB22" s="195">
        <f>'Tariff Jul 2020'!BL14</f>
        <v>0</v>
      </c>
      <c r="AC22" s="195" t="str">
        <f>'Tariff Jul 2020'!BM14</f>
        <v>n</v>
      </c>
      <c r="AD22" s="196">
        <f>'Tariff Jul 2020'!G14</f>
        <v>42593</v>
      </c>
    </row>
    <row r="23" spans="1:30" x14ac:dyDescent="0.15">
      <c r="A23" s="186" t="str">
        <f>'Tariff Jul 2020'!K15</f>
        <v>Simply Energy</v>
      </c>
      <c r="B23" s="187" t="str">
        <f>'Tariff Jul 2020'!L15</f>
        <v>Saver</v>
      </c>
      <c r="C23" s="188">
        <f>IF('Tariff Jul 2020'!BP15=0,91*'Tariff Jul 2020'!M15/100,(91*'Tariff Jul 2020'!M15/100)+'Tariff Jul 2020'!BP15/4)</f>
        <v>88.27</v>
      </c>
      <c r="D23" s="188">
        <f>IF('Tariff Jul 2020'!O15="",$F$5*'Tariff Jul 2020'!N15/100,IF($F$5&gt;='Tariff Jul 2020'!P15,('Tariff Jul 2020'!P15*'Tariff Jul 2020'!N15/100),($F$5*'Tariff Jul 2020'!N15/100)))</f>
        <v>292.63673454545454</v>
      </c>
      <c r="E23" s="188">
        <f>IF(AND('Tariff Jul 2020'!P15&gt;0,'Tariff Jul 2020'!R15&gt;0),IF($F$5&lt;'Tariff Jul 2020'!P15,0,IF($F$5&lt;=('Tariff Jul 2020'!R15+'Tariff Jul 2020'!P15),(($F$5-'Tariff Jul 2020'!P15)*'Tariff Jul 2020'!Q15/100),(('Tariff Jul 2020'!R15)*'Tariff Jul 2020'!Q15/100))),0)</f>
        <v>0</v>
      </c>
      <c r="F23" s="189">
        <f>IF(AND('Tariff Jul 2020'!Q15&gt;0,'Tariff Jul 2020'!S15&gt;0),IF($F$5&lt;('Tariff Jul 2020'!R15+'Tariff Jul 2020'!P15),0,IF($F$5&lt;=('Tariff Jul 2020'!T15+'Tariff Jul 2020'!R15+'Tariff Jul 2020'!P15),(($F$5-('Tariff Jul 2020'!R15+'Tariff Jul 2020'!P15))*'Tariff Jul 2020'!S15/100),('Tariff Jul 2020'!T15*'Tariff Jul 2020'!S15/100))),0)</f>
        <v>0</v>
      </c>
      <c r="G23" s="188">
        <v>0</v>
      </c>
      <c r="H23" s="188">
        <v>0</v>
      </c>
      <c r="I23" s="189">
        <f>IF('Tariff Jul 2020'!T15&gt;0,IF(($F$5&lt;'Tariff Jul 2020'!T15),(0),($F$5-'Tariff Jul 2020'!T15)*'Tariff Jul 2020'!U15/100),IF(AND('Tariff Jul 2020'!R15&gt;0,'Tariff Jul 2020'!T15=""),IF(($F$5&lt;'Tariff Jul 2020'!R15),(0),($F$5-'Tariff Jul 2020'!R15)*'Tariff Jul 2020'!S15/100),IF(AND('Tariff Jul 2020'!P15&gt;0,'Tariff Jul 2020'!R15=""),IF(($F$5&lt;'Tariff Jul 2020'!P15),(0),($F$5-'Tariff Jul 2020'!P15)*'Tariff Jul 2020'!Q15/100),0)))</f>
        <v>0</v>
      </c>
      <c r="J23" s="188">
        <f t="shared" si="3"/>
        <v>380.90673454545453</v>
      </c>
      <c r="K23" s="190">
        <f t="shared" si="10"/>
        <v>1170.5469381818182</v>
      </c>
      <c r="L23" s="190">
        <f t="shared" si="4"/>
        <v>1523.6269381818181</v>
      </c>
      <c r="M23" s="191">
        <f t="shared" si="5"/>
        <v>1675.989632</v>
      </c>
      <c r="N23" s="187">
        <f>'Tariff Jul 2020'!AZ15</f>
        <v>0</v>
      </c>
      <c r="O23" s="187">
        <f>'Tariff Jul 2020'!BA15</f>
        <v>8</v>
      </c>
      <c r="P23" s="187">
        <f>'Tariff Jul 2020'!BB15</f>
        <v>0</v>
      </c>
      <c r="Q23" s="187">
        <f>'Tariff Jul 2020'!BC15</f>
        <v>0</v>
      </c>
      <c r="R23" s="192">
        <f>($F$6*'Tariff Jul 2020'!AT15/100)*4</f>
        <v>391.60799999999995</v>
      </c>
      <c r="S23" s="193" t="str">
        <f t="shared" si="6"/>
        <v>Guaranteed off usage</v>
      </c>
      <c r="T23" s="193" t="str">
        <f t="shared" si="7"/>
        <v>Exclusive</v>
      </c>
      <c r="U23" s="304">
        <f t="shared" si="8"/>
        <v>1429.9831831272727</v>
      </c>
      <c r="V23" s="283">
        <f t="shared" si="9"/>
        <v>1429.9831831272727</v>
      </c>
      <c r="W23" s="283">
        <f t="shared" si="0"/>
        <v>1038.3751831272727</v>
      </c>
      <c r="X23" s="283">
        <f t="shared" si="1"/>
        <v>1038.3751831272727</v>
      </c>
      <c r="Y23" s="285">
        <f t="shared" si="2"/>
        <v>1142.21270144</v>
      </c>
      <c r="Z23" s="285">
        <f t="shared" si="2"/>
        <v>1142.21270144</v>
      </c>
      <c r="AA23" s="194">
        <f>'Tariff Jul 2020'!AT15</f>
        <v>15</v>
      </c>
      <c r="AB23" s="195">
        <f>'Tariff Jul 2020'!BL15</f>
        <v>0</v>
      </c>
      <c r="AC23" s="195" t="str">
        <f>'Tariff Jul 2020'!BM15</f>
        <v>n</v>
      </c>
      <c r="AD23" s="196">
        <f>'Tariff Jul 2020'!G15</f>
        <v>42551</v>
      </c>
    </row>
    <row r="24" spans="1:30" x14ac:dyDescent="0.15">
      <c r="A24" s="186" t="str">
        <f>'Tariff Jul 2020'!K16</f>
        <v>Amaysim</v>
      </c>
      <c r="B24" s="187" t="str">
        <f>'Tariff Jul 2020'!L16</f>
        <v>Post-paid Solar</v>
      </c>
      <c r="C24" s="188">
        <f>IF('Tariff Jul 2020'!BP16=0,91*'Tariff Jul 2020'!M16/100,(91*'Tariff Jul 2020'!M16/100)+'Tariff Jul 2020'!BP16/4)</f>
        <v>84.084000000000003</v>
      </c>
      <c r="D24" s="188">
        <f>IF('Tariff Jul 2020'!O16="",$F$5*'Tariff Jul 2020'!N16/100,IF($F$5&gt;='Tariff Jul 2020'!P16,('Tariff Jul 2020'!P16*'Tariff Jul 2020'!N16/100),($F$5*'Tariff Jul 2020'!N16/100)))</f>
        <v>296.36976000000004</v>
      </c>
      <c r="E24" s="188">
        <f>IF(AND('Tariff Jul 2020'!P16&gt;0,'Tariff Jul 2020'!R16&gt;0),IF($F$5&lt;'Tariff Jul 2020'!P16,0,IF($F$5&lt;=('Tariff Jul 2020'!R16+'Tariff Jul 2020'!P16),(($F$5-'Tariff Jul 2020'!P16)*'Tariff Jul 2020'!Q16/100),(('Tariff Jul 2020'!R16)*'Tariff Jul 2020'!Q16/100))),0)</f>
        <v>0</v>
      </c>
      <c r="F24" s="189">
        <f>IF(AND('Tariff Jul 2020'!Q16&gt;0,'Tariff Jul 2020'!S16&gt;0),IF($F$5&lt;('Tariff Jul 2020'!R16+'Tariff Jul 2020'!P16),0,IF($F$5&lt;=('Tariff Jul 2020'!T16+'Tariff Jul 2020'!R16+'Tariff Jul 2020'!P16),(($F$5-('Tariff Jul 2020'!R16+'Tariff Jul 2020'!P16))*'Tariff Jul 2020'!S16/100),('Tariff Jul 2020'!T16*'Tariff Jul 2020'!S16/100))),0)</f>
        <v>0</v>
      </c>
      <c r="G24" s="188">
        <v>0</v>
      </c>
      <c r="H24" s="188">
        <v>0</v>
      </c>
      <c r="I24" s="189">
        <f>IF('Tariff Jul 2020'!T16&gt;0,IF(($F$5&lt;'Tariff Jul 2020'!T16),(0),($F$5-'Tariff Jul 2020'!T16)*'Tariff Jul 2020'!U16/100),IF(AND('Tariff Jul 2020'!R16&gt;0,'Tariff Jul 2020'!T16=""),IF(($F$5&lt;'Tariff Jul 2020'!R16),(0),($F$5-'Tariff Jul 2020'!R16)*'Tariff Jul 2020'!S16/100),IF(AND('Tariff Jul 2020'!P16&gt;0,'Tariff Jul 2020'!R16=""),IF(($F$5&lt;'Tariff Jul 2020'!P16),(0),($F$5-'Tariff Jul 2020'!P16)*'Tariff Jul 2020'!Q16/100),0)))</f>
        <v>0</v>
      </c>
      <c r="J24" s="188">
        <f t="shared" si="3"/>
        <v>380.45376000000005</v>
      </c>
      <c r="K24" s="190">
        <f t="shared" si="10"/>
        <v>1185.4790400000002</v>
      </c>
      <c r="L24" s="190">
        <f t="shared" si="4"/>
        <v>1521.8150400000002</v>
      </c>
      <c r="M24" s="191">
        <f t="shared" si="5"/>
        <v>1673.9965440000003</v>
      </c>
      <c r="N24" s="187">
        <f>'Tariff Jul 2020'!AZ16</f>
        <v>0</v>
      </c>
      <c r="O24" s="187">
        <f>'Tariff Jul 2020'!BA16</f>
        <v>0</v>
      </c>
      <c r="P24" s="187">
        <f>'Tariff Jul 2020'!BB16</f>
        <v>0</v>
      </c>
      <c r="Q24" s="187">
        <f>'Tariff Jul 2020'!BC16</f>
        <v>0</v>
      </c>
      <c r="R24" s="192">
        <f>($F$6*'Tariff Jul 2020'!AT16/100)*4</f>
        <v>417.71519999999998</v>
      </c>
      <c r="S24" s="193" t="str">
        <f t="shared" si="6"/>
        <v>No discount</v>
      </c>
      <c r="T24" s="193" t="str">
        <f t="shared" si="7"/>
        <v>Exclusive</v>
      </c>
      <c r="U24" s="304">
        <f t="shared" si="8"/>
        <v>1521.8150400000002</v>
      </c>
      <c r="V24" s="283">
        <f t="shared" si="9"/>
        <v>1521.8150400000002</v>
      </c>
      <c r="W24" s="283">
        <f t="shared" si="0"/>
        <v>1104.0998400000003</v>
      </c>
      <c r="X24" s="283">
        <f t="shared" si="1"/>
        <v>1104.0998400000003</v>
      </c>
      <c r="Y24" s="285">
        <f t="shared" si="2"/>
        <v>1214.5098240000004</v>
      </c>
      <c r="Z24" s="285">
        <f t="shared" si="2"/>
        <v>1214.5098240000004</v>
      </c>
      <c r="AA24" s="194">
        <f>'Tariff Jul 2020'!AT16</f>
        <v>16</v>
      </c>
      <c r="AB24" s="195">
        <f>'Tariff Jul 2020'!BL16</f>
        <v>0</v>
      </c>
      <c r="AC24" s="195" t="str">
        <f>'Tariff Jul 2020'!BM16</f>
        <v>n</v>
      </c>
      <c r="AD24" s="196">
        <f>'Tariff Jul 2020'!G16</f>
        <v>42551</v>
      </c>
    </row>
    <row r="25" spans="1:30" x14ac:dyDescent="0.15">
      <c r="A25" s="186" t="str">
        <f>'Tariff Jul 2020'!K17</f>
        <v>Powershop</v>
      </c>
      <c r="B25" s="187" t="str">
        <f>'Tariff Jul 2020'!L17</f>
        <v>Shopper with Mega Pack</v>
      </c>
      <c r="C25" s="188">
        <f>IF('Tariff Jul 2020'!BP17=0,91*'Tariff Jul 2020'!M17/100,(91*'Tariff Jul 2020'!M17/100)+'Tariff Jul 2020'!BP17/4)</f>
        <v>94.300818181818158</v>
      </c>
      <c r="D25" s="188">
        <f>IF('Tariff Jul 2020'!O17="",$F$5*'Tariff Jul 2020'!N17/100,IF($F$5&gt;='Tariff Jul 2020'!P17,('Tariff Jul 2020'!P17*'Tariff Jul 2020'!N17/100),($F$5*'Tariff Jul 2020'!N17/100)))</f>
        <v>238.58901818181815</v>
      </c>
      <c r="E25" s="188">
        <f>IF(AND('Tariff Jul 2020'!P17&gt;0,'Tariff Jul 2020'!R17&gt;0),IF($F$5&lt;'Tariff Jul 2020'!P17,0,IF($F$5&lt;=('Tariff Jul 2020'!R17+'Tariff Jul 2020'!P17),(($F$5-'Tariff Jul 2020'!P17)*'Tariff Jul 2020'!Q17/100),(('Tariff Jul 2020'!R17)*'Tariff Jul 2020'!Q17/100))),0)</f>
        <v>0</v>
      </c>
      <c r="F25" s="189">
        <f>IF(AND('Tariff Jul 2020'!Q17&gt;0,'Tariff Jul 2020'!S17&gt;0),IF($F$5&lt;('Tariff Jul 2020'!R17+'Tariff Jul 2020'!P17),0,IF($F$5&lt;=('Tariff Jul 2020'!T17+'Tariff Jul 2020'!R17+'Tariff Jul 2020'!P17),(($F$5-('Tariff Jul 2020'!R17+'Tariff Jul 2020'!P17))*'Tariff Jul 2020'!S17/100),('Tariff Jul 2020'!T17*'Tariff Jul 2020'!S17/100))),0)</f>
        <v>0</v>
      </c>
      <c r="G25" s="188">
        <v>0</v>
      </c>
      <c r="H25" s="188">
        <v>0</v>
      </c>
      <c r="I25" s="189">
        <f>IF('Tariff Jul 2020'!T17&gt;0,IF(($F$5&lt;'Tariff Jul 2020'!T17),(0),($F$5-'Tariff Jul 2020'!T17)*'Tariff Jul 2020'!U17/100),IF(AND('Tariff Jul 2020'!R17&gt;0,'Tariff Jul 2020'!T17=""),IF(($F$5&lt;'Tariff Jul 2020'!R17),(0),($F$5-'Tariff Jul 2020'!R17)*'Tariff Jul 2020'!S17/100),IF(AND('Tariff Jul 2020'!P17&gt;0,'Tariff Jul 2020'!R17=""),IF(($F$5&lt;'Tariff Jul 2020'!P17),(0),($F$5-'Tariff Jul 2020'!P17)*'Tariff Jul 2020'!Q17/100),0)))</f>
        <v>0</v>
      </c>
      <c r="J25" s="188">
        <f t="shared" si="3"/>
        <v>332.88983636363628</v>
      </c>
      <c r="K25" s="190">
        <f t="shared" si="10"/>
        <v>954.35607272727248</v>
      </c>
      <c r="L25" s="190">
        <f t="shared" si="4"/>
        <v>1331.5593454545451</v>
      </c>
      <c r="M25" s="191">
        <f t="shared" si="5"/>
        <v>1464.7152799999997</v>
      </c>
      <c r="N25" s="187">
        <f>'Tariff Jul 2020'!AZ17</f>
        <v>0</v>
      </c>
      <c r="O25" s="187">
        <f>'Tariff Jul 2020'!BA17</f>
        <v>0</v>
      </c>
      <c r="P25" s="187">
        <f>'Tariff Jul 2020'!BB17</f>
        <v>6</v>
      </c>
      <c r="Q25" s="187">
        <f>'Tariff Jul 2020'!BC17</f>
        <v>0</v>
      </c>
      <c r="R25" s="192">
        <f>($F$6*'Tariff Jul 2020'!AT17/100)*4</f>
        <v>195.80399999999997</v>
      </c>
      <c r="S25" s="193" t="str">
        <f t="shared" si="6"/>
        <v>Pay-on-time off bill</v>
      </c>
      <c r="T25" s="193" t="str">
        <f t="shared" si="7"/>
        <v>Inclusive</v>
      </c>
      <c r="U25" s="304">
        <f t="shared" si="8"/>
        <v>1331.5593454545451</v>
      </c>
      <c r="V25" s="283">
        <f t="shared" si="9"/>
        <v>1251.6657847272722</v>
      </c>
      <c r="W25" s="283">
        <f t="shared" si="0"/>
        <v>1135.755345454545</v>
      </c>
      <c r="X25" s="283">
        <f t="shared" si="1"/>
        <v>1055.8617847272722</v>
      </c>
      <c r="Y25" s="285">
        <f t="shared" si="2"/>
        <v>1249.3308799999995</v>
      </c>
      <c r="Z25" s="285">
        <f t="shared" si="2"/>
        <v>1161.4479631999995</v>
      </c>
      <c r="AA25" s="194">
        <f>'Tariff Jul 2020'!AT17</f>
        <v>7.5</v>
      </c>
      <c r="AB25" s="195">
        <f>'Tariff Jul 2020'!BL17</f>
        <v>0</v>
      </c>
      <c r="AC25" s="195" t="str">
        <f>'Tariff Jul 2020'!BM17</f>
        <v>n</v>
      </c>
      <c r="AD25" s="196">
        <f>'Tariff Jul 2020'!G17</f>
        <v>42551</v>
      </c>
    </row>
    <row r="26" spans="1:30" x14ac:dyDescent="0.15">
      <c r="A26" s="186" t="str">
        <f>'Tariff Jul 2020'!K18</f>
        <v>Powerclub</v>
      </c>
      <c r="B26" s="187" t="str">
        <f>'Tariff Jul 2020'!L18</f>
        <v>Powerbank Home Solar</v>
      </c>
      <c r="C26" s="188">
        <f>IF('Tariff Jul 2020'!BP18=0,91*'Tariff Jul 2020'!M18/100,(91*'Tariff Jul 2020'!M18/100)+'Tariff Jul 2020'!BP18/4)</f>
        <v>104.13236363636362</v>
      </c>
      <c r="D26" s="188">
        <f>IF('Tariff Jul 2020'!O18="",$F$5*'Tariff Jul 2020'!N18/100,IF($F$5&gt;='Tariff Jul 2020'!P18,('Tariff Jul 2020'!P18*'Tariff Jul 2020'!N18/100),($F$5*'Tariff Jul 2020'!N18/100)))</f>
        <v>214.64896363636359</v>
      </c>
      <c r="E26" s="188">
        <f>IF(AND('Tariff Jul 2020'!P18&gt;0,'Tariff Jul 2020'!R18&gt;0),IF($F$5&lt;'Tariff Jul 2020'!P18,0,IF($F$5&lt;=('Tariff Jul 2020'!R18+'Tariff Jul 2020'!P18),(($F$5-'Tariff Jul 2020'!P18)*'Tariff Jul 2020'!Q18/100),(('Tariff Jul 2020'!R18)*'Tariff Jul 2020'!Q18/100))),0)</f>
        <v>0</v>
      </c>
      <c r="F26" s="189">
        <f>IF(AND('Tariff Jul 2020'!Q18&gt;0,'Tariff Jul 2020'!S18&gt;0),IF($F$5&lt;('Tariff Jul 2020'!R18+'Tariff Jul 2020'!P18),0,IF($F$5&lt;=('Tariff Jul 2020'!T18+'Tariff Jul 2020'!R18+'Tariff Jul 2020'!P18),(($F$5-('Tariff Jul 2020'!R18+'Tariff Jul 2020'!P18))*'Tariff Jul 2020'!S18/100),('Tariff Jul 2020'!T18*'Tariff Jul 2020'!S18/100))),0)</f>
        <v>0</v>
      </c>
      <c r="G26" s="188">
        <v>0</v>
      </c>
      <c r="H26" s="188">
        <v>0</v>
      </c>
      <c r="I26" s="189">
        <f>IF('Tariff Jul 2020'!T18&gt;0,IF(($F$5&lt;'Tariff Jul 2020'!T18),(0),($F$5-'Tariff Jul 2020'!T18)*'Tariff Jul 2020'!U18/100),IF(AND('Tariff Jul 2020'!R18&gt;0,'Tariff Jul 2020'!T18=""),IF(($F$5&lt;'Tariff Jul 2020'!R18),(0),($F$5-'Tariff Jul 2020'!R18)*'Tariff Jul 2020'!S18/100),IF(AND('Tariff Jul 2020'!P18&gt;0,'Tariff Jul 2020'!R18=""),IF(($F$5&lt;'Tariff Jul 2020'!P18),(0),($F$5-'Tariff Jul 2020'!P18)*'Tariff Jul 2020'!Q18/100),0)))</f>
        <v>0</v>
      </c>
      <c r="J26" s="188">
        <f t="shared" si="3"/>
        <v>318.7813272727272</v>
      </c>
      <c r="K26" s="190">
        <f t="shared" si="10"/>
        <v>858.59585454545436</v>
      </c>
      <c r="L26" s="190">
        <f t="shared" si="4"/>
        <v>1275.1253090909088</v>
      </c>
      <c r="M26" s="191">
        <f t="shared" si="5"/>
        <v>1402.6378399999999</v>
      </c>
      <c r="N26" s="187">
        <f>'Tariff Jul 2020'!AZ18</f>
        <v>0</v>
      </c>
      <c r="O26" s="187">
        <f>'Tariff Jul 2020'!BA18</f>
        <v>0</v>
      </c>
      <c r="P26" s="187">
        <f>'Tariff Jul 2020'!BB18</f>
        <v>0</v>
      </c>
      <c r="Q26" s="187">
        <f>'Tariff Jul 2020'!BC18</f>
        <v>0</v>
      </c>
      <c r="R26" s="192">
        <f>($F$6*'Tariff Jul 2020'!AT18/100)*4</f>
        <v>138.36815999999999</v>
      </c>
      <c r="S26" s="193" t="str">
        <f t="shared" si="6"/>
        <v>No discount</v>
      </c>
      <c r="T26" s="193" t="str">
        <f t="shared" si="7"/>
        <v>Exclusive</v>
      </c>
      <c r="U26" s="304">
        <f t="shared" si="8"/>
        <v>1275.1253090909088</v>
      </c>
      <c r="V26" s="283">
        <f t="shared" si="9"/>
        <v>1275.1253090909088</v>
      </c>
      <c r="W26" s="283">
        <f t="shared" si="0"/>
        <v>1136.7571490909088</v>
      </c>
      <c r="X26" s="283">
        <f t="shared" si="1"/>
        <v>1136.7571490909088</v>
      </c>
      <c r="Y26" s="285">
        <f t="shared" ref="Y26:Z27" si="11">W26*1.1</f>
        <v>1250.4328639999999</v>
      </c>
      <c r="Z26" s="285">
        <f t="shared" si="11"/>
        <v>1250.4328639999999</v>
      </c>
      <c r="AA26" s="194">
        <f>'Tariff Jul 2020'!AT18</f>
        <v>5.3</v>
      </c>
      <c r="AB26" s="195">
        <f>'Tariff Jul 2020'!BL18</f>
        <v>0</v>
      </c>
      <c r="AC26" s="195" t="str">
        <f>'Tariff Jul 2020'!BM18</f>
        <v>n</v>
      </c>
      <c r="AD26" s="196">
        <f>'Tariff Jul 2020'!G18</f>
        <v>42565</v>
      </c>
    </row>
    <row r="27" spans="1:30" x14ac:dyDescent="0.15">
      <c r="A27" s="186" t="str">
        <f>'Tariff Jul 2020'!K19</f>
        <v>Amber Electric</v>
      </c>
      <c r="B27" s="187" t="str">
        <f>'Tariff Jul 2020'!L19</f>
        <v>Market offer</v>
      </c>
      <c r="C27" s="188">
        <f>IF('Tariff Jul 2020'!BP19=0,91*'Tariff Jul 2020'!M19/100,(91*'Tariff Jul 2020'!M19/100)+'Tariff Jul 2020'!BP19/4)</f>
        <v>98.064909090909097</v>
      </c>
      <c r="D27" s="188">
        <f>IF('Tariff Jul 2020'!O19="",$F$5*'Tariff Jul 2020'!N19/100,IF($F$5&gt;='Tariff Jul 2020'!P19,('Tariff Jul 2020'!P19*'Tariff Jul 2020'!N19/100),($F$5*'Tariff Jul 2020'!N19/100)))</f>
        <v>306.02693454545454</v>
      </c>
      <c r="E27" s="188">
        <f>IF(AND('Tariff Jul 2020'!P19&gt;0,'Tariff Jul 2020'!R19&gt;0),IF($F$5&lt;'Tariff Jul 2020'!P19,0,IF($F$5&lt;=('Tariff Jul 2020'!R19+'Tariff Jul 2020'!P19),(($F$5-'Tariff Jul 2020'!P19)*'Tariff Jul 2020'!Q19/100),(('Tariff Jul 2020'!R19)*'Tariff Jul 2020'!Q19/100))),0)</f>
        <v>0</v>
      </c>
      <c r="F27" s="189">
        <f>IF(AND('Tariff Jul 2020'!Q19&gt;0,'Tariff Jul 2020'!S19&gt;0),IF($F$5&lt;('Tariff Jul 2020'!R19+'Tariff Jul 2020'!P19),0,IF($F$5&lt;=('Tariff Jul 2020'!T19+'Tariff Jul 2020'!R19+'Tariff Jul 2020'!P19),(($F$5-('Tariff Jul 2020'!R19+'Tariff Jul 2020'!P19))*'Tariff Jul 2020'!S19/100),('Tariff Jul 2020'!T19*'Tariff Jul 2020'!S19/100))),0)</f>
        <v>0</v>
      </c>
      <c r="G27" s="188">
        <v>0</v>
      </c>
      <c r="H27" s="188">
        <v>0</v>
      </c>
      <c r="I27" s="189">
        <f>IF('Tariff Jul 2020'!T19&gt;0,IF(($F$5&lt;'Tariff Jul 2020'!T19),(0),($F$5-'Tariff Jul 2020'!T19)*'Tariff Jul 2020'!U19/100),IF(AND('Tariff Jul 2020'!R19&gt;0,'Tariff Jul 2020'!T19=""),IF(($F$5&lt;'Tariff Jul 2020'!R19),(0),($F$5-'Tariff Jul 2020'!R19)*'Tariff Jul 2020'!S19/100),IF(AND('Tariff Jul 2020'!P19&gt;0,'Tariff Jul 2020'!R19=""),IF(($F$5&lt;'Tariff Jul 2020'!P19),(0),($F$5-'Tariff Jul 2020'!P19)*'Tariff Jul 2020'!Q19/100),0)))</f>
        <v>0</v>
      </c>
      <c r="J27" s="188">
        <f t="shared" si="3"/>
        <v>404.09184363636365</v>
      </c>
      <c r="K27" s="190">
        <f t="shared" si="10"/>
        <v>1224.1077381818181</v>
      </c>
      <c r="L27" s="190">
        <f t="shared" si="4"/>
        <v>1616.3673745454546</v>
      </c>
      <c r="M27" s="191">
        <f t="shared" si="5"/>
        <v>1778.0041120000003</v>
      </c>
      <c r="N27" s="187">
        <f>'Tariff Jul 2020'!AZ19</f>
        <v>0</v>
      </c>
      <c r="O27" s="187">
        <f>'Tariff Jul 2020'!BA19</f>
        <v>0</v>
      </c>
      <c r="P27" s="187">
        <f>'Tariff Jul 2020'!BB19</f>
        <v>0</v>
      </c>
      <c r="Q27" s="187">
        <f>'Tariff Jul 2020'!BC19</f>
        <v>0</v>
      </c>
      <c r="R27" s="192">
        <f>($F$6*'Tariff Jul 2020'!AT19/100)*4</f>
        <v>208.85759999999999</v>
      </c>
      <c r="S27" s="193" t="str">
        <f t="shared" si="6"/>
        <v>No discount</v>
      </c>
      <c r="T27" s="193" t="str">
        <f t="shared" si="7"/>
        <v>Exclusive</v>
      </c>
      <c r="U27" s="304">
        <f t="shared" si="8"/>
        <v>1616.3673745454546</v>
      </c>
      <c r="V27" s="283">
        <f t="shared" si="9"/>
        <v>1616.3673745454546</v>
      </c>
      <c r="W27" s="283">
        <f t="shared" si="0"/>
        <v>1407.5097745454545</v>
      </c>
      <c r="X27" s="283">
        <f t="shared" si="1"/>
        <v>1407.5097745454545</v>
      </c>
      <c r="Y27" s="285">
        <f t="shared" si="11"/>
        <v>1548.2607520000001</v>
      </c>
      <c r="Z27" s="285">
        <f t="shared" si="11"/>
        <v>1548.2607520000001</v>
      </c>
      <c r="AA27" s="194">
        <f>'Tariff Jul 2020'!AT19</f>
        <v>8</v>
      </c>
      <c r="AB27" s="195">
        <f>'Tariff Jul 2020'!BL19</f>
        <v>0</v>
      </c>
      <c r="AC27" s="195" t="str">
        <f>'Tariff Jul 2020'!BM19</f>
        <v>n</v>
      </c>
      <c r="AD27" s="196">
        <f>'Tariff Jul 2020'!G19</f>
        <v>42476</v>
      </c>
    </row>
    <row r="28" spans="1:30" x14ac:dyDescent="0.15">
      <c r="A28" s="186" t="str">
        <f>'Tariff Jul 2020'!K20</f>
        <v>DC Power Co</v>
      </c>
      <c r="B28" s="187" t="str">
        <f>'Tariff Jul 2020'!L20</f>
        <v>Market offer</v>
      </c>
      <c r="C28" s="188">
        <f>IF('Tariff Jul 2020'!BP20=0,91*'Tariff Jul 2020'!M20/100,(91*'Tariff Jul 2020'!M20/100)+'Tariff Jul 2020'!BP20/4)</f>
        <v>117.83154545454545</v>
      </c>
      <c r="D28" s="188">
        <f>IF('Tariff Jul 2020'!O20="",$F$5*'Tariff Jul 2020'!N20/100,IF($F$5&gt;='Tariff Jul 2020'!P20,('Tariff Jul 2020'!P20*'Tariff Jul 2020'!N20/100),($F$5*'Tariff Jul 2020'!N20/100)))</f>
        <v>269.83281818181808</v>
      </c>
      <c r="E28" s="188">
        <f>IF(AND('Tariff Jul 2020'!P20&gt;0,'Tariff Jul 2020'!R20&gt;0),IF($F$5&lt;'Tariff Jul 2020'!P20,0,IF($F$5&lt;=('Tariff Jul 2020'!R20+'Tariff Jul 2020'!P20),(($F$5-'Tariff Jul 2020'!P20)*'Tariff Jul 2020'!Q20/100),(('Tariff Jul 2020'!R20)*'Tariff Jul 2020'!Q20/100))),0)</f>
        <v>0</v>
      </c>
      <c r="F28" s="189">
        <f>IF(AND('Tariff Jul 2020'!Q20&gt;0,'Tariff Jul 2020'!S20&gt;0),IF($F$5&lt;('Tariff Jul 2020'!R20+'Tariff Jul 2020'!P20),0,IF($F$5&lt;=('Tariff Jul 2020'!T20+'Tariff Jul 2020'!R20+'Tariff Jul 2020'!P20),(($F$5-('Tariff Jul 2020'!R20+'Tariff Jul 2020'!P20))*'Tariff Jul 2020'!S20/100),('Tariff Jul 2020'!T20*'Tariff Jul 2020'!S20/100))),0)</f>
        <v>0</v>
      </c>
      <c r="G28" s="188">
        <v>0</v>
      </c>
      <c r="H28" s="188">
        <v>0</v>
      </c>
      <c r="I28" s="189">
        <f>IF('Tariff Jul 2020'!T20&gt;0,IF(($F$5&lt;'Tariff Jul 2020'!T20),(0),($F$5-'Tariff Jul 2020'!T20)*'Tariff Jul 2020'!U20/100),IF(AND('Tariff Jul 2020'!R20&gt;0,'Tariff Jul 2020'!T20=""),IF(($F$5&lt;'Tariff Jul 2020'!R20),(0),($F$5-'Tariff Jul 2020'!R20)*'Tariff Jul 2020'!S20/100),IF(AND('Tariff Jul 2020'!P20&gt;0,'Tariff Jul 2020'!R20=""),IF(($F$5&lt;'Tariff Jul 2020'!P20),(0),($F$5-'Tariff Jul 2020'!P20)*'Tariff Jul 2020'!Q20/100),0)))</f>
        <v>0</v>
      </c>
      <c r="J28" s="188">
        <f t="shared" ref="J28:J34" si="12">SUM(C28:I28)</f>
        <v>387.66436363636353</v>
      </c>
      <c r="K28" s="190">
        <f t="shared" ref="K28:K34" si="13">(J28-C28)*4</f>
        <v>1079.3312727272723</v>
      </c>
      <c r="L28" s="190">
        <f t="shared" ref="L28:L34" si="14">J28*4</f>
        <v>1550.6574545454541</v>
      </c>
      <c r="M28" s="191">
        <f t="shared" ref="M28:M34" si="15">L28*1.1</f>
        <v>1705.7231999999997</v>
      </c>
      <c r="N28" s="187">
        <f>'Tariff Jul 2020'!AZ20</f>
        <v>0</v>
      </c>
      <c r="O28" s="187">
        <f>'Tariff Jul 2020'!BA20</f>
        <v>0</v>
      </c>
      <c r="P28" s="187">
        <f>'Tariff Jul 2020'!BB20</f>
        <v>0</v>
      </c>
      <c r="Q28" s="187">
        <f>'Tariff Jul 2020'!BC20</f>
        <v>0</v>
      </c>
      <c r="R28" s="192">
        <f>($F$6*'Tariff Jul 2020'!AT20/100)*4</f>
        <v>391.60799999999995</v>
      </c>
      <c r="S28" s="193" t="str">
        <f t="shared" ref="S28:S34" si="16">IF(SUM(N28:Q28)=0,"No discount",IF(N28&gt;0,"Guaranteed off bill",IF(O28&gt;0,"Guaranteed off usage",IF(P28&gt;0,"Pay-on-time off bill","Pay-on-time off usage"))))</f>
        <v>No discount</v>
      </c>
      <c r="T28" s="193" t="str">
        <f t="shared" ref="T28:T34" si="17">IF(OR(A28="Origin Energy",A28="Red Energy",A28="Powershop"),"Inclusive","Exclusive")</f>
        <v>Exclusive</v>
      </c>
      <c r="U28" s="304">
        <f t="shared" ref="U28:U34" si="18">IF(AND(S28="Guaranteed off bill",T28="Inclusive"),((L28*1.1)-((L28*1.1)*N28/100))/1.1,IF(AND(S28="Guaranteed off usage",T28="Inclusive"),((L28*1.1)-((K28*1.1)*O28/100))/1.1,IF(AND(S28="Guaranteed off bill",T28="Exclusive"),L28-(L28*N28/100),IF(AND(S28="Guaranteed off usage",T28="Exclusive"),L28-(K28*O28/100),IF(T28="Inclusive",((L28*1.1))/1.1,L28)))))</f>
        <v>1550.6574545454541</v>
      </c>
      <c r="V28" s="283">
        <f t="shared" ref="V28:V34" si="19">IF(AND(S28="Pay-on-time off bill",T28="Inclusive"),((U28*1.1)-((U28*1.1)*P28/100))/1.1,IF(AND(S28="Pay-on-time off usage",T28="Inclusive"),((U28*1.1)-((K28*1.1)*Q28/100))/1.1,IF(AND(S28="Pay-on-time off bill",T28="Exclusive"),U28-(U28*P28/100),IF(AND(S28="Pay-on-time off usage",T28="Exclusive"),U28-(K28*Q28/100),IF(T28="Inclusive",((U28*1.1))/1.1,U28)))))</f>
        <v>1550.6574545454541</v>
      </c>
      <c r="W28" s="283">
        <f t="shared" ref="W28:W34" si="20">U28-R28</f>
        <v>1159.0494545454542</v>
      </c>
      <c r="X28" s="283">
        <f t="shared" ref="X28:X34" si="21">V28-R28</f>
        <v>1159.0494545454542</v>
      </c>
      <c r="Y28" s="285">
        <f t="shared" ref="Y28:Y34" si="22">W28*1.1</f>
        <v>1274.9543999999996</v>
      </c>
      <c r="Z28" s="285">
        <f t="shared" ref="Z28:Z34" si="23">X28*1.1</f>
        <v>1274.9543999999996</v>
      </c>
      <c r="AA28" s="194">
        <f>'Tariff Jul 2020'!AT20</f>
        <v>15</v>
      </c>
      <c r="AB28" s="195">
        <f>'Tariff Jul 2020'!BL20</f>
        <v>0</v>
      </c>
      <c r="AC28" s="195" t="str">
        <f>'Tariff Jul 2020'!BM20</f>
        <v>n</v>
      </c>
      <c r="AD28" s="196">
        <f>'Tariff Jul 2020'!G20</f>
        <v>42413</v>
      </c>
    </row>
    <row r="29" spans="1:30" x14ac:dyDescent="0.15">
      <c r="A29" s="186" t="str">
        <f>'Tariff Jul 2020'!K21</f>
        <v>Discover Energy</v>
      </c>
      <c r="B29" s="187" t="str">
        <f>'Tariff Jul 2020'!L21</f>
        <v>Solar Boost</v>
      </c>
      <c r="C29" s="188">
        <f>IF('Tariff Jul 2020'!BP21=0,91*'Tariff Jul 2020'!M21/100,(91*'Tariff Jul 2020'!M21/100)+'Tariff Jul 2020'!BP21/4)</f>
        <v>86.044636363636357</v>
      </c>
      <c r="D29" s="188">
        <f>IF('Tariff Jul 2020'!O21="",$F$5*'Tariff Jul 2020'!N21/100,IF($F$5&gt;='Tariff Jul 2020'!P21,('Tariff Jul 2020'!P21*'Tariff Jul 2020'!N21/100),($F$5*'Tariff Jul 2020'!N21/100)))</f>
        <v>294.5843999999999</v>
      </c>
      <c r="E29" s="188">
        <f>IF(AND('Tariff Jul 2020'!P21&gt;0,'Tariff Jul 2020'!R21&gt;0),IF($F$5&lt;'Tariff Jul 2020'!P21,0,IF($F$5&lt;=('Tariff Jul 2020'!R21+'Tariff Jul 2020'!P21),(($F$5-'Tariff Jul 2020'!P21)*'Tariff Jul 2020'!Q21/100),(('Tariff Jul 2020'!R21)*'Tariff Jul 2020'!Q21/100))),0)</f>
        <v>0</v>
      </c>
      <c r="F29" s="189">
        <f>IF(AND('Tariff Jul 2020'!Q21&gt;0,'Tariff Jul 2020'!S21&gt;0),IF($F$5&lt;('Tariff Jul 2020'!R21+'Tariff Jul 2020'!P21),0,IF($F$5&lt;=('Tariff Jul 2020'!T21+'Tariff Jul 2020'!R21+'Tariff Jul 2020'!P21),(($F$5-('Tariff Jul 2020'!R21+'Tariff Jul 2020'!P21))*'Tariff Jul 2020'!S21/100),('Tariff Jul 2020'!T21*'Tariff Jul 2020'!S21/100))),0)</f>
        <v>0</v>
      </c>
      <c r="G29" s="188">
        <v>0</v>
      </c>
      <c r="H29" s="188">
        <v>0</v>
      </c>
      <c r="I29" s="189">
        <f>IF('Tariff Jul 2020'!T21&gt;0,IF(($F$5&lt;'Tariff Jul 2020'!T21),(0),($F$5-'Tariff Jul 2020'!T21)*'Tariff Jul 2020'!U21/100),IF(AND('Tariff Jul 2020'!R21&gt;0,'Tariff Jul 2020'!T21=""),IF(($F$5&lt;'Tariff Jul 2020'!R21),(0),($F$5-'Tariff Jul 2020'!R21)*'Tariff Jul 2020'!S21/100),IF(AND('Tariff Jul 2020'!P21&gt;0,'Tariff Jul 2020'!R21=""),IF(($F$5&lt;'Tariff Jul 2020'!P21),(0),($F$5-'Tariff Jul 2020'!P21)*'Tariff Jul 2020'!Q21/100),0)))</f>
        <v>0</v>
      </c>
      <c r="J29" s="188">
        <f t="shared" si="12"/>
        <v>380.62903636363626</v>
      </c>
      <c r="K29" s="190">
        <f t="shared" si="13"/>
        <v>1178.3375999999996</v>
      </c>
      <c r="L29" s="190">
        <f t="shared" si="14"/>
        <v>1522.516145454545</v>
      </c>
      <c r="M29" s="191">
        <f t="shared" si="15"/>
        <v>1674.7677599999997</v>
      </c>
      <c r="N29" s="187">
        <f>'Tariff Jul 2020'!AZ21</f>
        <v>0</v>
      </c>
      <c r="O29" s="187">
        <f>'Tariff Jul 2020'!BA21</f>
        <v>0</v>
      </c>
      <c r="P29" s="187">
        <f>'Tariff Jul 2020'!BB21</f>
        <v>0</v>
      </c>
      <c r="Q29" s="187">
        <f>'Tariff Jul 2020'!BC21</f>
        <v>0</v>
      </c>
      <c r="R29" s="192">
        <f>($F$6*'Tariff Jul 2020'!AT21/100)*4</f>
        <v>300.2328</v>
      </c>
      <c r="S29" s="193" t="str">
        <f t="shared" si="16"/>
        <v>No discount</v>
      </c>
      <c r="T29" s="193" t="str">
        <f t="shared" si="17"/>
        <v>Exclusive</v>
      </c>
      <c r="U29" s="304">
        <f t="shared" si="18"/>
        <v>1522.516145454545</v>
      </c>
      <c r="V29" s="283">
        <f t="shared" si="19"/>
        <v>1522.516145454545</v>
      </c>
      <c r="W29" s="283">
        <f t="shared" si="20"/>
        <v>1222.283345454545</v>
      </c>
      <c r="X29" s="283">
        <f t="shared" si="21"/>
        <v>1222.283345454545</v>
      </c>
      <c r="Y29" s="285">
        <f t="shared" si="22"/>
        <v>1344.5116799999996</v>
      </c>
      <c r="Z29" s="285">
        <f t="shared" si="23"/>
        <v>1344.5116799999996</v>
      </c>
      <c r="AA29" s="194">
        <f>'Tariff Jul 2020'!AT21</f>
        <v>11.5</v>
      </c>
      <c r="AB29" s="195">
        <f>'Tariff Jul 2020'!BL21</f>
        <v>0</v>
      </c>
      <c r="AC29" s="195" t="str">
        <f>'Tariff Jul 2020'!BM21</f>
        <v>n</v>
      </c>
      <c r="AD29" s="196">
        <f>'Tariff Jul 2020'!G21</f>
        <v>42551</v>
      </c>
    </row>
    <row r="30" spans="1:30" x14ac:dyDescent="0.15">
      <c r="A30" s="186" t="str">
        <f>'Tariff Jul 2020'!K22</f>
        <v>Future X Power</v>
      </c>
      <c r="B30" s="187" t="str">
        <f>'Tariff Jul 2020'!L22</f>
        <v>Flexi Saver</v>
      </c>
      <c r="C30" s="188">
        <f>IF('Tariff Jul 2020'!BP22=0,91*'Tariff Jul 2020'!M22/100,(91*'Tariff Jul 2020'!M22/100)+'Tariff Jul 2020'!BP22/4)</f>
        <v>78.077999999999989</v>
      </c>
      <c r="D30" s="188">
        <f>IF('Tariff Jul 2020'!O22="",$F$5*'Tariff Jul 2020'!N22/100,IF($F$5&gt;='Tariff Jul 2020'!P22,('Tariff Jul 2020'!P22*'Tariff Jul 2020'!N22/100),($F$5*'Tariff Jul 2020'!N22/100)))</f>
        <v>252.22267636363631</v>
      </c>
      <c r="E30" s="188">
        <f>IF(AND('Tariff Jul 2020'!P22&gt;0,'Tariff Jul 2020'!R22&gt;0),IF($F$5&lt;'Tariff Jul 2020'!P22,0,IF($F$5&lt;=('Tariff Jul 2020'!R22+'Tariff Jul 2020'!P22),(($F$5-'Tariff Jul 2020'!P22)*'Tariff Jul 2020'!Q22/100),(('Tariff Jul 2020'!R22)*'Tariff Jul 2020'!Q22/100))),0)</f>
        <v>0</v>
      </c>
      <c r="F30" s="189">
        <f>IF(AND('Tariff Jul 2020'!Q22&gt;0,'Tariff Jul 2020'!S22&gt;0),IF($F$5&lt;('Tariff Jul 2020'!R22+'Tariff Jul 2020'!P22),0,IF($F$5&lt;=('Tariff Jul 2020'!T22+'Tariff Jul 2020'!R22+'Tariff Jul 2020'!P22),(($F$5-('Tariff Jul 2020'!R22+'Tariff Jul 2020'!P22))*'Tariff Jul 2020'!S22/100),('Tariff Jul 2020'!T22*'Tariff Jul 2020'!S22/100))),0)</f>
        <v>0</v>
      </c>
      <c r="G30" s="188">
        <v>0</v>
      </c>
      <c r="H30" s="188">
        <v>0</v>
      </c>
      <c r="I30" s="189">
        <f>IF('Tariff Jul 2020'!T22&gt;0,IF(($F$5&lt;'Tariff Jul 2020'!T22),(0),($F$5-'Tariff Jul 2020'!T22)*'Tariff Jul 2020'!U22/100),IF(AND('Tariff Jul 2020'!R22&gt;0,'Tariff Jul 2020'!T22=""),IF(($F$5&lt;'Tariff Jul 2020'!R22),(0),($F$5-'Tariff Jul 2020'!R22)*'Tariff Jul 2020'!S22/100),IF(AND('Tariff Jul 2020'!P22&gt;0,'Tariff Jul 2020'!R22=""),IF(($F$5&lt;'Tariff Jul 2020'!P22),(0),($F$5-'Tariff Jul 2020'!P22)*'Tariff Jul 2020'!Q22/100),0)))</f>
        <v>0</v>
      </c>
      <c r="J30" s="188">
        <f t="shared" si="12"/>
        <v>330.30067636363628</v>
      </c>
      <c r="K30" s="190">
        <f t="shared" si="13"/>
        <v>1008.8907054545452</v>
      </c>
      <c r="L30" s="190">
        <f t="shared" si="14"/>
        <v>1321.2027054545451</v>
      </c>
      <c r="M30" s="191">
        <f t="shared" si="15"/>
        <v>1453.3229759999997</v>
      </c>
      <c r="N30" s="187">
        <f>'Tariff Jul 2020'!AZ22</f>
        <v>0</v>
      </c>
      <c r="O30" s="187">
        <f>'Tariff Jul 2020'!BA22</f>
        <v>0</v>
      </c>
      <c r="P30" s="187">
        <f>'Tariff Jul 2020'!BB22</f>
        <v>0</v>
      </c>
      <c r="Q30" s="187">
        <f>'Tariff Jul 2020'!BC22</f>
        <v>0</v>
      </c>
      <c r="R30" s="192">
        <f>($F$6*'Tariff Jul 2020'!AT22/100)*4</f>
        <v>104.4288</v>
      </c>
      <c r="S30" s="193" t="str">
        <f t="shared" si="16"/>
        <v>No discount</v>
      </c>
      <c r="T30" s="193" t="str">
        <f t="shared" si="17"/>
        <v>Exclusive</v>
      </c>
      <c r="U30" s="304">
        <f t="shared" si="18"/>
        <v>1321.2027054545451</v>
      </c>
      <c r="V30" s="283">
        <f t="shared" si="19"/>
        <v>1321.2027054545451</v>
      </c>
      <c r="W30" s="283">
        <f t="shared" si="20"/>
        <v>1216.7739054545452</v>
      </c>
      <c r="X30" s="283">
        <f t="shared" si="21"/>
        <v>1216.7739054545452</v>
      </c>
      <c r="Y30" s="285">
        <f t="shared" si="22"/>
        <v>1338.451296</v>
      </c>
      <c r="Z30" s="285">
        <f t="shared" si="23"/>
        <v>1338.451296</v>
      </c>
      <c r="AA30" s="194">
        <f>'Tariff Jul 2020'!AT22</f>
        <v>4</v>
      </c>
      <c r="AB30" s="195">
        <f>'Tariff Jul 2020'!BL22</f>
        <v>0</v>
      </c>
      <c r="AC30" s="195" t="str">
        <f>'Tariff Jul 2020'!BM22</f>
        <v>n</v>
      </c>
      <c r="AD30" s="196">
        <f>'Tariff Jul 2020'!G22</f>
        <v>42587</v>
      </c>
    </row>
    <row r="31" spans="1:30" x14ac:dyDescent="0.15">
      <c r="A31" s="186" t="str">
        <f>'Tariff Jul 2020'!K23</f>
        <v>GloBird Energy</v>
      </c>
      <c r="B31" s="187" t="str">
        <f>'Tariff Jul 2020'!L23</f>
        <v>GloSave</v>
      </c>
      <c r="C31" s="188">
        <f>IF('Tariff Jul 2020'!BP23=0,91*'Tariff Jul 2020'!M23/100,(91*'Tariff Jul 2020'!M23/100)+'Tariff Jul 2020'!BP23/4)</f>
        <v>90.999999999999986</v>
      </c>
      <c r="D31" s="188">
        <f>IF('Tariff Jul 2020'!O23="",$F$5*'Tariff Jul 2020'!N23/100,IF($F$5&gt;='Tariff Jul 2020'!P23,('Tariff Jul 2020'!P23*'Tariff Jul 2020'!N23/100),($F$5*'Tariff Jul 2020'!N23/100)))</f>
        <v>229.41875999999996</v>
      </c>
      <c r="E31" s="188">
        <f>IF(AND('Tariff Jul 2020'!P23&gt;0,'Tariff Jul 2020'!R23&gt;0),IF($F$5&lt;'Tariff Jul 2020'!P23,0,IF($F$5&lt;=('Tariff Jul 2020'!R23+'Tariff Jul 2020'!P23),(($F$5-'Tariff Jul 2020'!P23)*'Tariff Jul 2020'!Q23/100),(('Tariff Jul 2020'!R23)*'Tariff Jul 2020'!Q23/100))),0)</f>
        <v>0</v>
      </c>
      <c r="F31" s="189">
        <f>IF(AND('Tariff Jul 2020'!Q23&gt;0,'Tariff Jul 2020'!S23&gt;0),IF($F$5&lt;('Tariff Jul 2020'!R23+'Tariff Jul 2020'!P23),0,IF($F$5&lt;=('Tariff Jul 2020'!T23+'Tariff Jul 2020'!R23+'Tariff Jul 2020'!P23),(($F$5-('Tariff Jul 2020'!R23+'Tariff Jul 2020'!P23))*'Tariff Jul 2020'!S23/100),('Tariff Jul 2020'!T23*'Tariff Jul 2020'!S23/100))),0)</f>
        <v>0</v>
      </c>
      <c r="G31" s="188">
        <v>0</v>
      </c>
      <c r="H31" s="188">
        <v>0</v>
      </c>
      <c r="I31" s="189">
        <f>IF('Tariff Jul 2020'!T23&gt;0,IF(($F$5&lt;'Tariff Jul 2020'!T23),(0),($F$5-'Tariff Jul 2020'!T23)*'Tariff Jul 2020'!U23/100),IF(AND('Tariff Jul 2020'!R23&gt;0,'Tariff Jul 2020'!T23=""),IF(($F$5&lt;'Tariff Jul 2020'!R23),(0),($F$5-'Tariff Jul 2020'!R23)*'Tariff Jul 2020'!S23/100),IF(AND('Tariff Jul 2020'!P23&gt;0,'Tariff Jul 2020'!R23=""),IF(($F$5&lt;'Tariff Jul 2020'!P23),(0),($F$5-'Tariff Jul 2020'!P23)*'Tariff Jul 2020'!Q23/100),0)))</f>
        <v>0</v>
      </c>
      <c r="J31" s="188">
        <f t="shared" si="12"/>
        <v>320.41875999999996</v>
      </c>
      <c r="K31" s="190">
        <f t="shared" si="13"/>
        <v>917.67503999999985</v>
      </c>
      <c r="L31" s="190">
        <f t="shared" si="14"/>
        <v>1281.6750399999999</v>
      </c>
      <c r="M31" s="191">
        <f t="shared" si="15"/>
        <v>1409.8425439999999</v>
      </c>
      <c r="N31" s="187">
        <f>'Tariff Jul 2020'!AZ23</f>
        <v>0</v>
      </c>
      <c r="O31" s="187">
        <f>'Tariff Jul 2020'!BA23</f>
        <v>0</v>
      </c>
      <c r="P31" s="187">
        <f>'Tariff Jul 2020'!BB23</f>
        <v>7</v>
      </c>
      <c r="Q31" s="187">
        <f>'Tariff Jul 2020'!BC23</f>
        <v>0</v>
      </c>
      <c r="R31" s="192">
        <f>($F$6*'Tariff Jul 2020'!AT23/100)*4</f>
        <v>78.321600000000004</v>
      </c>
      <c r="S31" s="193" t="str">
        <f t="shared" si="16"/>
        <v>Pay-on-time off bill</v>
      </c>
      <c r="T31" s="193" t="str">
        <f t="shared" si="17"/>
        <v>Exclusive</v>
      </c>
      <c r="U31" s="304">
        <f t="shared" si="18"/>
        <v>1281.6750399999999</v>
      </c>
      <c r="V31" s="283">
        <f t="shared" si="19"/>
        <v>1191.9577872</v>
      </c>
      <c r="W31" s="283">
        <f t="shared" si="20"/>
        <v>1203.3534399999999</v>
      </c>
      <c r="X31" s="283">
        <f t="shared" si="21"/>
        <v>1113.6361872</v>
      </c>
      <c r="Y31" s="285">
        <f t="shared" si="22"/>
        <v>1323.6887839999999</v>
      </c>
      <c r="Z31" s="285">
        <f t="shared" si="23"/>
        <v>1224.9998059200002</v>
      </c>
      <c r="AA31" s="194">
        <f>'Tariff Jul 2020'!AT23</f>
        <v>3</v>
      </c>
      <c r="AB31" s="195">
        <f>'Tariff Jul 2020'!BL23</f>
        <v>0</v>
      </c>
      <c r="AC31" s="195" t="str">
        <f>'Tariff Jul 2020'!BM23</f>
        <v>n</v>
      </c>
      <c r="AD31" s="196">
        <f>'Tariff Jul 2020'!G23</f>
        <v>42571</v>
      </c>
    </row>
    <row r="32" spans="1:30" x14ac:dyDescent="0.15">
      <c r="A32" s="186" t="str">
        <f>'Tariff Jul 2020'!K24</f>
        <v>Kogan Energy</v>
      </c>
      <c r="B32" s="187" t="str">
        <f>'Tariff Jul 2020'!L24</f>
        <v>Market offer</v>
      </c>
      <c r="C32" s="188">
        <f>IF('Tariff Jul 2020'!BP24=0,91*'Tariff Jul 2020'!M24/100,(91*'Tariff Jul 2020'!M24/100)+'Tariff Jul 2020'!BP24/4)</f>
        <v>96.939818181818197</v>
      </c>
      <c r="D32" s="188">
        <f>IF('Tariff Jul 2020'!O24="",$F$5*'Tariff Jul 2020'!N24/100,IF($F$5&gt;='Tariff Jul 2020'!P24,('Tariff Jul 2020'!P24*'Tariff Jul 2020'!N24/100),($F$5*'Tariff Jul 2020'!N24/100)))</f>
        <v>212.37668727272725</v>
      </c>
      <c r="E32" s="188">
        <f>IF(AND('Tariff Jul 2020'!P24&gt;0,'Tariff Jul 2020'!R24&gt;0),IF($F$5&lt;'Tariff Jul 2020'!P24,0,IF($F$5&lt;=('Tariff Jul 2020'!R24+'Tariff Jul 2020'!P24),(($F$5-'Tariff Jul 2020'!P24)*'Tariff Jul 2020'!Q24/100),(('Tariff Jul 2020'!R24)*'Tariff Jul 2020'!Q24/100))),0)</f>
        <v>0</v>
      </c>
      <c r="F32" s="189">
        <f>IF(AND('Tariff Jul 2020'!Q24&gt;0,'Tariff Jul 2020'!S24&gt;0),IF($F$5&lt;('Tariff Jul 2020'!R24+'Tariff Jul 2020'!P24),0,IF($F$5&lt;=('Tariff Jul 2020'!T24+'Tariff Jul 2020'!R24+'Tariff Jul 2020'!P24),(($F$5-('Tariff Jul 2020'!R24+'Tariff Jul 2020'!P24))*'Tariff Jul 2020'!S24/100),('Tariff Jul 2020'!T24*'Tariff Jul 2020'!S24/100))),0)</f>
        <v>0</v>
      </c>
      <c r="G32" s="188">
        <v>0</v>
      </c>
      <c r="H32" s="188">
        <v>0</v>
      </c>
      <c r="I32" s="189">
        <f>IF('Tariff Jul 2020'!T24&gt;0,IF(($F$5&lt;'Tariff Jul 2020'!T24),(0),($F$5-'Tariff Jul 2020'!T24)*'Tariff Jul 2020'!U24/100),IF(AND('Tariff Jul 2020'!R24&gt;0,'Tariff Jul 2020'!T24=""),IF(($F$5&lt;'Tariff Jul 2020'!R24),(0),($F$5-'Tariff Jul 2020'!R24)*'Tariff Jul 2020'!S24/100),IF(AND('Tariff Jul 2020'!P24&gt;0,'Tariff Jul 2020'!R24=""),IF(($F$5&lt;'Tariff Jul 2020'!P24),(0),($F$5-'Tariff Jul 2020'!P24)*'Tariff Jul 2020'!Q24/100),0)))</f>
        <v>0</v>
      </c>
      <c r="J32" s="188">
        <f t="shared" si="12"/>
        <v>309.31650545454545</v>
      </c>
      <c r="K32" s="190">
        <f t="shared" si="13"/>
        <v>849.50674909090901</v>
      </c>
      <c r="L32" s="190">
        <f t="shared" si="14"/>
        <v>1237.2660218181818</v>
      </c>
      <c r="M32" s="191">
        <f t="shared" si="15"/>
        <v>1360.992624</v>
      </c>
      <c r="N32" s="187">
        <f>'Tariff Jul 2020'!AZ24</f>
        <v>0</v>
      </c>
      <c r="O32" s="187">
        <f>'Tariff Jul 2020'!BA24</f>
        <v>0</v>
      </c>
      <c r="P32" s="187">
        <f>'Tariff Jul 2020'!BB24</f>
        <v>0</v>
      </c>
      <c r="Q32" s="187">
        <f>'Tariff Jul 2020'!BC24</f>
        <v>0</v>
      </c>
      <c r="R32" s="192">
        <f>($F$6*'Tariff Jul 2020'!AT24/100)*4</f>
        <v>107.30059199999999</v>
      </c>
      <c r="S32" s="193" t="str">
        <f t="shared" si="16"/>
        <v>No discount</v>
      </c>
      <c r="T32" s="193" t="str">
        <f t="shared" si="17"/>
        <v>Exclusive</v>
      </c>
      <c r="U32" s="304">
        <f t="shared" si="18"/>
        <v>1237.2660218181818</v>
      </c>
      <c r="V32" s="283">
        <f t="shared" si="19"/>
        <v>1237.2660218181818</v>
      </c>
      <c r="W32" s="283">
        <f t="shared" si="20"/>
        <v>1129.9654298181817</v>
      </c>
      <c r="X32" s="283">
        <f t="shared" si="21"/>
        <v>1129.9654298181817</v>
      </c>
      <c r="Y32" s="285">
        <f t="shared" si="22"/>
        <v>1242.9619728</v>
      </c>
      <c r="Z32" s="285">
        <f t="shared" si="23"/>
        <v>1242.9619728</v>
      </c>
      <c r="AA32" s="194">
        <f>'Tariff Jul 2020'!AT24</f>
        <v>4.1100000000000003</v>
      </c>
      <c r="AB32" s="195">
        <f>'Tariff Jul 2020'!BL24</f>
        <v>0</v>
      </c>
      <c r="AC32" s="195" t="str">
        <f>'Tariff Jul 2020'!BM24</f>
        <v>n</v>
      </c>
      <c r="AD32" s="196">
        <f>'Tariff Jul 2020'!G24</f>
        <v>42551</v>
      </c>
    </row>
    <row r="33" spans="1:30" x14ac:dyDescent="0.15">
      <c r="A33" s="186" t="str">
        <f>'Tariff Jul 2020'!K25</f>
        <v>OVO Energy</v>
      </c>
      <c r="B33" s="187" t="str">
        <f>'Tariff Jul 2020'!L25</f>
        <v>The One Plan</v>
      </c>
      <c r="C33" s="188">
        <f>IF('Tariff Jul 2020'!BP25=0,91*'Tariff Jul 2020'!M25/100,(91*'Tariff Jul 2020'!M25/100)+'Tariff Jul 2020'!BP25/4)</f>
        <v>90.999999999999986</v>
      </c>
      <c r="D33" s="188">
        <f>IF('Tariff Jul 2020'!O25="",$F$5*'Tariff Jul 2020'!N25/100,IF($F$5&gt;='Tariff Jul 2020'!P25,('Tariff Jul 2020'!P25*'Tariff Jul 2020'!N25/100),($F$5*'Tariff Jul 2020'!N25/100)))</f>
        <v>245.48699999999997</v>
      </c>
      <c r="E33" s="188">
        <f>IF(AND('Tariff Jul 2020'!P25&gt;0,'Tariff Jul 2020'!R25&gt;0),IF($F$5&lt;'Tariff Jul 2020'!P25,0,IF($F$5&lt;=('Tariff Jul 2020'!R25+'Tariff Jul 2020'!P25),(($F$5-'Tariff Jul 2020'!P25)*'Tariff Jul 2020'!Q25/100),(('Tariff Jul 2020'!R25)*'Tariff Jul 2020'!Q25/100))),0)</f>
        <v>0</v>
      </c>
      <c r="F33" s="189">
        <f>IF(AND('Tariff Jul 2020'!Q25&gt;0,'Tariff Jul 2020'!S25&gt;0),IF($F$5&lt;('Tariff Jul 2020'!R25+'Tariff Jul 2020'!P25),0,IF($F$5&lt;=('Tariff Jul 2020'!T25+'Tariff Jul 2020'!R25+'Tariff Jul 2020'!P25),(($F$5-('Tariff Jul 2020'!R25+'Tariff Jul 2020'!P25))*'Tariff Jul 2020'!S25/100),('Tariff Jul 2020'!T25*'Tariff Jul 2020'!S25/100))),0)</f>
        <v>0</v>
      </c>
      <c r="G33" s="188">
        <v>0</v>
      </c>
      <c r="H33" s="188">
        <v>0</v>
      </c>
      <c r="I33" s="189">
        <f>IF('Tariff Jul 2020'!T25&gt;0,IF(($F$5&lt;'Tariff Jul 2020'!T25),(0),($F$5-'Tariff Jul 2020'!T25)*'Tariff Jul 2020'!U25/100),IF(AND('Tariff Jul 2020'!R25&gt;0,'Tariff Jul 2020'!T25=""),IF(($F$5&lt;'Tariff Jul 2020'!R25),(0),($F$5-'Tariff Jul 2020'!R25)*'Tariff Jul 2020'!S25/100),IF(AND('Tariff Jul 2020'!P25&gt;0,'Tariff Jul 2020'!R25=""),IF(($F$5&lt;'Tariff Jul 2020'!P25),(0),($F$5-'Tariff Jul 2020'!P25)*'Tariff Jul 2020'!Q25/100),0)))</f>
        <v>0</v>
      </c>
      <c r="J33" s="188">
        <f t="shared" si="12"/>
        <v>336.48699999999997</v>
      </c>
      <c r="K33" s="190">
        <f t="shared" si="13"/>
        <v>981.94799999999987</v>
      </c>
      <c r="L33" s="190">
        <f t="shared" si="14"/>
        <v>1345.9479999999999</v>
      </c>
      <c r="M33" s="191">
        <f t="shared" si="15"/>
        <v>1480.5427999999999</v>
      </c>
      <c r="N33" s="187">
        <f>'Tariff Jul 2020'!AZ25</f>
        <v>0</v>
      </c>
      <c r="O33" s="187">
        <f>'Tariff Jul 2020'!BA25</f>
        <v>0</v>
      </c>
      <c r="P33" s="187">
        <f>'Tariff Jul 2020'!BB25</f>
        <v>0</v>
      </c>
      <c r="Q33" s="187">
        <f>'Tariff Jul 2020'!BC25</f>
        <v>0</v>
      </c>
      <c r="R33" s="192">
        <f>($F$6*'Tariff Jul 2020'!AT25/100)*4</f>
        <v>208.85759999999999</v>
      </c>
      <c r="S33" s="193" t="str">
        <f t="shared" si="16"/>
        <v>No discount</v>
      </c>
      <c r="T33" s="193" t="str">
        <f t="shared" si="17"/>
        <v>Exclusive</v>
      </c>
      <c r="U33" s="304">
        <f t="shared" si="18"/>
        <v>1345.9479999999999</v>
      </c>
      <c r="V33" s="283">
        <f t="shared" si="19"/>
        <v>1345.9479999999999</v>
      </c>
      <c r="W33" s="283">
        <f t="shared" si="20"/>
        <v>1137.0903999999998</v>
      </c>
      <c r="X33" s="283">
        <f t="shared" si="21"/>
        <v>1137.0903999999998</v>
      </c>
      <c r="Y33" s="285">
        <f t="shared" si="22"/>
        <v>1250.79944</v>
      </c>
      <c r="Z33" s="285">
        <f t="shared" si="23"/>
        <v>1250.79944</v>
      </c>
      <c r="AA33" s="194">
        <f>'Tariff Jul 2020'!AT25</f>
        <v>8</v>
      </c>
      <c r="AB33" s="195">
        <f>'Tariff Jul 2020'!BL25</f>
        <v>0</v>
      </c>
      <c r="AC33" s="195" t="str">
        <f>'Tariff Jul 2020'!BM25</f>
        <v>n</v>
      </c>
      <c r="AD33" s="196">
        <f>'Tariff Jul 2020'!G25</f>
        <v>42551</v>
      </c>
    </row>
    <row r="34" spans="1:30" ht="15" thickBot="1" x14ac:dyDescent="0.2">
      <c r="A34" s="197" t="str">
        <f>'Tariff Jul 2020'!K26</f>
        <v>ReAmped Energy</v>
      </c>
      <c r="B34" s="198" t="str">
        <f>'Tariff Jul 2020'!L26</f>
        <v>Classic</v>
      </c>
      <c r="C34" s="199">
        <f>IF('Tariff Jul 2020'!BP26=0,91*'Tariff Jul 2020'!M26/100,(91*'Tariff Jul 2020'!M26/100)+'Tariff Jul 2020'!BP26/4)</f>
        <v>61.961900000000007</v>
      </c>
      <c r="D34" s="199">
        <f>IF('Tariff Jul 2020'!O26="",$F$5*'Tariff Jul 2020'!N26/100,IF($F$5&gt;='Tariff Jul 2020'!P26,('Tariff Jul 2020'!P26*'Tariff Jul 2020'!N26/100),($F$5*'Tariff Jul 2020'!N26/100)))</f>
        <v>262.80499199999997</v>
      </c>
      <c r="E34" s="199">
        <f>IF(AND('Tariff Jul 2020'!P26&gt;0,'Tariff Jul 2020'!R26&gt;0),IF($F$5&lt;'Tariff Jul 2020'!P26,0,IF($F$5&lt;=('Tariff Jul 2020'!R26+'Tariff Jul 2020'!P26),(($F$5-'Tariff Jul 2020'!P26)*'Tariff Jul 2020'!Q26/100),(('Tariff Jul 2020'!R26)*'Tariff Jul 2020'!Q26/100))),0)</f>
        <v>0</v>
      </c>
      <c r="F34" s="200">
        <f>IF(AND('Tariff Jul 2020'!Q26&gt;0,'Tariff Jul 2020'!S26&gt;0),IF($F$5&lt;('Tariff Jul 2020'!R26+'Tariff Jul 2020'!P26),0,IF($F$5&lt;=('Tariff Jul 2020'!T26+'Tariff Jul 2020'!R26+'Tariff Jul 2020'!P26),(($F$5-('Tariff Jul 2020'!R26+'Tariff Jul 2020'!P26))*'Tariff Jul 2020'!S26/100),('Tariff Jul 2020'!T26*'Tariff Jul 2020'!S26/100))),0)</f>
        <v>0</v>
      </c>
      <c r="G34" s="199">
        <v>0</v>
      </c>
      <c r="H34" s="199">
        <v>0</v>
      </c>
      <c r="I34" s="200">
        <f>IF('Tariff Jul 2020'!T26&gt;0,IF(($F$5&lt;'Tariff Jul 2020'!T26),(0),($F$5-'Tariff Jul 2020'!T26)*'Tariff Jul 2020'!U26/100),IF(AND('Tariff Jul 2020'!R26&gt;0,'Tariff Jul 2020'!T26=""),IF(($F$5&lt;'Tariff Jul 2020'!R26),(0),($F$5-'Tariff Jul 2020'!R26)*'Tariff Jul 2020'!S26/100),IF(AND('Tariff Jul 2020'!P26&gt;0,'Tariff Jul 2020'!R26=""),IF(($F$5&lt;'Tariff Jul 2020'!P26),(0),($F$5-'Tariff Jul 2020'!P26)*'Tariff Jul 2020'!Q26/100),0)))</f>
        <v>0</v>
      </c>
      <c r="J34" s="199">
        <f t="shared" si="12"/>
        <v>324.76689199999998</v>
      </c>
      <c r="K34" s="201">
        <f t="shared" si="13"/>
        <v>1051.2199679999999</v>
      </c>
      <c r="L34" s="201">
        <f t="shared" si="14"/>
        <v>1299.0675679999999</v>
      </c>
      <c r="M34" s="202">
        <f t="shared" si="15"/>
        <v>1428.9743248</v>
      </c>
      <c r="N34" s="198">
        <f>'Tariff Jul 2020'!AZ26</f>
        <v>0</v>
      </c>
      <c r="O34" s="198">
        <f>'Tariff Jul 2020'!BA26</f>
        <v>0</v>
      </c>
      <c r="P34" s="198">
        <f>'Tariff Jul 2020'!BB26</f>
        <v>0</v>
      </c>
      <c r="Q34" s="198">
        <f>'Tariff Jul 2020'!BC26</f>
        <v>0</v>
      </c>
      <c r="R34" s="203">
        <f>($F$6*'Tariff Jul 2020'!AT26/100)*4</f>
        <v>182.75039999999998</v>
      </c>
      <c r="S34" s="204" t="str">
        <f t="shared" si="16"/>
        <v>No discount</v>
      </c>
      <c r="T34" s="204" t="str">
        <f t="shared" si="17"/>
        <v>Exclusive</v>
      </c>
      <c r="U34" s="305">
        <f t="shared" si="18"/>
        <v>1299.0675679999999</v>
      </c>
      <c r="V34" s="284">
        <f t="shared" si="19"/>
        <v>1299.0675679999999</v>
      </c>
      <c r="W34" s="284">
        <f t="shared" si="20"/>
        <v>1116.317168</v>
      </c>
      <c r="X34" s="284">
        <f t="shared" si="21"/>
        <v>1116.317168</v>
      </c>
      <c r="Y34" s="286">
        <f t="shared" si="22"/>
        <v>1227.9488848000001</v>
      </c>
      <c r="Z34" s="286">
        <f t="shared" si="23"/>
        <v>1227.9488848000001</v>
      </c>
      <c r="AA34" s="205">
        <f>'Tariff Jul 2020'!AT26</f>
        <v>7</v>
      </c>
      <c r="AB34" s="206">
        <f>'Tariff Jul 2020'!BL26</f>
        <v>0</v>
      </c>
      <c r="AC34" s="206" t="str">
        <f>'Tariff Jul 2020'!BM26</f>
        <v>n</v>
      </c>
      <c r="AD34" s="207">
        <f>'Tariff Jul 2020'!G26</f>
        <v>42587</v>
      </c>
    </row>
    <row r="36" spans="1:30" ht="15" thickBot="1" x14ac:dyDescent="0.2"/>
    <row r="37" spans="1:30" x14ac:dyDescent="0.15">
      <c r="A37" s="266" t="s">
        <v>154</v>
      </c>
      <c r="B37" s="267"/>
      <c r="C37" s="269"/>
      <c r="D37" s="269"/>
      <c r="E37" s="269"/>
      <c r="F37" s="269"/>
      <c r="G37" s="270"/>
      <c r="H37" s="270"/>
      <c r="I37" s="267"/>
      <c r="J37" s="267"/>
      <c r="K37" s="270"/>
      <c r="L37" s="267"/>
      <c r="M37" s="267"/>
      <c r="N37" s="267"/>
      <c r="O37" s="267"/>
      <c r="P37" s="267"/>
      <c r="Q37" s="267"/>
      <c r="R37" s="267"/>
      <c r="S37" s="267"/>
      <c r="T37" s="267"/>
      <c r="U37" s="267"/>
      <c r="V37" s="267"/>
      <c r="W37" s="267"/>
      <c r="X37" s="267"/>
      <c r="Y37" s="267"/>
      <c r="Z37" s="267"/>
      <c r="AA37" s="267"/>
      <c r="AB37" s="267"/>
      <c r="AC37" s="267"/>
      <c r="AD37" s="268"/>
    </row>
    <row r="38" spans="1:30" ht="90" x14ac:dyDescent="0.15">
      <c r="A38" s="271" t="s">
        <v>231</v>
      </c>
      <c r="B38" s="272" t="s">
        <v>243</v>
      </c>
      <c r="C38" s="279" t="s">
        <v>244</v>
      </c>
      <c r="D38" s="279" t="s">
        <v>227</v>
      </c>
      <c r="E38" s="279" t="s">
        <v>357</v>
      </c>
      <c r="F38" s="279" t="s">
        <v>358</v>
      </c>
      <c r="G38" s="279" t="s">
        <v>329</v>
      </c>
      <c r="H38" s="273" t="s">
        <v>222</v>
      </c>
      <c r="I38" s="273" t="s">
        <v>223</v>
      </c>
      <c r="J38" s="273" t="s">
        <v>799</v>
      </c>
      <c r="K38" s="280" t="s">
        <v>246</v>
      </c>
      <c r="L38" s="280" t="s">
        <v>247</v>
      </c>
      <c r="M38" s="274" t="s">
        <v>636</v>
      </c>
      <c r="N38" s="275" t="s">
        <v>249</v>
      </c>
      <c r="O38" s="275" t="s">
        <v>250</v>
      </c>
      <c r="P38" s="275" t="s">
        <v>251</v>
      </c>
      <c r="Q38" s="275" t="s">
        <v>365</v>
      </c>
      <c r="R38" s="276" t="s">
        <v>373</v>
      </c>
      <c r="S38" s="281" t="s">
        <v>637</v>
      </c>
      <c r="T38" s="281" t="s">
        <v>638</v>
      </c>
      <c r="U38" s="282" t="s">
        <v>255</v>
      </c>
      <c r="V38" s="282" t="s">
        <v>224</v>
      </c>
      <c r="W38" s="282" t="s">
        <v>374</v>
      </c>
      <c r="X38" s="282" t="s">
        <v>375</v>
      </c>
      <c r="Y38" s="276" t="s">
        <v>376</v>
      </c>
      <c r="Z38" s="276" t="s">
        <v>436</v>
      </c>
      <c r="AA38" s="275" t="s">
        <v>155</v>
      </c>
      <c r="AB38" s="278" t="s">
        <v>225</v>
      </c>
      <c r="AC38" s="275" t="s">
        <v>226</v>
      </c>
      <c r="AD38" s="277" t="s">
        <v>221</v>
      </c>
    </row>
    <row r="39" spans="1:30" x14ac:dyDescent="0.15">
      <c r="A39" s="186" t="str">
        <f>'Tariff Jul 2020'!K27</f>
        <v>AGL</v>
      </c>
      <c r="B39" s="187" t="str">
        <f>'Tariff Jul 2020'!L27</f>
        <v>Solar Savers</v>
      </c>
      <c r="C39" s="208">
        <f>IF('Tariff Jul 2020'!BP27=0,91*'Tariff Jul 2020'!M27/100,(91*'Tariff Jul 2020'!M27/100)+'Tariff Jul 2020'!BP27/4)</f>
        <v>73.709999999999994</v>
      </c>
      <c r="D39" s="208">
        <f>IF('Tariff Jul 2020'!O27="",$H$5*'Tariff Jul 2020'!N27/100,IF($H$5&gt;='Tariff Jul 2020'!P27,('Tariff Jul 2020'!P27*'Tariff Jul 2020'!N27/100),($H$5*'Tariff Jul 2020'!N27/100)))</f>
        <v>262.15577018181813</v>
      </c>
      <c r="E39" s="208">
        <f>IF(AND('Tariff Jul 2020'!P27&gt;0,'Tariff Jul 2020'!R27&gt;0),IF($H$5&lt;'Tariff Jul 2020'!P27,0,IF($H$5&lt;=('Tariff Jul 2020'!R27+'Tariff Jul 2020'!P27),(($H$5-'Tariff Jul 2020'!P27)*'Tariff Jul 2020'!Q27/100),(('Tariff Jul 2020'!R27)*'Tariff Jul 2020'!Q27/100))),0)</f>
        <v>0</v>
      </c>
      <c r="F39" s="208">
        <f>IF(AND('Tariff Jul 2020'!Q27&gt;0,'Tariff Jul 2020'!S27&gt;0),IF($H$5&lt;('Tariff Jul 2020'!R27+'Tariff Jul 2020'!P27),0,IF($H$5&lt;=('Tariff Jul 2020'!T27+'Tariff Jul 2020'!R27+'Tariff Jul 2020'!P27),(($H$5-('Tariff Jul 2020'!R27+'Tariff Jul 2020'!P27))*'Tariff Jul 2020'!S27/100),('Tariff Jul 2020'!T27*'Tariff Jul 2020'!S27/100))),0)</f>
        <v>0</v>
      </c>
      <c r="G39" s="208">
        <f>IF('Tariff Jul 2020'!T27&gt;0,IF(($H$5&lt;'Tariff Jul 2020'!T27),(0),($H$5-'Tariff Jul 2020'!T27)*'Tariff Jul 2020'!U27/100),IF(AND('Tariff Jul 2020'!R27&gt;0,'Tariff Jul 2020'!T27=""),IF(($H$5&lt;'Tariff Jul 2020'!R27),(0),($H$5-'Tariff Jul 2020'!R27)*'Tariff Jul 2020'!S27/100),IF(AND('Tariff Jul 2020'!P27&gt;0,'Tariff Jul 2020'!R27=""),IF(($H$5&lt;'Tariff Jul 2020'!P27),(0),($H$5-'Tariff Jul 2020'!P27)*'Tariff Jul 2020'!Q27/100),0)))</f>
        <v>0</v>
      </c>
      <c r="H39" s="208">
        <f>($I$5)*'Tariff Jul 2020'!AE27/100</f>
        <v>35.901966545454542</v>
      </c>
      <c r="I39" s="208">
        <v>0</v>
      </c>
      <c r="J39" s="208">
        <f>SUM(C39:I39)</f>
        <v>371.76773672727268</v>
      </c>
      <c r="K39" s="190">
        <f>(J39-C39)*4</f>
        <v>1192.2309469090908</v>
      </c>
      <c r="L39" s="190">
        <f>J39*4</f>
        <v>1487.0709469090907</v>
      </c>
      <c r="M39" s="191">
        <f>L39*1.1</f>
        <v>1635.7780415999998</v>
      </c>
      <c r="N39" s="187">
        <f>'Tariff Jul 2020'!AZ27</f>
        <v>0</v>
      </c>
      <c r="O39" s="187">
        <f>'Tariff Jul 2020'!BA27</f>
        <v>0</v>
      </c>
      <c r="P39" s="187">
        <f>'Tariff Jul 2020'!BB27</f>
        <v>0</v>
      </c>
      <c r="Q39" s="187">
        <f>'Tariff Jul 2020'!BC27</f>
        <v>0</v>
      </c>
      <c r="R39" s="192">
        <f>($F$6*'Tariff Jul 2020'!AT27/100)*4</f>
        <v>469.92959999999999</v>
      </c>
      <c r="S39" s="193" t="str">
        <f>IF(SUM(N39:Q39)=0,"No discount",IF(N39&gt;0,"Guaranteed off bill",IF(O39&gt;0,"Guaranteed off usage",IF(P39&gt;0,"Pay-on-time off bill","Pay-on-time off usage"))))</f>
        <v>No discount</v>
      </c>
      <c r="T39" s="193" t="str">
        <f>IF(OR(A39="Origin Energy",A39="Red Energy",A39="Powershop"),"Inclusive","Exclusive")</f>
        <v>Exclusive</v>
      </c>
      <c r="U39" s="304">
        <f>IF(AND(S39="Guaranteed off bill",T39="Inclusive"),((L39*1.1)-((L39*1.1)*N39/100))/1.1,IF(AND(S39="Guaranteed off usage",T39="Inclusive"),((L39*1.1)-((K39*1.1)*O39/100))/1.1,IF(AND(S39="Guaranteed off bill",T39="Exclusive"),L39-(L39*N39/100),IF(AND(S39="Guaranteed off usage",T39="Exclusive"),L39-(K39*O39/100),IF(T39="Inclusive",((L39*1.1))/1.1,L39)))))</f>
        <v>1487.0709469090907</v>
      </c>
      <c r="V39" s="283">
        <f>IF(AND(S39="Pay-on-time off bill",T39="Inclusive"),((U39*1.1)-((U39*1.1)*P39/100))/1.1,IF(AND(S39="Pay-on-time off usage",T39="Inclusive"),((U39*1.1)-((K39*1.1)*Q39/100))/1.1,IF(AND(S39="Pay-on-time off bill",T39="Exclusive"),U39-(U39*P39/100),IF(AND(S39="Pay-on-time off usage",T39="Exclusive"),U39-(K39*Q39/100),IF(T39="Inclusive",((U39*1.1))/1.1,U39)))))</f>
        <v>1487.0709469090907</v>
      </c>
      <c r="W39" s="283">
        <f t="shared" ref="W39:W54" si="24">U39-R39</f>
        <v>1017.1413469090908</v>
      </c>
      <c r="X39" s="283">
        <f t="shared" ref="X39:X54" si="25">V39-R39</f>
        <v>1017.1413469090908</v>
      </c>
      <c r="Y39" s="285">
        <f t="shared" ref="Y39:Z54" si="26">W39*1.1</f>
        <v>1118.8554815999998</v>
      </c>
      <c r="Z39" s="285">
        <f t="shared" si="26"/>
        <v>1118.8554815999998</v>
      </c>
      <c r="AA39" s="194">
        <f>'Tariff Jul 2020'!AT14</f>
        <v>9.8800000000000008</v>
      </c>
      <c r="AB39" s="195">
        <f>'Tariff Jul 2020'!BL27</f>
        <v>0</v>
      </c>
      <c r="AC39" s="195" t="str">
        <f>'Tariff Jul 2020'!BM27</f>
        <v>n</v>
      </c>
      <c r="AD39" s="196">
        <f>'Tariff Jul 2020'!G27</f>
        <v>42551</v>
      </c>
    </row>
    <row r="40" spans="1:30" x14ac:dyDescent="0.15">
      <c r="A40" s="186" t="str">
        <f>'Tariff Jul 2020'!K28</f>
        <v>Alinta Energy</v>
      </c>
      <c r="B40" s="187" t="str">
        <f>'Tariff Jul 2020'!L28</f>
        <v>No fuss</v>
      </c>
      <c r="C40" s="208">
        <f>IF('Tariff Jul 2020'!BP28=0,91*'Tariff Jul 2020'!M28/100,(91*'Tariff Jul 2020'!M28/100)+'Tariff Jul 2020'!BP28/4)</f>
        <v>75.53</v>
      </c>
      <c r="D40" s="208">
        <f>IF('Tariff Jul 2020'!O28="",$H$5*'Tariff Jul 2020'!N28/100,IF($H$5&gt;='Tariff Jul 2020'!P28,('Tariff Jul 2020'!P28*'Tariff Jul 2020'!N28/100),($H$5*'Tariff Jul 2020'!N28/100)))</f>
        <v>90.463636363636354</v>
      </c>
      <c r="E40" s="208">
        <f>IF(AND('Tariff Jul 2020'!P28&gt;0,'Tariff Jul 2020'!R28&gt;0),IF($H$5&lt;'Tariff Jul 2020'!P28,0,IF($H$5&lt;=('Tariff Jul 2020'!R28+'Tariff Jul 2020'!P28),(($H$5-'Tariff Jul 2020'!P28)*'Tariff Jul 2020'!Q28/100),(('Tariff Jul 2020'!R28)*'Tariff Jul 2020'!Q28/100))),0)</f>
        <v>0</v>
      </c>
      <c r="F40" s="208">
        <f>IF(AND('Tariff Jul 2020'!Q28&gt;0,'Tariff Jul 2020'!S28&gt;0),IF($H$5&lt;('Tariff Jul 2020'!R28+'Tariff Jul 2020'!P28),0,IF($H$5&lt;=('Tariff Jul 2020'!T28+'Tariff Jul 2020'!R28+'Tariff Jul 2020'!P28),(($H$5-('Tariff Jul 2020'!R28+'Tariff Jul 2020'!P28))*'Tariff Jul 2020'!S28/100),('Tariff Jul 2020'!T28*'Tariff Jul 2020'!S28/100))),0)</f>
        <v>0</v>
      </c>
      <c r="G40" s="208">
        <f>IF('Tariff Jul 2020'!T28&gt;0,IF(($H$5&lt;'Tariff Jul 2020'!T28),(0),($H$5-'Tariff Jul 2020'!T28)*'Tariff Jul 2020'!U28/100),IF(AND('Tariff Jul 2020'!R28&gt;0,'Tariff Jul 2020'!T28=""),IF(($H$5&lt;'Tariff Jul 2020'!R28),(0),($H$5-'Tariff Jul 2020'!R28)*'Tariff Jul 2020'!S28/100),IF(AND('Tariff Jul 2020'!P28&gt;0,'Tariff Jul 2020'!R28=""),IF(($H$5&lt;'Tariff Jul 2020'!P28),(0),($H$5-'Tariff Jul 2020'!P28)*'Tariff Jul 2020'!Q28/100),0)))</f>
        <v>139.11473454545452</v>
      </c>
      <c r="H40" s="208">
        <f>($I$5)*'Tariff Jul 2020'!AE28/100</f>
        <v>29.669437090909085</v>
      </c>
      <c r="I40" s="208">
        <f>IF((I5&lt;'Tariff Jul 2020'!AF28),(0),(I5-'Tariff Jul 2020'!AF28)*'Tariff Jul 2020'!AG28/100)</f>
        <v>0</v>
      </c>
      <c r="J40" s="208">
        <f t="shared" ref="J40:J51" si="27">SUM(C40:I40)</f>
        <v>334.77780799999999</v>
      </c>
      <c r="K40" s="190">
        <f>(J40-C40)*4</f>
        <v>1036.9912319999999</v>
      </c>
      <c r="L40" s="190">
        <f t="shared" ref="L40:L54" si="28">J40*4</f>
        <v>1339.111232</v>
      </c>
      <c r="M40" s="191">
        <f t="shared" ref="M40:M54" si="29">L40*1.1</f>
        <v>1473.0223552</v>
      </c>
      <c r="N40" s="187">
        <f>'Tariff Jul 2020'!AZ28</f>
        <v>0</v>
      </c>
      <c r="O40" s="187">
        <f>'Tariff Jul 2020'!BA28</f>
        <v>0</v>
      </c>
      <c r="P40" s="187">
        <f>'Tariff Jul 2020'!BB28</f>
        <v>0</v>
      </c>
      <c r="Q40" s="187">
        <f>'Tariff Jul 2020'!BC28</f>
        <v>0</v>
      </c>
      <c r="R40" s="192">
        <f>($F$6*'Tariff Jul 2020'!AT28/100)*4</f>
        <v>248.01839999999996</v>
      </c>
      <c r="S40" s="193" t="str">
        <f t="shared" ref="S40:S54" si="30">IF(SUM(N40:Q40)=0,"No discount",IF(N40&gt;0,"Guaranteed off bill",IF(O40&gt;0,"Guaranteed off usage",IF(P40&gt;0,"Pay-on-time off bill","Pay-on-time off usage"))))</f>
        <v>No discount</v>
      </c>
      <c r="T40" s="193" t="str">
        <f t="shared" ref="T40:T54" si="31">IF(OR(A40="Origin Energy",A40="Red Energy",A40="Powershop"),"Inclusive","Exclusive")</f>
        <v>Exclusive</v>
      </c>
      <c r="U40" s="304">
        <f t="shared" ref="U40:U54" si="32">IF(AND(S40="Guaranteed off bill",T40="Inclusive"),((L40*1.1)-((L40*1.1)*N40/100))/1.1,IF(AND(S40="Guaranteed off usage",T40="Inclusive"),((L40*1.1)-((K40*1.1)*O40/100))/1.1,IF(AND(S40="Guaranteed off bill",T40="Exclusive"),L40-(L40*N40/100),IF(AND(S40="Guaranteed off usage",T40="Exclusive"),L40-(K40*O40/100),IF(T40="Inclusive",((L40*1.1))/1.1,L40)))))</f>
        <v>1339.111232</v>
      </c>
      <c r="V40" s="283">
        <f t="shared" ref="V40:V54" si="33">IF(AND(S40="Pay-on-time off bill",T40="Inclusive"),((U40*1.1)-((U40*1.1)*P40/100))/1.1,IF(AND(S40="Pay-on-time off usage",T40="Inclusive"),((U40*1.1)-((K40*1.1)*Q40/100))/1.1,IF(AND(S40="Pay-on-time off bill",T40="Exclusive"),U40-(U40*P40/100),IF(AND(S40="Pay-on-time off usage",T40="Exclusive"),U40-(K40*Q40/100),IF(T40="Inclusive",((U40*1.1))/1.1,U40)))))</f>
        <v>1339.111232</v>
      </c>
      <c r="W40" s="283">
        <f t="shared" si="24"/>
        <v>1091.092832</v>
      </c>
      <c r="X40" s="283">
        <f t="shared" si="25"/>
        <v>1091.092832</v>
      </c>
      <c r="Y40" s="285">
        <f t="shared" si="26"/>
        <v>1200.2021152000002</v>
      </c>
      <c r="Z40" s="285">
        <f t="shared" si="26"/>
        <v>1200.2021152000002</v>
      </c>
      <c r="AA40" s="194">
        <f>'Tariff Jul 2020'!AT27</f>
        <v>18</v>
      </c>
      <c r="AB40" s="195">
        <f>'Tariff Jul 2020'!BL28</f>
        <v>0</v>
      </c>
      <c r="AC40" s="195" t="str">
        <f>'Tariff Jul 2020'!BM28</f>
        <v>n</v>
      </c>
      <c r="AD40" s="196">
        <f>'Tariff Jul 2020'!G28</f>
        <v>42567</v>
      </c>
    </row>
    <row r="41" spans="1:30" x14ac:dyDescent="0.15">
      <c r="A41" s="186" t="str">
        <f>'Tariff Jul 2020'!K29</f>
        <v>Click Energy</v>
      </c>
      <c r="B41" s="187" t="str">
        <f>'Tariff Jul 2020'!L29</f>
        <v>Flora Solar</v>
      </c>
      <c r="C41" s="208">
        <f>IF('Tariff Jul 2020'!BP29=0,91*'Tariff Jul 2020'!M29/100,(91*'Tariff Jul 2020'!M29/100)+'Tariff Jul 2020'!BP29/4)</f>
        <v>84.084000000000003</v>
      </c>
      <c r="D41" s="208">
        <f>IF('Tariff Jul 2020'!O29="",$H$5*'Tariff Jul 2020'!N29/100,IF($H$5&gt;='Tariff Jul 2020'!P29,('Tariff Jul 2020'!P29*'Tariff Jul 2020'!N29/100),($H$5*'Tariff Jul 2020'!N29/100)))</f>
        <v>237.09580800000001</v>
      </c>
      <c r="E41" s="208">
        <f>IF(AND('Tariff Jul 2020'!P29&gt;0,'Tariff Jul 2020'!R29&gt;0),IF($H$5&lt;'Tariff Jul 2020'!P29,0,IF($H$5&lt;=('Tariff Jul 2020'!R29+'Tariff Jul 2020'!P29),(($H$5-'Tariff Jul 2020'!P29)*'Tariff Jul 2020'!Q29/100),(('Tariff Jul 2020'!R29)*'Tariff Jul 2020'!Q29/100))),0)</f>
        <v>0</v>
      </c>
      <c r="F41" s="208">
        <f>IF(AND('Tariff Jul 2020'!Q29&gt;0,'Tariff Jul 2020'!S29&gt;0),IF($H$5&lt;('Tariff Jul 2020'!R29+'Tariff Jul 2020'!P29),0,IF($H$5&lt;=('Tariff Jul 2020'!T29+'Tariff Jul 2020'!R29+'Tariff Jul 2020'!P29),(($H$5-('Tariff Jul 2020'!R29+'Tariff Jul 2020'!P29))*'Tariff Jul 2020'!S29/100),('Tariff Jul 2020'!T29*'Tariff Jul 2020'!S29/100))),0)</f>
        <v>0</v>
      </c>
      <c r="G41" s="208">
        <f>IF('Tariff Jul 2020'!T29&gt;0,IF(($H$5&lt;'Tariff Jul 2020'!T29),(0),($H$5-'Tariff Jul 2020'!T29)*'Tariff Jul 2020'!U29/100),IF(AND('Tariff Jul 2020'!R29&gt;0,'Tariff Jul 2020'!T29=""),IF(($H$5&lt;'Tariff Jul 2020'!R29),(0),($H$5-'Tariff Jul 2020'!R29)*'Tariff Jul 2020'!S29/100),IF(AND('Tariff Jul 2020'!P29&gt;0,'Tariff Jul 2020'!R29=""),IF(($H$5&lt;'Tariff Jul 2020'!P29),(0),($H$5-'Tariff Jul 2020'!P29)*'Tariff Jul 2020'!Q29/100),0)))</f>
        <v>0</v>
      </c>
      <c r="H41" s="208">
        <f>($I$5)*'Tariff Jul 2020'!AE29/100</f>
        <v>30.562117090909076</v>
      </c>
      <c r="I41" s="208">
        <v>0</v>
      </c>
      <c r="J41" s="208">
        <f t="shared" si="27"/>
        <v>351.74192509090904</v>
      </c>
      <c r="K41" s="190">
        <f t="shared" ref="K41:K54" si="34">(J41-C41)*4</f>
        <v>1070.6317003636361</v>
      </c>
      <c r="L41" s="190">
        <f t="shared" si="28"/>
        <v>1406.9677003636361</v>
      </c>
      <c r="M41" s="191">
        <f t="shared" si="29"/>
        <v>1547.6644703999998</v>
      </c>
      <c r="N41" s="187">
        <f>'Tariff Jul 2020'!AZ29</f>
        <v>0</v>
      </c>
      <c r="O41" s="187">
        <f>'Tariff Jul 2020'!BA29</f>
        <v>0</v>
      </c>
      <c r="P41" s="187">
        <f>'Tariff Jul 2020'!BB29</f>
        <v>0</v>
      </c>
      <c r="Q41" s="187">
        <f>'Tariff Jul 2020'!BC29</f>
        <v>0</v>
      </c>
      <c r="R41" s="192">
        <f>($F$6*'Tariff Jul 2020'!AT29/100)*4</f>
        <v>443.82239999999996</v>
      </c>
      <c r="S41" s="193" t="str">
        <f t="shared" si="30"/>
        <v>No discount</v>
      </c>
      <c r="T41" s="193" t="str">
        <f t="shared" si="31"/>
        <v>Exclusive</v>
      </c>
      <c r="U41" s="304">
        <f t="shared" si="32"/>
        <v>1406.9677003636361</v>
      </c>
      <c r="V41" s="283">
        <f t="shared" si="33"/>
        <v>1406.9677003636361</v>
      </c>
      <c r="W41" s="283">
        <f t="shared" si="24"/>
        <v>963.14530036363612</v>
      </c>
      <c r="X41" s="283">
        <f t="shared" si="25"/>
        <v>963.14530036363612</v>
      </c>
      <c r="Y41" s="285">
        <f t="shared" si="26"/>
        <v>1059.4598303999999</v>
      </c>
      <c r="Z41" s="285">
        <f t="shared" si="26"/>
        <v>1059.4598303999999</v>
      </c>
      <c r="AA41" s="194">
        <f>'Tariff Jul 2020'!AT28</f>
        <v>9.5</v>
      </c>
      <c r="AB41" s="195">
        <f>'Tariff Jul 2020'!BL29</f>
        <v>0</v>
      </c>
      <c r="AC41" s="195" t="str">
        <f>'Tariff Jul 2020'!BM29</f>
        <v>n</v>
      </c>
      <c r="AD41" s="196">
        <f>'Tariff Jul 2020'!G29</f>
        <v>42551</v>
      </c>
    </row>
    <row r="42" spans="1:30" x14ac:dyDescent="0.15">
      <c r="A42" s="186" t="str">
        <f>'Tariff Jul 2020'!K30</f>
        <v>Commander</v>
      </c>
      <c r="B42" s="187" t="str">
        <f>'Tariff Jul 2020'!L30</f>
        <v>Market offer</v>
      </c>
      <c r="C42" s="208">
        <f>IF('Tariff Jul 2020'!BP30=0,91*'Tariff Jul 2020'!M30/100,(91*'Tariff Jul 2020'!M30/100)+'Tariff Jul 2020'!BP30/4)</f>
        <v>80.808000000000007</v>
      </c>
      <c r="D42" s="208">
        <f>IF('Tariff Jul 2020'!O30="",$H$5*'Tariff Jul 2020'!N30/100,IF($H$5&gt;='Tariff Jul 2020'!P30,('Tariff Jul 2020'!P30*'Tariff Jul 2020'!N30/100),($H$5*'Tariff Jul 2020'!N30/100)))</f>
        <v>231.44757818181813</v>
      </c>
      <c r="E42" s="208">
        <f>IF(AND('Tariff Jul 2020'!P30&gt;0,'Tariff Jul 2020'!R30&gt;0),IF($H$5&lt;'Tariff Jul 2020'!P30,0,IF($H$5&lt;=('Tariff Jul 2020'!R30+'Tariff Jul 2020'!P30),(($H$5-'Tariff Jul 2020'!P30)*'Tariff Jul 2020'!Q30/100),(('Tariff Jul 2020'!R30)*'Tariff Jul 2020'!Q30/100))),0)</f>
        <v>0</v>
      </c>
      <c r="F42" s="208">
        <f>IF(AND('Tariff Jul 2020'!Q30&gt;0,'Tariff Jul 2020'!S30&gt;0),IF($H$5&lt;('Tariff Jul 2020'!R30+'Tariff Jul 2020'!P30),0,IF($H$5&lt;=('Tariff Jul 2020'!T30+'Tariff Jul 2020'!R30+'Tariff Jul 2020'!P30),(($H$5-('Tariff Jul 2020'!R30+'Tariff Jul 2020'!P30))*'Tariff Jul 2020'!S30/100),('Tariff Jul 2020'!T30*'Tariff Jul 2020'!S30/100))),0)</f>
        <v>0</v>
      </c>
      <c r="G42" s="208">
        <f>IF('Tariff Jul 2020'!T30&gt;0,IF(($H$5&lt;'Tariff Jul 2020'!T30),(0),($H$5-'Tariff Jul 2020'!T30)*'Tariff Jul 2020'!U30/100),IF(AND('Tariff Jul 2020'!R30&gt;0,'Tariff Jul 2020'!T30=""),IF(($H$5&lt;'Tariff Jul 2020'!R30),(0),($H$5-'Tariff Jul 2020'!R30)*'Tariff Jul 2020'!S30/100),IF(AND('Tariff Jul 2020'!P30&gt;0,'Tariff Jul 2020'!R30=""),IF(($H$5&lt;'Tariff Jul 2020'!P30),(0),($H$5-'Tariff Jul 2020'!P30)*'Tariff Jul 2020'!Q30/100),0)))</f>
        <v>0</v>
      </c>
      <c r="H42" s="208">
        <f>($I$5)*'Tariff Jul 2020'!AE30/100</f>
        <v>32.266324363636357</v>
      </c>
      <c r="I42" s="208">
        <f>IF((I7&lt;'Tariff Jul 2020'!AF30),(0),(I7-'Tariff Jul 2020'!AF30)*'Tariff Jul 2020'!AG30/100)</f>
        <v>0</v>
      </c>
      <c r="J42" s="208">
        <f t="shared" si="27"/>
        <v>344.52190254545451</v>
      </c>
      <c r="K42" s="190">
        <f t="shared" si="34"/>
        <v>1054.8556101818181</v>
      </c>
      <c r="L42" s="190">
        <f t="shared" si="28"/>
        <v>1378.087610181818</v>
      </c>
      <c r="M42" s="191">
        <f t="shared" si="29"/>
        <v>1515.8963712</v>
      </c>
      <c r="N42" s="187">
        <f>'Tariff Jul 2020'!AZ30</f>
        <v>0</v>
      </c>
      <c r="O42" s="187">
        <f>'Tariff Jul 2020'!BA30</f>
        <v>0</v>
      </c>
      <c r="P42" s="187">
        <f>'Tariff Jul 2020'!BB30</f>
        <v>0</v>
      </c>
      <c r="Q42" s="187">
        <f>'Tariff Jul 2020'!BC30</f>
        <v>0</v>
      </c>
      <c r="R42" s="192">
        <f>($F$6*'Tariff Jul 2020'!AT30/100)*4</f>
        <v>302.84351999999996</v>
      </c>
      <c r="S42" s="193" t="str">
        <f t="shared" si="30"/>
        <v>No discount</v>
      </c>
      <c r="T42" s="193" t="str">
        <f t="shared" si="31"/>
        <v>Exclusive</v>
      </c>
      <c r="U42" s="304">
        <f t="shared" si="32"/>
        <v>1378.087610181818</v>
      </c>
      <c r="V42" s="283">
        <f t="shared" si="33"/>
        <v>1378.087610181818</v>
      </c>
      <c r="W42" s="283">
        <f t="shared" si="24"/>
        <v>1075.2440901818181</v>
      </c>
      <c r="X42" s="283">
        <f t="shared" si="25"/>
        <v>1075.2440901818181</v>
      </c>
      <c r="Y42" s="285">
        <f t="shared" si="26"/>
        <v>1182.7684992</v>
      </c>
      <c r="Z42" s="285">
        <f t="shared" si="26"/>
        <v>1182.7684992</v>
      </c>
      <c r="AA42" s="194">
        <f>'Tariff Jul 2020'!AT29</f>
        <v>17</v>
      </c>
      <c r="AB42" s="195">
        <f>'Tariff Jul 2020'!BL30</f>
        <v>0</v>
      </c>
      <c r="AC42" s="195" t="str">
        <f>'Tariff Jul 2020'!BM30</f>
        <v>n</v>
      </c>
      <c r="AD42" s="196">
        <f>'Tariff Jul 2020'!G30</f>
        <v>42551</v>
      </c>
    </row>
    <row r="43" spans="1:30" x14ac:dyDescent="0.15">
      <c r="A43" s="186" t="str">
        <f>'Tariff Jul 2020'!K31</f>
        <v>Diamond Energy</v>
      </c>
      <c r="B43" s="187" t="str">
        <f>'Tariff Jul 2020'!L31</f>
        <v>Renewable Saver POT</v>
      </c>
      <c r="C43" s="208">
        <f>IF('Tariff Jul 2020'!BP31=0,91*'Tariff Jul 2020'!M31/100,(91*'Tariff Jul 2020'!M31/100)+'Tariff Jul 2020'!BP31/4)</f>
        <v>79.124499999999998</v>
      </c>
      <c r="D43" s="208">
        <f>IF('Tariff Jul 2020'!O31="",$H$5*'Tariff Jul 2020'!N31/100,IF($H$5&gt;='Tariff Jul 2020'!P31,('Tariff Jul 2020'!P31*'Tariff Jul 2020'!N31/100),($H$5*'Tariff Jul 2020'!N31/100)))</f>
        <v>99.78</v>
      </c>
      <c r="E43" s="208">
        <f>IF(AND('Tariff Jul 2020'!P31&gt;0,'Tariff Jul 2020'!R31&gt;0),IF($H$5&lt;'Tariff Jul 2020'!P31,0,IF($H$5&lt;=('Tariff Jul 2020'!R31+'Tariff Jul 2020'!P31),(($H$5-'Tariff Jul 2020'!P31)*'Tariff Jul 2020'!Q31/100),(('Tariff Jul 2020'!R31)*'Tariff Jul 2020'!Q31/100))),0)</f>
        <v>148.63628159999996</v>
      </c>
      <c r="F43" s="208">
        <f>IF(AND('Tariff Jul 2020'!Q31&gt;0,'Tariff Jul 2020'!S31&gt;0),IF($H$5&lt;('Tariff Jul 2020'!R31+'Tariff Jul 2020'!P31),0,IF($H$5&lt;=('Tariff Jul 2020'!T31+'Tariff Jul 2020'!R31+'Tariff Jul 2020'!P31),(($H$5-('Tariff Jul 2020'!R31+'Tariff Jul 2020'!P31))*'Tariff Jul 2020'!S31/100),('Tariff Jul 2020'!T31*'Tariff Jul 2020'!S31/100))),0)</f>
        <v>0</v>
      </c>
      <c r="G43" s="208">
        <f>IF('Tariff Jul 2020'!T31&gt;0,IF(($H$5&lt;'Tariff Jul 2020'!T31),(0),($H$5-'Tariff Jul 2020'!T31)*'Tariff Jul 2020'!U31/100),IF(AND('Tariff Jul 2020'!R31&gt;0,'Tariff Jul 2020'!T31=""),IF(($H$5&lt;'Tariff Jul 2020'!R31),(0),($H$5-'Tariff Jul 2020'!R31)*'Tariff Jul 2020'!S31/100),IF(AND('Tariff Jul 2020'!P31&gt;0,'Tariff Jul 2020'!R31=""),IF(($H$5&lt;'Tariff Jul 2020'!P31),(0),($H$5-'Tariff Jul 2020'!P31)*'Tariff Jul 2020'!Q31/100),0)))</f>
        <v>0</v>
      </c>
      <c r="H43" s="208">
        <f>($I$5)*'Tariff Jul 2020'!AE31/100</f>
        <v>35.626047272727263</v>
      </c>
      <c r="I43" s="208">
        <v>0</v>
      </c>
      <c r="J43" s="208">
        <f t="shared" si="27"/>
        <v>363.16682887272719</v>
      </c>
      <c r="K43" s="190">
        <f t="shared" si="34"/>
        <v>1136.1693154909087</v>
      </c>
      <c r="L43" s="190">
        <f t="shared" si="28"/>
        <v>1452.6673154909088</v>
      </c>
      <c r="M43" s="191">
        <f t="shared" si="29"/>
        <v>1597.9340470399998</v>
      </c>
      <c r="N43" s="187">
        <f>'Tariff Jul 2020'!AZ31</f>
        <v>0</v>
      </c>
      <c r="O43" s="187">
        <f>'Tariff Jul 2020'!BA31</f>
        <v>0</v>
      </c>
      <c r="P43" s="187">
        <f>'Tariff Jul 2020'!BB31</f>
        <v>7</v>
      </c>
      <c r="Q43" s="187">
        <f>'Tariff Jul 2020'!BC31</f>
        <v>0</v>
      </c>
      <c r="R43" s="192">
        <f>($F$6*'Tariff Jul 2020'!AT31/100)*4</f>
        <v>313.28640000000001</v>
      </c>
      <c r="S43" s="193" t="str">
        <f t="shared" si="30"/>
        <v>Pay-on-time off bill</v>
      </c>
      <c r="T43" s="193" t="str">
        <f t="shared" si="31"/>
        <v>Exclusive</v>
      </c>
      <c r="U43" s="304">
        <f t="shared" si="32"/>
        <v>1452.6673154909088</v>
      </c>
      <c r="V43" s="283">
        <f t="shared" si="33"/>
        <v>1350.9806034065452</v>
      </c>
      <c r="W43" s="283">
        <f t="shared" si="24"/>
        <v>1139.3809154909088</v>
      </c>
      <c r="X43" s="283">
        <f t="shared" si="25"/>
        <v>1037.6942034065453</v>
      </c>
      <c r="Y43" s="285">
        <f t="shared" si="26"/>
        <v>1253.3190070399999</v>
      </c>
      <c r="Z43" s="285">
        <f t="shared" si="26"/>
        <v>1141.4636237472</v>
      </c>
      <c r="AA43" s="194">
        <f>'Tariff Jul 2020'!AT30</f>
        <v>11.6</v>
      </c>
      <c r="AB43" s="195">
        <f>'Tariff Jul 2020'!BL31</f>
        <v>0</v>
      </c>
      <c r="AC43" s="195" t="str">
        <f>'Tariff Jul 2020'!BM31</f>
        <v>n</v>
      </c>
      <c r="AD43" s="196">
        <f>'Tariff Jul 2020'!G31</f>
        <v>42494</v>
      </c>
    </row>
    <row r="44" spans="1:30" x14ac:dyDescent="0.15">
      <c r="A44" s="186" t="str">
        <f>'Tariff Jul 2020'!K32</f>
        <v>Dodo Power &amp; Gas</v>
      </c>
      <c r="B44" s="187" t="str">
        <f>'Tariff Jul 2020'!L32</f>
        <v>Market offer</v>
      </c>
      <c r="C44" s="208">
        <f>IF('Tariff Jul 2020'!BP32=0,91*'Tariff Jul 2020'!M32/100,(91*'Tariff Jul 2020'!M32/100)+'Tariff Jul 2020'!BP32/4)</f>
        <v>80.808000000000007</v>
      </c>
      <c r="D44" s="208">
        <f>IF('Tariff Jul 2020'!O32="",$H$5*'Tariff Jul 2020'!N32/100,IF($H$5&gt;='Tariff Jul 2020'!P32,('Tariff Jul 2020'!P32*'Tariff Jul 2020'!N32/100),($H$5*'Tariff Jul 2020'!N32/100)))</f>
        <v>231.44757818181813</v>
      </c>
      <c r="E44" s="208">
        <f>IF(AND('Tariff Jul 2020'!P32&gt;0,'Tariff Jul 2020'!R32&gt;0),IF($H$5&lt;'Tariff Jul 2020'!P32,0,IF($H$5&lt;=('Tariff Jul 2020'!R32+'Tariff Jul 2020'!P32),(($H$5-'Tariff Jul 2020'!P32)*'Tariff Jul 2020'!Q32/100),(('Tariff Jul 2020'!R32)*'Tariff Jul 2020'!Q32/100))),0)</f>
        <v>0</v>
      </c>
      <c r="F44" s="208">
        <f>IF(AND('Tariff Jul 2020'!Q32&gt;0,'Tariff Jul 2020'!S32&gt;0),IF($H$5&lt;('Tariff Jul 2020'!R32+'Tariff Jul 2020'!P32),0,IF($H$5&lt;=('Tariff Jul 2020'!T32+'Tariff Jul 2020'!R32+'Tariff Jul 2020'!P32),(($H$5-('Tariff Jul 2020'!R32+'Tariff Jul 2020'!P32))*'Tariff Jul 2020'!S32/100),('Tariff Jul 2020'!T32*'Tariff Jul 2020'!S32/100))),0)</f>
        <v>0</v>
      </c>
      <c r="G44" s="208">
        <f>IF('Tariff Jul 2020'!T32&gt;0,IF(($H$5&lt;'Tariff Jul 2020'!T32),(0),($H$5-'Tariff Jul 2020'!T32)*'Tariff Jul 2020'!U32/100),IF(AND('Tariff Jul 2020'!R32&gt;0,'Tariff Jul 2020'!T32=""),IF(($H$5&lt;'Tariff Jul 2020'!R32),(0),($H$5-'Tariff Jul 2020'!R32)*'Tariff Jul 2020'!S32/100),IF(AND('Tariff Jul 2020'!P32&gt;0,'Tariff Jul 2020'!R32=""),IF(($H$5&lt;'Tariff Jul 2020'!P32),(0),($H$5-'Tariff Jul 2020'!P32)*'Tariff Jul 2020'!Q32/100),0)))</f>
        <v>0</v>
      </c>
      <c r="H44" s="208">
        <f>($I$5)*'Tariff Jul 2020'!AE32/100</f>
        <v>32.266324363636357</v>
      </c>
      <c r="I44" s="208">
        <v>0</v>
      </c>
      <c r="J44" s="208">
        <f t="shared" si="27"/>
        <v>344.52190254545451</v>
      </c>
      <c r="K44" s="190">
        <f t="shared" si="34"/>
        <v>1054.8556101818181</v>
      </c>
      <c r="L44" s="190">
        <f t="shared" si="28"/>
        <v>1378.087610181818</v>
      </c>
      <c r="M44" s="191">
        <f t="shared" si="29"/>
        <v>1515.8963712</v>
      </c>
      <c r="N44" s="187">
        <f>'Tariff Jul 2020'!AZ32</f>
        <v>0</v>
      </c>
      <c r="O44" s="187">
        <f>'Tariff Jul 2020'!BA32</f>
        <v>0</v>
      </c>
      <c r="P44" s="187">
        <f>'Tariff Jul 2020'!BB32</f>
        <v>0</v>
      </c>
      <c r="Q44" s="187">
        <f>'Tariff Jul 2020'!BC32</f>
        <v>0</v>
      </c>
      <c r="R44" s="192">
        <f>($F$6*'Tariff Jul 2020'!AT32/100)*4</f>
        <v>302.84351999999996</v>
      </c>
      <c r="S44" s="193" t="str">
        <f t="shared" si="30"/>
        <v>No discount</v>
      </c>
      <c r="T44" s="193" t="str">
        <f t="shared" si="31"/>
        <v>Exclusive</v>
      </c>
      <c r="U44" s="304">
        <f t="shared" si="32"/>
        <v>1378.087610181818</v>
      </c>
      <c r="V44" s="283">
        <f t="shared" si="33"/>
        <v>1378.087610181818</v>
      </c>
      <c r="W44" s="283">
        <f t="shared" si="24"/>
        <v>1075.2440901818181</v>
      </c>
      <c r="X44" s="283">
        <f t="shared" si="25"/>
        <v>1075.2440901818181</v>
      </c>
      <c r="Y44" s="285">
        <f t="shared" si="26"/>
        <v>1182.7684992</v>
      </c>
      <c r="Z44" s="285">
        <f t="shared" si="26"/>
        <v>1182.7684992</v>
      </c>
      <c r="AA44" s="194">
        <f>'Tariff Jul 2020'!AT31</f>
        <v>12</v>
      </c>
      <c r="AB44" s="195">
        <f>'Tariff Jul 2020'!BL32</f>
        <v>0</v>
      </c>
      <c r="AC44" s="195" t="str">
        <f>'Tariff Jul 2020'!BM32</f>
        <v>n</v>
      </c>
      <c r="AD44" s="196">
        <f>'Tariff Jul 2020'!G32</f>
        <v>42551</v>
      </c>
    </row>
    <row r="45" spans="1:30" x14ac:dyDescent="0.15">
      <c r="A45" s="186" t="str">
        <f>'Tariff Jul 2020'!K33</f>
        <v>EnergyAustralia</v>
      </c>
      <c r="B45" s="187" t="str">
        <f>'Tariff Jul 2020'!L33</f>
        <v>Total Plan Home</v>
      </c>
      <c r="C45" s="208">
        <f>IF('Tariff Jul 2020'!BP33=0,91*'Tariff Jul 2020'!M33/100,(91*'Tariff Jul 2020'!M33/100)+'Tariff Jul 2020'!BP33/4)</f>
        <v>70.97999999999999</v>
      </c>
      <c r="D45" s="208">
        <f>IF('Tariff Jul 2020'!O33="",$H$5*'Tariff Jul 2020'!N33/100,IF($H$5&gt;='Tariff Jul 2020'!P33,('Tariff Jul 2020'!P33*'Tariff Jul 2020'!N33/100),($H$5*'Tariff Jul 2020'!N33/100)))</f>
        <v>246.5095243636363</v>
      </c>
      <c r="E45" s="208">
        <f>IF(AND('Tariff Jul 2020'!P33&gt;0,'Tariff Jul 2020'!R33&gt;0),IF($H$5&lt;'Tariff Jul 2020'!P33,0,IF($H$5&lt;=('Tariff Jul 2020'!R33+'Tariff Jul 2020'!P33),(($H$5-'Tariff Jul 2020'!P33)*'Tariff Jul 2020'!Q33/100),(('Tariff Jul 2020'!R33)*'Tariff Jul 2020'!Q33/100))),0)</f>
        <v>0</v>
      </c>
      <c r="F45" s="208">
        <f>IF(AND('Tariff Jul 2020'!Q33&gt;0,'Tariff Jul 2020'!S33&gt;0),IF($H$5&lt;('Tariff Jul 2020'!R33+'Tariff Jul 2020'!P33),0,IF($H$5&lt;=('Tariff Jul 2020'!T33+'Tariff Jul 2020'!R33+'Tariff Jul 2020'!P33),(($H$5-('Tariff Jul 2020'!R33+'Tariff Jul 2020'!P33))*'Tariff Jul 2020'!S33/100),('Tariff Jul 2020'!T33*'Tariff Jul 2020'!S33/100))),0)</f>
        <v>0</v>
      </c>
      <c r="G45" s="208">
        <f>IF('Tariff Jul 2020'!T33&gt;0,IF(($H$5&lt;'Tariff Jul 2020'!T33),(0),($H$5-'Tariff Jul 2020'!T33)*'Tariff Jul 2020'!U33/100),IF(AND('Tariff Jul 2020'!R33&gt;0,'Tariff Jul 2020'!T33=""),IF(($H$5&lt;'Tariff Jul 2020'!R33),(0),($H$5-'Tariff Jul 2020'!R33)*'Tariff Jul 2020'!S33/100),IF(AND('Tariff Jul 2020'!P33&gt;0,'Tariff Jul 2020'!R33=""),IF(($H$5&lt;'Tariff Jul 2020'!P33),(0),($H$5-'Tariff Jul 2020'!P33)*'Tariff Jul 2020'!Q33/100),0)))</f>
        <v>0</v>
      </c>
      <c r="H45" s="208">
        <f>($I$5)*'Tariff Jul 2020'!AE33/100</f>
        <v>30.302428363636359</v>
      </c>
      <c r="I45" s="208">
        <v>0</v>
      </c>
      <c r="J45" s="208">
        <f t="shared" si="27"/>
        <v>347.79195272727264</v>
      </c>
      <c r="K45" s="190">
        <f t="shared" si="34"/>
        <v>1107.2478109090907</v>
      </c>
      <c r="L45" s="190">
        <f t="shared" si="28"/>
        <v>1391.1678109090906</v>
      </c>
      <c r="M45" s="191">
        <f t="shared" si="29"/>
        <v>1530.2845919999997</v>
      </c>
      <c r="N45" s="187">
        <f>'Tariff Jul 2020'!AZ33</f>
        <v>6</v>
      </c>
      <c r="O45" s="187">
        <f>'Tariff Jul 2020'!BA33</f>
        <v>0</v>
      </c>
      <c r="P45" s="187">
        <f>'Tariff Jul 2020'!BB33</f>
        <v>0</v>
      </c>
      <c r="Q45" s="187">
        <f>'Tariff Jul 2020'!BC33</f>
        <v>0</v>
      </c>
      <c r="R45" s="192">
        <f>($F$6*'Tariff Jul 2020'!AT33/100)*4</f>
        <v>300.2328</v>
      </c>
      <c r="S45" s="193" t="str">
        <f t="shared" si="30"/>
        <v>Guaranteed off bill</v>
      </c>
      <c r="T45" s="193" t="str">
        <f t="shared" si="31"/>
        <v>Exclusive</v>
      </c>
      <c r="U45" s="304">
        <f t="shared" si="32"/>
        <v>1307.6977422545451</v>
      </c>
      <c r="V45" s="283">
        <f t="shared" si="33"/>
        <v>1307.6977422545451</v>
      </c>
      <c r="W45" s="283">
        <f t="shared" si="24"/>
        <v>1007.4649422545451</v>
      </c>
      <c r="X45" s="283">
        <f t="shared" si="25"/>
        <v>1007.4649422545451</v>
      </c>
      <c r="Y45" s="285">
        <f t="shared" si="26"/>
        <v>1108.2114364799997</v>
      </c>
      <c r="Z45" s="285">
        <f t="shared" si="26"/>
        <v>1108.2114364799997</v>
      </c>
      <c r="AA45" s="194">
        <f>'Tariff Jul 2020'!AT32</f>
        <v>11.6</v>
      </c>
      <c r="AB45" s="195">
        <f>'Tariff Jul 2020'!BL33</f>
        <v>0</v>
      </c>
      <c r="AC45" s="195" t="str">
        <f>'Tariff Jul 2020'!BM33</f>
        <v>n</v>
      </c>
      <c r="AD45" s="196">
        <f>'Tariff Jul 2020'!G33</f>
        <v>42551</v>
      </c>
    </row>
    <row r="46" spans="1:30" x14ac:dyDescent="0.15">
      <c r="A46" s="186" t="str">
        <f>'Tariff Jul 2020'!K34</f>
        <v>Lumo Energy</v>
      </c>
      <c r="B46" s="187" t="str">
        <f>'Tariff Jul 2020'!L34</f>
        <v>Plus</v>
      </c>
      <c r="C46" s="208">
        <f>IF('Tariff Jul 2020'!BP34=0,91*'Tariff Jul 2020'!M34/100,(91*'Tariff Jul 2020'!M34/100)+'Tariff Jul 2020'!BP34/4)</f>
        <v>75.124636363636355</v>
      </c>
      <c r="D46" s="208">
        <f>IF('Tariff Jul 2020'!O34="",$H$5*'Tariff Jul 2020'!N34/100,IF($H$5&gt;='Tariff Jul 2020'!P34,('Tariff Jul 2020'!P34*'Tariff Jul 2020'!N34/100),($H$5*'Tariff Jul 2020'!N34/100)))</f>
        <v>221.06002909090901</v>
      </c>
      <c r="E46" s="208">
        <f>IF(AND('Tariff Jul 2020'!P34&gt;0,'Tariff Jul 2020'!R34&gt;0),IF($H$5&lt;'Tariff Jul 2020'!P34,0,IF($H$5&lt;=('Tariff Jul 2020'!R34+'Tariff Jul 2020'!P34),(($H$5-'Tariff Jul 2020'!P34)*'Tariff Jul 2020'!Q34/100),(('Tariff Jul 2020'!R34)*'Tariff Jul 2020'!Q34/100))),0)</f>
        <v>0</v>
      </c>
      <c r="F46" s="208">
        <f>IF(AND('Tariff Jul 2020'!Q34&gt;0,'Tariff Jul 2020'!S34&gt;0),IF($H$5&lt;('Tariff Jul 2020'!R34+'Tariff Jul 2020'!P34),0,IF($H$5&lt;=('Tariff Jul 2020'!T34+'Tariff Jul 2020'!R34+'Tariff Jul 2020'!P34),(($H$5-('Tariff Jul 2020'!R34+'Tariff Jul 2020'!P34))*'Tariff Jul 2020'!S34/100),('Tariff Jul 2020'!T34*'Tariff Jul 2020'!S34/100))),0)</f>
        <v>0</v>
      </c>
      <c r="G46" s="208">
        <f>IF('Tariff Jul 2020'!T34&gt;0,IF(($H$5&lt;'Tariff Jul 2020'!T34),(0),($H$5-'Tariff Jul 2020'!T34)*'Tariff Jul 2020'!U34/100),IF(AND('Tariff Jul 2020'!R34&gt;0,'Tariff Jul 2020'!T34=""),IF(($H$5&lt;'Tariff Jul 2020'!R34),(0),($H$5-'Tariff Jul 2020'!R34)*'Tariff Jul 2020'!S34/100),IF(AND('Tariff Jul 2020'!P34&gt;0,'Tariff Jul 2020'!R34=""),IF(($H$5&lt;'Tariff Jul 2020'!P34),(0),($H$5-'Tariff Jul 2020'!P34)*'Tariff Jul 2020'!Q34/100),0)))</f>
        <v>0</v>
      </c>
      <c r="H46" s="208">
        <f>($I$5)*'Tariff Jul 2020'!AE34/100</f>
        <v>33.353770909090898</v>
      </c>
      <c r="I46" s="208">
        <v>0</v>
      </c>
      <c r="J46" s="208">
        <f t="shared" si="27"/>
        <v>329.53843636363627</v>
      </c>
      <c r="K46" s="190">
        <f t="shared" si="34"/>
        <v>1017.6551999999997</v>
      </c>
      <c r="L46" s="190">
        <f t="shared" si="28"/>
        <v>1318.1537454545451</v>
      </c>
      <c r="M46" s="191">
        <f t="shared" si="29"/>
        <v>1449.9691199999997</v>
      </c>
      <c r="N46" s="187">
        <f>'Tariff Jul 2020'!AZ34</f>
        <v>0</v>
      </c>
      <c r="O46" s="187">
        <f>'Tariff Jul 2020'!BA34</f>
        <v>0</v>
      </c>
      <c r="P46" s="187">
        <f>'Tariff Jul 2020'!BB34</f>
        <v>0</v>
      </c>
      <c r="Q46" s="187">
        <f>'Tariff Jul 2020'!BC34</f>
        <v>0</v>
      </c>
      <c r="R46" s="192">
        <f>($F$6*'Tariff Jul 2020'!AT34/100)*4</f>
        <v>391.60799999999995</v>
      </c>
      <c r="S46" s="193" t="str">
        <f t="shared" si="30"/>
        <v>No discount</v>
      </c>
      <c r="T46" s="193" t="str">
        <f t="shared" si="31"/>
        <v>Exclusive</v>
      </c>
      <c r="U46" s="304">
        <f t="shared" si="32"/>
        <v>1318.1537454545451</v>
      </c>
      <c r="V46" s="283">
        <f t="shared" si="33"/>
        <v>1318.1537454545451</v>
      </c>
      <c r="W46" s="283">
        <f t="shared" si="24"/>
        <v>926.54574545454511</v>
      </c>
      <c r="X46" s="283">
        <f t="shared" si="25"/>
        <v>926.54574545454511</v>
      </c>
      <c r="Y46" s="285">
        <f t="shared" si="26"/>
        <v>1019.2003199999997</v>
      </c>
      <c r="Z46" s="285">
        <f t="shared" si="26"/>
        <v>1019.2003199999997</v>
      </c>
      <c r="AA46" s="194">
        <f>'Tariff Jul 2020'!AT33</f>
        <v>11.5</v>
      </c>
      <c r="AB46" s="195">
        <f>'Tariff Jul 2020'!BL34</f>
        <v>0</v>
      </c>
      <c r="AC46" s="195" t="str">
        <f>'Tariff Jul 2020'!BM34</f>
        <v>n</v>
      </c>
      <c r="AD46" s="196">
        <f>'Tariff Jul 2020'!G34</f>
        <v>42551</v>
      </c>
    </row>
    <row r="47" spans="1:30" x14ac:dyDescent="0.15">
      <c r="A47" s="186" t="str">
        <f>'Tariff Jul 2020'!K35</f>
        <v>Momentum Energy</v>
      </c>
      <c r="B47" s="187" t="str">
        <f>'Tariff Jul 2020'!L35</f>
        <v>SmilePower Flexi</v>
      </c>
      <c r="C47" s="208">
        <f>IF('Tariff Jul 2020'!BP35=0,91*'Tariff Jul 2020'!M35/100,(91*'Tariff Jul 2020'!M35/100)+'Tariff Jul 2020'!BP35/4)</f>
        <v>88.840818181818179</v>
      </c>
      <c r="D47" s="208">
        <f>IF('Tariff Jul 2020'!O35="",$H$5*'Tariff Jul 2020'!N35/100,IF($H$5&gt;='Tariff Jul 2020'!P35,('Tariff Jul 2020'!P35*'Tariff Jul 2020'!N35/100),($H$5*'Tariff Jul 2020'!N35/100)))</f>
        <v>237.48534109090903</v>
      </c>
      <c r="E47" s="208">
        <f>IF(AND('Tariff Jul 2020'!P35&gt;0,'Tariff Jul 2020'!R35&gt;0),IF($H$5&lt;'Tariff Jul 2020'!P35,0,IF($H$5&lt;=('Tariff Jul 2020'!R35+'Tariff Jul 2020'!P35),(($H$5-'Tariff Jul 2020'!P35)*'Tariff Jul 2020'!Q35/100),(('Tariff Jul 2020'!R35)*'Tariff Jul 2020'!Q35/100))),0)</f>
        <v>0</v>
      </c>
      <c r="F47" s="208">
        <f>IF(AND('Tariff Jul 2020'!Q35&gt;0,'Tariff Jul 2020'!S35&gt;0),IF($H$5&lt;('Tariff Jul 2020'!R35+'Tariff Jul 2020'!P35),0,IF($H$5&lt;=('Tariff Jul 2020'!T35+'Tariff Jul 2020'!R35+'Tariff Jul 2020'!P35),(($H$5-('Tariff Jul 2020'!R35+'Tariff Jul 2020'!P35))*'Tariff Jul 2020'!S35/100),('Tariff Jul 2020'!T35*'Tariff Jul 2020'!S35/100))),0)</f>
        <v>0</v>
      </c>
      <c r="G47" s="208">
        <f>IF('Tariff Jul 2020'!T35&gt;0,IF(($H$5&lt;'Tariff Jul 2020'!T35),(0),($H$5-'Tariff Jul 2020'!T35)*'Tariff Jul 2020'!U35/100),IF(AND('Tariff Jul 2020'!R35&gt;0,'Tariff Jul 2020'!T35=""),IF(($H$5&lt;'Tariff Jul 2020'!R35),(0),($H$5-'Tariff Jul 2020'!R35)*'Tariff Jul 2020'!S35/100),IF(AND('Tariff Jul 2020'!P35&gt;0,'Tariff Jul 2020'!R35=""),IF(($H$5&lt;'Tariff Jul 2020'!P35),(0),($H$5-'Tariff Jul 2020'!P35)*'Tariff Jul 2020'!Q35/100),0)))</f>
        <v>0</v>
      </c>
      <c r="H47" s="208">
        <f>($I$5)*'Tariff Jul 2020'!AE35/100</f>
        <v>24.443201454545445</v>
      </c>
      <c r="I47" s="208">
        <v>0</v>
      </c>
      <c r="J47" s="208">
        <f t="shared" si="27"/>
        <v>350.76936072727261</v>
      </c>
      <c r="K47" s="190">
        <f t="shared" si="34"/>
        <v>1047.7141701818177</v>
      </c>
      <c r="L47" s="190">
        <f t="shared" si="28"/>
        <v>1403.0774429090905</v>
      </c>
      <c r="M47" s="191">
        <f t="shared" si="29"/>
        <v>1543.3851871999996</v>
      </c>
      <c r="N47" s="187">
        <f>'Tariff Jul 2020'!AZ35</f>
        <v>0</v>
      </c>
      <c r="O47" s="187">
        <f>'Tariff Jul 2020'!BA35</f>
        <v>0</v>
      </c>
      <c r="P47" s="187">
        <f>'Tariff Jul 2020'!BB35</f>
        <v>0</v>
      </c>
      <c r="Q47" s="187">
        <f>'Tariff Jul 2020'!BC35</f>
        <v>0</v>
      </c>
      <c r="R47" s="192">
        <f>($F$6*'Tariff Jul 2020'!AT35/100)*4</f>
        <v>177.52895999999998</v>
      </c>
      <c r="S47" s="193" t="str">
        <f t="shared" si="30"/>
        <v>No discount</v>
      </c>
      <c r="T47" s="193" t="str">
        <f t="shared" si="31"/>
        <v>Exclusive</v>
      </c>
      <c r="U47" s="304">
        <f t="shared" si="32"/>
        <v>1403.0774429090905</v>
      </c>
      <c r="V47" s="283">
        <f t="shared" si="33"/>
        <v>1403.0774429090905</v>
      </c>
      <c r="W47" s="283">
        <f t="shared" si="24"/>
        <v>1225.5484829090906</v>
      </c>
      <c r="X47" s="283">
        <f t="shared" si="25"/>
        <v>1225.5484829090906</v>
      </c>
      <c r="Y47" s="285">
        <f t="shared" si="26"/>
        <v>1348.1033311999997</v>
      </c>
      <c r="Z47" s="285">
        <f t="shared" si="26"/>
        <v>1348.1033311999997</v>
      </c>
      <c r="AA47" s="194">
        <f>'Tariff Jul 2020'!AT34</f>
        <v>15</v>
      </c>
      <c r="AB47" s="195">
        <f>'Tariff Jul 2020'!BL35</f>
        <v>0</v>
      </c>
      <c r="AC47" s="195" t="str">
        <f>'Tariff Jul 2020'!BM35</f>
        <v>n</v>
      </c>
      <c r="AD47" s="196">
        <f>'Tariff Jul 2020'!G35</f>
        <v>42551</v>
      </c>
    </row>
    <row r="48" spans="1:30" x14ac:dyDescent="0.15">
      <c r="A48" s="186" t="str">
        <f>'Tariff Jul 2020'!K36</f>
        <v>Origin Energy</v>
      </c>
      <c r="B48" s="187" t="str">
        <f>'Tariff Jul 2020'!L36</f>
        <v>Solar Boost</v>
      </c>
      <c r="C48" s="208">
        <f>IF('Tariff Jul 2020'!BP36=0,91*'Tariff Jul 2020'!M36/100,(91*'Tariff Jul 2020'!M36/100)+'Tariff Jul 2020'!BP36/4)</f>
        <v>70.905545454545447</v>
      </c>
      <c r="D48" s="208">
        <f>IF('Tariff Jul 2020'!O36="",$H$5*'Tariff Jul 2020'!N36/100,IF($H$5&gt;='Tariff Jul 2020'!P36,('Tariff Jul 2020'!P36*'Tariff Jul 2020'!N36/100),($H$5*'Tariff Jul 2020'!N36/100)))</f>
        <v>246.57444654545449</v>
      </c>
      <c r="E48" s="208">
        <f>IF(AND('Tariff Jul 2020'!P36&gt;0,'Tariff Jul 2020'!R36&gt;0),IF($H$5&lt;'Tariff Jul 2020'!P36,0,IF($H$5&lt;=('Tariff Jul 2020'!R36+'Tariff Jul 2020'!P36),(($H$5-'Tariff Jul 2020'!P36)*'Tariff Jul 2020'!Q36/100),(('Tariff Jul 2020'!R36)*'Tariff Jul 2020'!Q36/100))),0)</f>
        <v>0</v>
      </c>
      <c r="F48" s="208">
        <f>IF(AND('Tariff Jul 2020'!Q36&gt;0,'Tariff Jul 2020'!S36&gt;0),IF($H$5&lt;('Tariff Jul 2020'!R36+'Tariff Jul 2020'!P36),0,IF($H$5&lt;=('Tariff Jul 2020'!T36+'Tariff Jul 2020'!R36+'Tariff Jul 2020'!P36),(($H$5-('Tariff Jul 2020'!R36+'Tariff Jul 2020'!P36))*'Tariff Jul 2020'!S36/100),('Tariff Jul 2020'!T36*'Tariff Jul 2020'!S36/100))),0)</f>
        <v>0</v>
      </c>
      <c r="G48" s="208">
        <f>IF('Tariff Jul 2020'!T36&gt;0,IF(($H$5&lt;'Tariff Jul 2020'!T36),(0),($H$5-'Tariff Jul 2020'!T36)*'Tariff Jul 2020'!U36/100),IF(AND('Tariff Jul 2020'!R36&gt;0,'Tariff Jul 2020'!T36=""),IF(($H$5&lt;'Tariff Jul 2020'!R36),(0),($H$5-'Tariff Jul 2020'!R36)*'Tariff Jul 2020'!S36/100),IF(AND('Tariff Jul 2020'!P36&gt;0,'Tariff Jul 2020'!R36=""),IF(($H$5&lt;'Tariff Jul 2020'!P36),(0),($H$5-'Tariff Jul 2020'!P36)*'Tariff Jul 2020'!Q36/100),0)))</f>
        <v>0</v>
      </c>
      <c r="H48" s="208">
        <f>($I$5)*'Tariff Jul 2020'!AE36/100</f>
        <v>29.847973090909086</v>
      </c>
      <c r="I48" s="208">
        <v>0</v>
      </c>
      <c r="J48" s="208">
        <f t="shared" si="27"/>
        <v>347.327965090909</v>
      </c>
      <c r="K48" s="190">
        <f t="shared" si="34"/>
        <v>1105.6896785454542</v>
      </c>
      <c r="L48" s="190">
        <f t="shared" si="28"/>
        <v>1389.311860363636</v>
      </c>
      <c r="M48" s="191">
        <f t="shared" si="29"/>
        <v>1528.2430463999997</v>
      </c>
      <c r="N48" s="187">
        <f>'Tariff Jul 2020'!AZ36</f>
        <v>0</v>
      </c>
      <c r="O48" s="187">
        <f>'Tariff Jul 2020'!BA36</f>
        <v>0</v>
      </c>
      <c r="P48" s="187">
        <f>'Tariff Jul 2020'!BB36</f>
        <v>0</v>
      </c>
      <c r="Q48" s="187">
        <f>'Tariff Jul 2020'!BC36</f>
        <v>0</v>
      </c>
      <c r="R48" s="192">
        <f>($F$6*'Tariff Jul 2020'!AT36/100)*4</f>
        <v>339.39359999999999</v>
      </c>
      <c r="S48" s="193" t="str">
        <f t="shared" si="30"/>
        <v>No discount</v>
      </c>
      <c r="T48" s="193" t="str">
        <f t="shared" si="31"/>
        <v>Inclusive</v>
      </c>
      <c r="U48" s="304">
        <f t="shared" si="32"/>
        <v>1389.311860363636</v>
      </c>
      <c r="V48" s="283">
        <f t="shared" si="33"/>
        <v>1389.311860363636</v>
      </c>
      <c r="W48" s="283">
        <f t="shared" si="24"/>
        <v>1049.9182603636359</v>
      </c>
      <c r="X48" s="283">
        <f t="shared" si="25"/>
        <v>1049.9182603636359</v>
      </c>
      <c r="Y48" s="285">
        <f t="shared" si="26"/>
        <v>1154.9100863999995</v>
      </c>
      <c r="Z48" s="285">
        <f t="shared" si="26"/>
        <v>1154.9100863999995</v>
      </c>
      <c r="AA48" s="194">
        <f>'Tariff Jul 2020'!AT35</f>
        <v>6.8</v>
      </c>
      <c r="AB48" s="195">
        <f>'Tariff Jul 2020'!BL36</f>
        <v>0</v>
      </c>
      <c r="AC48" s="195" t="str">
        <f>'Tariff Jul 2020'!BM36</f>
        <v>n</v>
      </c>
      <c r="AD48" s="196">
        <f>'Tariff Jul 2020'!G36</f>
        <v>42551</v>
      </c>
    </row>
    <row r="49" spans="1:30" x14ac:dyDescent="0.15">
      <c r="A49" s="186" t="str">
        <f>'Tariff Jul 2020'!K37</f>
        <v>Powerdirect</v>
      </c>
      <c r="B49" s="187" t="str">
        <f>'Tariff Jul 2020'!L37</f>
        <v>Rate Saver</v>
      </c>
      <c r="C49" s="208">
        <f>IF('Tariff Jul 2020'!BP37=0,91*'Tariff Jul 2020'!M37/100,(91*'Tariff Jul 2020'!M37/100)+'Tariff Jul 2020'!BP37/4)</f>
        <v>65.098090909090899</v>
      </c>
      <c r="D49" s="208">
        <f>IF('Tariff Jul 2020'!O37="",$H$5*'Tariff Jul 2020'!N37/100,IF($H$5&gt;='Tariff Jul 2020'!P37,('Tariff Jul 2020'!P37*'Tariff Jul 2020'!N37/100),($H$5*'Tariff Jul 2020'!N37/100)))</f>
        <v>217.94376436363632</v>
      </c>
      <c r="E49" s="208">
        <f>IF(AND('Tariff Jul 2020'!P37&gt;0,'Tariff Jul 2020'!R37&gt;0),IF($H$5&lt;'Tariff Jul 2020'!P37,0,IF($H$5&lt;=('Tariff Jul 2020'!R37+'Tariff Jul 2020'!P37),(($H$5-'Tariff Jul 2020'!P37)*'Tariff Jul 2020'!Q37/100),(('Tariff Jul 2020'!R37)*'Tariff Jul 2020'!Q37/100))),0)</f>
        <v>0</v>
      </c>
      <c r="F49" s="208">
        <f>IF(AND('Tariff Jul 2020'!Q37&gt;0,'Tariff Jul 2020'!S37&gt;0),IF($H$5&lt;('Tariff Jul 2020'!R37+'Tariff Jul 2020'!P37),0,IF($H$5&lt;=('Tariff Jul 2020'!T37+'Tariff Jul 2020'!R37+'Tariff Jul 2020'!P37),(($H$5-('Tariff Jul 2020'!R37+'Tariff Jul 2020'!P37))*'Tariff Jul 2020'!S37/100),('Tariff Jul 2020'!T37*'Tariff Jul 2020'!S37/100))),0)</f>
        <v>0</v>
      </c>
      <c r="G49" s="208">
        <f>IF('Tariff Jul 2020'!T37&gt;0,IF(($H$5&lt;'Tariff Jul 2020'!T37),(0),($H$5-'Tariff Jul 2020'!T37)*'Tariff Jul 2020'!U37/100),IF(AND('Tariff Jul 2020'!R37&gt;0,'Tariff Jul 2020'!T37=""),IF(($H$5&lt;'Tariff Jul 2020'!R37),(0),($H$5-'Tariff Jul 2020'!R37)*'Tariff Jul 2020'!S37/100),IF(AND('Tariff Jul 2020'!P37&gt;0,'Tariff Jul 2020'!R37=""),IF(($H$5&lt;'Tariff Jul 2020'!P37),(0),($H$5-'Tariff Jul 2020'!P37)*'Tariff Jul 2020'!Q37/100),0)))</f>
        <v>0</v>
      </c>
      <c r="H49" s="208">
        <f>($I$5)*'Tariff Jul 2020'!AE37/100</f>
        <v>26.991397090909082</v>
      </c>
      <c r="I49" s="208">
        <v>0</v>
      </c>
      <c r="J49" s="208">
        <f t="shared" si="27"/>
        <v>310.03325236363628</v>
      </c>
      <c r="K49" s="190">
        <f t="shared" si="34"/>
        <v>979.74064581818152</v>
      </c>
      <c r="L49" s="190">
        <f t="shared" si="28"/>
        <v>1240.1330094545451</v>
      </c>
      <c r="M49" s="191">
        <f t="shared" si="29"/>
        <v>1364.1463103999997</v>
      </c>
      <c r="N49" s="187">
        <f>'Tariff Jul 2020'!AZ37</f>
        <v>0</v>
      </c>
      <c r="O49" s="187">
        <f>'Tariff Jul 2020'!BA37</f>
        <v>0</v>
      </c>
      <c r="P49" s="187">
        <f>'Tariff Jul 2020'!BB37</f>
        <v>0</v>
      </c>
      <c r="Q49" s="187">
        <f>'Tariff Jul 2020'!BC37</f>
        <v>0</v>
      </c>
      <c r="R49" s="192">
        <f>($F$6*'Tariff Jul 2020'!AT37/100)*4</f>
        <v>323.72928000000002</v>
      </c>
      <c r="S49" s="193" t="str">
        <f t="shared" si="30"/>
        <v>No discount</v>
      </c>
      <c r="T49" s="193" t="str">
        <f t="shared" si="31"/>
        <v>Exclusive</v>
      </c>
      <c r="U49" s="304">
        <f t="shared" si="32"/>
        <v>1240.1330094545451</v>
      </c>
      <c r="V49" s="283">
        <f t="shared" si="33"/>
        <v>1240.1330094545451</v>
      </c>
      <c r="W49" s="283">
        <f t="shared" si="24"/>
        <v>916.4037294545451</v>
      </c>
      <c r="X49" s="283">
        <f t="shared" si="25"/>
        <v>916.4037294545451</v>
      </c>
      <c r="Y49" s="285">
        <f t="shared" si="26"/>
        <v>1008.0441023999997</v>
      </c>
      <c r="Z49" s="285">
        <f t="shared" si="26"/>
        <v>1008.0441023999997</v>
      </c>
      <c r="AA49" s="194">
        <f>'Tariff Jul 2020'!AT36</f>
        <v>13</v>
      </c>
      <c r="AB49" s="195">
        <f>'Tariff Jul 2020'!BL37</f>
        <v>0</v>
      </c>
      <c r="AC49" s="195" t="str">
        <f>'Tariff Jul 2020'!BM37</f>
        <v>n</v>
      </c>
      <c r="AD49" s="196">
        <f>'Tariff Jul 2020'!G37</f>
        <v>42551</v>
      </c>
    </row>
    <row r="50" spans="1:30" x14ac:dyDescent="0.15">
      <c r="A50" s="186" t="str">
        <f>'Tariff Jul 2020'!K38</f>
        <v>Red Energy</v>
      </c>
      <c r="B50" s="187" t="str">
        <f>'Tariff Jul 2020'!L38</f>
        <v>Living Energy Saver</v>
      </c>
      <c r="C50" s="208">
        <f>IF('Tariff Jul 2020'!BP38=0,91*'Tariff Jul 2020'!M38/100,(91*'Tariff Jul 2020'!M38/100)+'Tariff Jul 2020'!BP38/4)</f>
        <v>97.37</v>
      </c>
      <c r="D50" s="208">
        <f>IF('Tariff Jul 2020'!O38="",$H$5*'Tariff Jul 2020'!N38/100,IF($H$5&gt;='Tariff Jul 2020'!P38,('Tariff Jul 2020'!P38*'Tariff Jul 2020'!N38/100),($H$5*'Tariff Jul 2020'!N38/100)))</f>
        <v>226.96794763636362</v>
      </c>
      <c r="E50" s="208">
        <f>IF(AND('Tariff Jul 2020'!P38&gt;0,'Tariff Jul 2020'!R38&gt;0),IF($H$5&lt;'Tariff Jul 2020'!P38,0,IF($H$5&lt;=('Tariff Jul 2020'!R38+'Tariff Jul 2020'!P38),(($H$5-'Tariff Jul 2020'!P38)*'Tariff Jul 2020'!Q38/100),(('Tariff Jul 2020'!R38)*'Tariff Jul 2020'!Q38/100))),0)</f>
        <v>0</v>
      </c>
      <c r="F50" s="208">
        <f>IF(AND('Tariff Jul 2020'!Q38&gt;0,'Tariff Jul 2020'!S38&gt;0),IF($H$5&lt;('Tariff Jul 2020'!R38+'Tariff Jul 2020'!P38),0,IF($H$5&lt;=('Tariff Jul 2020'!T38+'Tariff Jul 2020'!R38+'Tariff Jul 2020'!P38),(($H$5-('Tariff Jul 2020'!R38+'Tariff Jul 2020'!P38))*'Tariff Jul 2020'!S38/100),('Tariff Jul 2020'!T38*'Tariff Jul 2020'!S38/100))),0)</f>
        <v>0</v>
      </c>
      <c r="G50" s="208">
        <f>IF('Tariff Jul 2020'!T38&gt;0,IF(($H$5&lt;'Tariff Jul 2020'!T38),(0),($H$5-'Tariff Jul 2020'!T38)*'Tariff Jul 2020'!U38/100),IF(AND('Tariff Jul 2020'!R38&gt;0,'Tariff Jul 2020'!T38=""),IF(($H$5&lt;'Tariff Jul 2020'!R38),(0),($H$5-'Tariff Jul 2020'!R38)*'Tariff Jul 2020'!S38/100),IF(AND('Tariff Jul 2020'!P38&gt;0,'Tariff Jul 2020'!R38=""),IF(($H$5&lt;'Tariff Jul 2020'!P38),(0),($H$5-'Tariff Jul 2020'!P38)*'Tariff Jul 2020'!Q38/100),0)))</f>
        <v>0</v>
      </c>
      <c r="H50" s="208">
        <f>($I$5)*'Tariff Jul 2020'!AE38/100</f>
        <v>31.162647272727266</v>
      </c>
      <c r="I50" s="208">
        <v>0</v>
      </c>
      <c r="J50" s="208">
        <f t="shared" si="27"/>
        <v>355.50059490909092</v>
      </c>
      <c r="K50" s="190">
        <f t="shared" si="34"/>
        <v>1032.5223796363637</v>
      </c>
      <c r="L50" s="190">
        <f t="shared" si="28"/>
        <v>1422.0023796363637</v>
      </c>
      <c r="M50" s="191">
        <f t="shared" si="29"/>
        <v>1564.2026176000002</v>
      </c>
      <c r="N50" s="187">
        <f>'Tariff Jul 2020'!AZ38</f>
        <v>0</v>
      </c>
      <c r="O50" s="187">
        <f>'Tariff Jul 2020'!BA38</f>
        <v>0</v>
      </c>
      <c r="P50" s="187">
        <f>'Tariff Jul 2020'!BB38</f>
        <v>0</v>
      </c>
      <c r="Q50" s="187">
        <f>'Tariff Jul 2020'!BC38</f>
        <v>0</v>
      </c>
      <c r="R50" s="192">
        <f>($F$6*'Tariff Jul 2020'!AT38/100)*4</f>
        <v>370.72223999999994</v>
      </c>
      <c r="S50" s="193" t="str">
        <f t="shared" si="30"/>
        <v>No discount</v>
      </c>
      <c r="T50" s="193" t="str">
        <f t="shared" si="31"/>
        <v>Inclusive</v>
      </c>
      <c r="U50" s="304">
        <f t="shared" si="32"/>
        <v>1422.0023796363637</v>
      </c>
      <c r="V50" s="283">
        <f t="shared" si="33"/>
        <v>1422.0023796363637</v>
      </c>
      <c r="W50" s="283">
        <f t="shared" si="24"/>
        <v>1051.2801396363639</v>
      </c>
      <c r="X50" s="283">
        <f t="shared" si="25"/>
        <v>1051.2801396363639</v>
      </c>
      <c r="Y50" s="285">
        <f t="shared" si="26"/>
        <v>1156.4081536000003</v>
      </c>
      <c r="Z50" s="285">
        <f t="shared" si="26"/>
        <v>1156.4081536000003</v>
      </c>
      <c r="AA50" s="194">
        <f>'Tariff Jul 2020'!AT37</f>
        <v>12.4</v>
      </c>
      <c r="AB50" s="195">
        <f>'Tariff Jul 2020'!BL38</f>
        <v>0</v>
      </c>
      <c r="AC50" s="195" t="str">
        <f>'Tariff Jul 2020'!BM38</f>
        <v>n</v>
      </c>
      <c r="AD50" s="196">
        <f>'Tariff Jul 2020'!G38</f>
        <v>42551</v>
      </c>
    </row>
    <row r="51" spans="1:30" x14ac:dyDescent="0.15">
      <c r="A51" s="186" t="str">
        <f>'Tariff Jul 2020'!K39</f>
        <v>Energy Locals</v>
      </c>
      <c r="B51" s="187" t="str">
        <f>'Tariff Jul 2020'!L39</f>
        <v>Local Saver</v>
      </c>
      <c r="C51" s="208">
        <f>IF('Tariff Jul 2020'!BP39=0,91*'Tariff Jul 2020'!M39/100,(91*'Tariff Jul 2020'!M39/100)+'Tariff Jul 2020'!BP39/4)</f>
        <v>110.03749999999999</v>
      </c>
      <c r="D51" s="208">
        <f>IF('Tariff Jul 2020'!O39="",$H$5*'Tariff Jul 2020'!N39/100,IF($H$5&gt;='Tariff Jul 2020'!P39,('Tariff Jul 2020'!P39*'Tariff Jul 2020'!N39/100),($H$5*'Tariff Jul 2020'!N39/100)))</f>
        <v>194.74706879999997</v>
      </c>
      <c r="E51" s="208">
        <f>IF(AND('Tariff Jul 2020'!P39&gt;0,'Tariff Jul 2020'!R39&gt;0),IF($H$5&lt;'Tariff Jul 2020'!P39,0,IF($H$5&lt;=('Tariff Jul 2020'!R39+'Tariff Jul 2020'!P39),(($H$5-'Tariff Jul 2020'!P39)*'Tariff Jul 2020'!Q39/100),(('Tariff Jul 2020'!R39)*'Tariff Jul 2020'!Q39/100))),0)</f>
        <v>0</v>
      </c>
      <c r="F51" s="208">
        <f>IF(AND('Tariff Jul 2020'!Q39&gt;0,'Tariff Jul 2020'!S39&gt;0),IF($H$5&lt;('Tariff Jul 2020'!R39+'Tariff Jul 2020'!P39),0,IF($H$5&lt;=('Tariff Jul 2020'!T39+'Tariff Jul 2020'!R39+'Tariff Jul 2020'!P39),(($H$5-('Tariff Jul 2020'!R39+'Tariff Jul 2020'!P39))*'Tariff Jul 2020'!S39/100),('Tariff Jul 2020'!T39*'Tariff Jul 2020'!S39/100))),0)</f>
        <v>0</v>
      </c>
      <c r="G51" s="208">
        <f>IF('Tariff Jul 2020'!T39&gt;0,IF(($H$5&lt;'Tariff Jul 2020'!T39),(0),($H$5-'Tariff Jul 2020'!T39)*'Tariff Jul 2020'!U39/100),IF(AND('Tariff Jul 2020'!R39&gt;0,'Tariff Jul 2020'!T39=""),IF(($H$5&lt;'Tariff Jul 2020'!R39),(0),($H$5-'Tariff Jul 2020'!R39)*'Tariff Jul 2020'!S39/100),IF(AND('Tariff Jul 2020'!P39&gt;0,'Tariff Jul 2020'!R39=""),IF(($H$5&lt;'Tariff Jul 2020'!P39),(0),($H$5-'Tariff Jul 2020'!P39)*'Tariff Jul 2020'!Q39/100),0)))</f>
        <v>0</v>
      </c>
      <c r="H51" s="208">
        <f>($I$5)*'Tariff Jul 2020'!AE39/100</f>
        <v>32.457844799999997</v>
      </c>
      <c r="I51" s="208">
        <v>0</v>
      </c>
      <c r="J51" s="208">
        <f t="shared" si="27"/>
        <v>337.24241359999996</v>
      </c>
      <c r="K51" s="190">
        <f t="shared" si="34"/>
        <v>908.81965439999988</v>
      </c>
      <c r="L51" s="190">
        <f t="shared" si="28"/>
        <v>1348.9696543999999</v>
      </c>
      <c r="M51" s="191">
        <f t="shared" si="29"/>
        <v>1483.8666198399999</v>
      </c>
      <c r="N51" s="187">
        <f>'Tariff Jul 2020'!AZ39</f>
        <v>0</v>
      </c>
      <c r="O51" s="187">
        <f>'Tariff Jul 2020'!BA39</f>
        <v>0</v>
      </c>
      <c r="P51" s="187">
        <f>'Tariff Jul 2020'!BB39</f>
        <v>0</v>
      </c>
      <c r="Q51" s="187">
        <f>'Tariff Jul 2020'!BC39</f>
        <v>0</v>
      </c>
      <c r="R51" s="192">
        <f>($F$6*'Tariff Jul 2020'!AT39/100)*4</f>
        <v>257.93913600000002</v>
      </c>
      <c r="S51" s="193" t="str">
        <f t="shared" si="30"/>
        <v>No discount</v>
      </c>
      <c r="T51" s="193" t="str">
        <f t="shared" si="31"/>
        <v>Exclusive</v>
      </c>
      <c r="U51" s="304">
        <f t="shared" si="32"/>
        <v>1348.9696543999999</v>
      </c>
      <c r="V51" s="283">
        <f t="shared" si="33"/>
        <v>1348.9696543999999</v>
      </c>
      <c r="W51" s="283">
        <f t="shared" si="24"/>
        <v>1091.0305183999999</v>
      </c>
      <c r="X51" s="283">
        <f t="shared" si="25"/>
        <v>1091.0305183999999</v>
      </c>
      <c r="Y51" s="285">
        <f t="shared" si="26"/>
        <v>1200.1335702399999</v>
      </c>
      <c r="Z51" s="285">
        <f t="shared" si="26"/>
        <v>1200.1335702399999</v>
      </c>
      <c r="AA51" s="194">
        <f>'Tariff Jul 2020'!AT38</f>
        <v>14.2</v>
      </c>
      <c r="AB51" s="195">
        <f>'Tariff Jul 2020'!BL39</f>
        <v>0</v>
      </c>
      <c r="AC51" s="195" t="str">
        <f>'Tariff Jul 2020'!BM39</f>
        <v>n</v>
      </c>
      <c r="AD51" s="196">
        <f>'Tariff Jul 2020'!G39</f>
        <v>42593</v>
      </c>
    </row>
    <row r="52" spans="1:30" x14ac:dyDescent="0.15">
      <c r="A52" s="186" t="str">
        <f>'Tariff Jul 2020'!K40</f>
        <v>Simply Energy</v>
      </c>
      <c r="B52" s="187" t="str">
        <f>'Tariff Jul 2020'!L40</f>
        <v>Saver</v>
      </c>
      <c r="C52" s="208">
        <f>IF('Tariff Jul 2020'!BP40=0,91*'Tariff Jul 2020'!M40/100,(91*'Tariff Jul 2020'!M40/100)+'Tariff Jul 2020'!BP40/4)</f>
        <v>88.27</v>
      </c>
      <c r="D52" s="208">
        <f>IF('Tariff Jul 2020'!O40="",$H$5*'Tariff Jul 2020'!N40/100,IF($H$5&gt;='Tariff Jul 2020'!P40,('Tariff Jul 2020'!P40*'Tariff Jul 2020'!N40/100),($H$5*'Tariff Jul 2020'!N40/100)))</f>
        <v>234.10938763636361</v>
      </c>
      <c r="E52" s="208">
        <f>IF(AND('Tariff Jul 2020'!P40&gt;0,'Tariff Jul 2020'!R40&gt;0),IF($H$5&lt;'Tariff Jul 2020'!P40,0,IF($H$5&lt;=('Tariff Jul 2020'!R40+'Tariff Jul 2020'!P40),(($H$5-'Tariff Jul 2020'!P40)*'Tariff Jul 2020'!Q40/100),(('Tariff Jul 2020'!R40)*'Tariff Jul 2020'!Q40/100))),0)</f>
        <v>0</v>
      </c>
      <c r="F52" s="208">
        <f>IF(AND('Tariff Jul 2020'!Q40&gt;0,'Tariff Jul 2020'!S40&gt;0),IF($H$5&lt;('Tariff Jul 2020'!R40+'Tariff Jul 2020'!P40),0,IF($H$5&lt;=('Tariff Jul 2020'!T40+'Tariff Jul 2020'!R40+'Tariff Jul 2020'!P40),(($H$5-('Tariff Jul 2020'!R40+'Tariff Jul 2020'!P40))*'Tariff Jul 2020'!S40/100),('Tariff Jul 2020'!T40*'Tariff Jul 2020'!S40/100))),0)</f>
        <v>0</v>
      </c>
      <c r="G52" s="208">
        <f>IF('Tariff Jul 2020'!T40&gt;0,IF(($H$5&lt;'Tariff Jul 2020'!T40),(0),($H$5-'Tariff Jul 2020'!T40)*'Tariff Jul 2020'!U40/100),IF(AND('Tariff Jul 2020'!R40&gt;0,'Tariff Jul 2020'!T40=""),IF(($H$5&lt;'Tariff Jul 2020'!R40),(0),($H$5-'Tariff Jul 2020'!R40)*'Tariff Jul 2020'!S40/100),IF(AND('Tariff Jul 2020'!P40&gt;0,'Tariff Jul 2020'!R40=""),IF(($H$5&lt;'Tariff Jul 2020'!P40),(0),($H$5-'Tariff Jul 2020'!P40)*'Tariff Jul 2020'!Q40/100),0)))</f>
        <v>0</v>
      </c>
      <c r="H52" s="208">
        <f>($I$5)*'Tariff Jul 2020'!AE40/100</f>
        <v>30.659500363636358</v>
      </c>
      <c r="I52" s="208">
        <v>0</v>
      </c>
      <c r="J52" s="208">
        <f t="shared" ref="J52:J54" si="35">SUM(C52:I52)</f>
        <v>353.03888799999999</v>
      </c>
      <c r="K52" s="190">
        <f t="shared" si="34"/>
        <v>1059.075552</v>
      </c>
      <c r="L52" s="190">
        <f t="shared" si="28"/>
        <v>1412.1555519999999</v>
      </c>
      <c r="M52" s="191">
        <f t="shared" si="29"/>
        <v>1553.3711072000001</v>
      </c>
      <c r="N52" s="187">
        <f>'Tariff Jul 2020'!AZ40</f>
        <v>0</v>
      </c>
      <c r="O52" s="187">
        <f>'Tariff Jul 2020'!BA40</f>
        <v>8</v>
      </c>
      <c r="P52" s="187">
        <f>'Tariff Jul 2020'!BB40</f>
        <v>0</v>
      </c>
      <c r="Q52" s="187">
        <f>'Tariff Jul 2020'!BC40</f>
        <v>0</v>
      </c>
      <c r="R52" s="192">
        <f>($F$6*'Tariff Jul 2020'!AT40/100)*4</f>
        <v>391.60799999999995</v>
      </c>
      <c r="S52" s="193" t="str">
        <f t="shared" si="30"/>
        <v>Guaranteed off usage</v>
      </c>
      <c r="T52" s="193" t="str">
        <f t="shared" si="31"/>
        <v>Exclusive</v>
      </c>
      <c r="U52" s="304">
        <f t="shared" si="32"/>
        <v>1327.42950784</v>
      </c>
      <c r="V52" s="283">
        <f t="shared" si="33"/>
        <v>1327.42950784</v>
      </c>
      <c r="W52" s="283">
        <f t="shared" si="24"/>
        <v>935.82150784000009</v>
      </c>
      <c r="X52" s="283">
        <f t="shared" si="25"/>
        <v>935.82150784000009</v>
      </c>
      <c r="Y52" s="285">
        <f t="shared" si="26"/>
        <v>1029.4036586240002</v>
      </c>
      <c r="Z52" s="285">
        <f t="shared" si="26"/>
        <v>1029.4036586240002</v>
      </c>
      <c r="AA52" s="194">
        <f>'Tariff Jul 2020'!AT39</f>
        <v>9.8800000000000008</v>
      </c>
      <c r="AB52" s="195">
        <f>'Tariff Jul 2020'!BL40</f>
        <v>0</v>
      </c>
      <c r="AC52" s="195" t="str">
        <f>'Tariff Jul 2020'!BM40</f>
        <v>n</v>
      </c>
      <c r="AD52" s="196">
        <f>'Tariff Jul 2020'!G40</f>
        <v>42551</v>
      </c>
    </row>
    <row r="53" spans="1:30" x14ac:dyDescent="0.15">
      <c r="A53" s="186" t="str">
        <f>'Tariff Jul 2020'!K41</f>
        <v>Amaysim</v>
      </c>
      <c r="B53" s="187" t="str">
        <f>'Tariff Jul 2020'!L41</f>
        <v>Post-paid Solar</v>
      </c>
      <c r="C53" s="208">
        <f>IF('Tariff Jul 2020'!BP41=0,91*'Tariff Jul 2020'!M41/100,(91*'Tariff Jul 2020'!M41/100)+'Tariff Jul 2020'!BP41/4)</f>
        <v>84.084000000000003</v>
      </c>
      <c r="D53" s="208">
        <f>IF('Tariff Jul 2020'!O41="",$H$5*'Tariff Jul 2020'!N41/100,IF($H$5&gt;='Tariff Jul 2020'!P41,('Tariff Jul 2020'!P41*'Tariff Jul 2020'!N41/100),($H$5*'Tariff Jul 2020'!N41/100)))</f>
        <v>237.09580800000001</v>
      </c>
      <c r="E53" s="208">
        <f>IF(AND('Tariff Jul 2020'!P41&gt;0,'Tariff Jul 2020'!R41&gt;0),IF($H$5&lt;'Tariff Jul 2020'!P41,0,IF($H$5&lt;=('Tariff Jul 2020'!R41+'Tariff Jul 2020'!P41),(($H$5-'Tariff Jul 2020'!P41)*'Tariff Jul 2020'!Q41/100),(('Tariff Jul 2020'!R41)*'Tariff Jul 2020'!Q41/100))),0)</f>
        <v>0</v>
      </c>
      <c r="F53" s="208">
        <f>IF(AND('Tariff Jul 2020'!Q41&gt;0,'Tariff Jul 2020'!S41&gt;0),IF($H$5&lt;('Tariff Jul 2020'!R41+'Tariff Jul 2020'!P41),0,IF($H$5&lt;=('Tariff Jul 2020'!T41+'Tariff Jul 2020'!R41+'Tariff Jul 2020'!P41),(($H$5-('Tariff Jul 2020'!R41+'Tariff Jul 2020'!P41))*'Tariff Jul 2020'!S41/100),('Tariff Jul 2020'!T41*'Tariff Jul 2020'!S41/100))),0)</f>
        <v>0</v>
      </c>
      <c r="G53" s="208">
        <f>IF('Tariff Jul 2020'!T41&gt;0,IF(($H$5&lt;'Tariff Jul 2020'!T41),(0),($H$5-'Tariff Jul 2020'!T41)*'Tariff Jul 2020'!U41/100),IF(AND('Tariff Jul 2020'!R41&gt;0,'Tariff Jul 2020'!T41=""),IF(($H$5&lt;'Tariff Jul 2020'!R41),(0),($H$5-'Tariff Jul 2020'!R41)*'Tariff Jul 2020'!S41/100),IF(AND('Tariff Jul 2020'!P41&gt;0,'Tariff Jul 2020'!R41=""),IF(($H$5&lt;'Tariff Jul 2020'!P41),(0),($H$5-'Tariff Jul 2020'!P41)*'Tariff Jul 2020'!Q41/100),0)))</f>
        <v>0</v>
      </c>
      <c r="H53" s="208">
        <f>($I$5)*'Tariff Jul 2020'!AE41/100</f>
        <v>30.562117090909076</v>
      </c>
      <c r="I53" s="208">
        <v>0</v>
      </c>
      <c r="J53" s="208">
        <f t="shared" si="35"/>
        <v>351.74192509090904</v>
      </c>
      <c r="K53" s="190">
        <f t="shared" si="34"/>
        <v>1070.6317003636361</v>
      </c>
      <c r="L53" s="190">
        <f t="shared" si="28"/>
        <v>1406.9677003636361</v>
      </c>
      <c r="M53" s="191">
        <f t="shared" si="29"/>
        <v>1547.6644703999998</v>
      </c>
      <c r="N53" s="187">
        <f>'Tariff Jul 2020'!AZ41</f>
        <v>0</v>
      </c>
      <c r="O53" s="187">
        <f>'Tariff Jul 2020'!BA41</f>
        <v>0</v>
      </c>
      <c r="P53" s="187">
        <f>'Tariff Jul 2020'!BB41</f>
        <v>0</v>
      </c>
      <c r="Q53" s="187">
        <f>'Tariff Jul 2020'!BC41</f>
        <v>0</v>
      </c>
      <c r="R53" s="192">
        <f>($F$6*'Tariff Jul 2020'!AT41/100)*4</f>
        <v>417.71519999999998</v>
      </c>
      <c r="S53" s="193" t="str">
        <f t="shared" si="30"/>
        <v>No discount</v>
      </c>
      <c r="T53" s="193" t="str">
        <f t="shared" si="31"/>
        <v>Exclusive</v>
      </c>
      <c r="U53" s="304">
        <f t="shared" si="32"/>
        <v>1406.9677003636361</v>
      </c>
      <c r="V53" s="283">
        <f t="shared" si="33"/>
        <v>1406.9677003636361</v>
      </c>
      <c r="W53" s="283">
        <f t="shared" si="24"/>
        <v>989.25250036363616</v>
      </c>
      <c r="X53" s="283">
        <f t="shared" si="25"/>
        <v>989.25250036363616</v>
      </c>
      <c r="Y53" s="285">
        <f t="shared" si="26"/>
        <v>1088.1777503999999</v>
      </c>
      <c r="Z53" s="285">
        <f t="shared" si="26"/>
        <v>1088.1777503999999</v>
      </c>
      <c r="AA53" s="194">
        <f>'Tariff Jul 2020'!AT40</f>
        <v>15</v>
      </c>
      <c r="AB53" s="195">
        <f>'Tariff Jul 2020'!BL41</f>
        <v>0</v>
      </c>
      <c r="AC53" s="195" t="str">
        <f>'Tariff Jul 2020'!BM41</f>
        <v>n</v>
      </c>
      <c r="AD53" s="196">
        <f>'Tariff Jul 2020'!G41</f>
        <v>42551</v>
      </c>
    </row>
    <row r="54" spans="1:30" x14ac:dyDescent="0.15">
      <c r="A54" s="186" t="str">
        <f>'Tariff Jul 2020'!K42</f>
        <v>Powershop</v>
      </c>
      <c r="B54" s="187" t="str">
        <f>'Tariff Jul 2020'!L42</f>
        <v>Shopper with Mega Pack</v>
      </c>
      <c r="C54" s="208">
        <f>IF('Tariff Jul 2020'!BP42=0,91*'Tariff Jul 2020'!M42/100,(91*'Tariff Jul 2020'!M42/100)+'Tariff Jul 2020'!BP42/4)</f>
        <v>94.300818181818158</v>
      </c>
      <c r="D54" s="208">
        <f>IF('Tariff Jul 2020'!O42="",$H$5*'Tariff Jul 2020'!N42/100,IF($H$5&gt;='Tariff Jul 2020'!P42,('Tariff Jul 2020'!P42*'Tariff Jul 2020'!N42/100),($H$5*'Tariff Jul 2020'!N42/100)))</f>
        <v>190.87121454545451</v>
      </c>
      <c r="E54" s="208">
        <f>IF(AND('Tariff Jul 2020'!P42&gt;0,'Tariff Jul 2020'!R42&gt;0),IF($H$5&lt;'Tariff Jul 2020'!P42,0,IF($H$5&lt;=('Tariff Jul 2020'!R42+'Tariff Jul 2020'!P42),(($H$5-'Tariff Jul 2020'!P42)*'Tariff Jul 2020'!Q42/100),(('Tariff Jul 2020'!R42)*'Tariff Jul 2020'!Q42/100))),0)</f>
        <v>0</v>
      </c>
      <c r="F54" s="208">
        <f>IF(AND('Tariff Jul 2020'!Q42&gt;0,'Tariff Jul 2020'!S42&gt;0),IF($H$5&lt;('Tariff Jul 2020'!R42+'Tariff Jul 2020'!P42),0,IF($H$5&lt;=('Tariff Jul 2020'!T42+'Tariff Jul 2020'!R42+'Tariff Jul 2020'!P42),(($H$5-('Tariff Jul 2020'!R42+'Tariff Jul 2020'!P42))*'Tariff Jul 2020'!S42/100),('Tariff Jul 2020'!T42*'Tariff Jul 2020'!S42/100))),0)</f>
        <v>0</v>
      </c>
      <c r="G54" s="208">
        <f>IF('Tariff Jul 2020'!T42&gt;0,IF(($H$5&lt;'Tariff Jul 2020'!T42),(0),($H$5-'Tariff Jul 2020'!T42)*'Tariff Jul 2020'!U42/100),IF(AND('Tariff Jul 2020'!R42&gt;0,'Tariff Jul 2020'!T42=""),IF(($H$5&lt;'Tariff Jul 2020'!R42),(0),($H$5-'Tariff Jul 2020'!R42)*'Tariff Jul 2020'!S42/100),IF(AND('Tariff Jul 2020'!P42&gt;0,'Tariff Jul 2020'!R42=""),IF(($H$5&lt;'Tariff Jul 2020'!P42),(0),($H$5-'Tariff Jul 2020'!P42)*'Tariff Jul 2020'!Q42/100),0)))</f>
        <v>0</v>
      </c>
      <c r="H54" s="208">
        <f>($I$5)*'Tariff Jul 2020'!AE42/100</f>
        <v>29.296134545454542</v>
      </c>
      <c r="I54" s="208">
        <v>0</v>
      </c>
      <c r="J54" s="208">
        <f t="shared" si="35"/>
        <v>314.46816727272721</v>
      </c>
      <c r="K54" s="190">
        <f t="shared" si="34"/>
        <v>880.66939636363622</v>
      </c>
      <c r="L54" s="190">
        <f t="shared" si="28"/>
        <v>1257.8726690909089</v>
      </c>
      <c r="M54" s="191">
        <f t="shared" si="29"/>
        <v>1383.6599359999998</v>
      </c>
      <c r="N54" s="187">
        <f>'Tariff Jul 2020'!AZ42</f>
        <v>0</v>
      </c>
      <c r="O54" s="187">
        <f>'Tariff Jul 2020'!BA42</f>
        <v>0</v>
      </c>
      <c r="P54" s="187">
        <f>'Tariff Jul 2020'!BB42</f>
        <v>6</v>
      </c>
      <c r="Q54" s="187">
        <f>'Tariff Jul 2020'!BC42</f>
        <v>0</v>
      </c>
      <c r="R54" s="192">
        <f>($F$6*'Tariff Jul 2020'!AT42/100)*4</f>
        <v>195.80399999999997</v>
      </c>
      <c r="S54" s="193" t="str">
        <f t="shared" si="30"/>
        <v>Pay-on-time off bill</v>
      </c>
      <c r="T54" s="193" t="str">
        <f t="shared" si="31"/>
        <v>Inclusive</v>
      </c>
      <c r="U54" s="304">
        <f t="shared" si="32"/>
        <v>1257.8726690909089</v>
      </c>
      <c r="V54" s="283">
        <f t="shared" si="33"/>
        <v>1182.4003089454543</v>
      </c>
      <c r="W54" s="283">
        <f t="shared" si="24"/>
        <v>1062.0686690909088</v>
      </c>
      <c r="X54" s="283">
        <f t="shared" si="25"/>
        <v>986.59630894545433</v>
      </c>
      <c r="Y54" s="285">
        <f t="shared" si="26"/>
        <v>1168.2755359999996</v>
      </c>
      <c r="Z54" s="285">
        <f t="shared" si="26"/>
        <v>1085.2559398399999</v>
      </c>
      <c r="AA54" s="194">
        <f>'Tariff Jul 2020'!AT41</f>
        <v>16</v>
      </c>
      <c r="AB54" s="195">
        <f>'Tariff Jul 2020'!BL42</f>
        <v>0</v>
      </c>
      <c r="AC54" s="195" t="str">
        <f>'Tariff Jul 2020'!BM42</f>
        <v>n</v>
      </c>
      <c r="AD54" s="196">
        <f>'Tariff Jul 2020'!G42</f>
        <v>42551</v>
      </c>
    </row>
    <row r="55" spans="1:30" x14ac:dyDescent="0.15">
      <c r="A55" s="186" t="str">
        <f>'Tariff Jul 2020'!K43</f>
        <v>Amber Electric</v>
      </c>
      <c r="B55" s="187" t="str">
        <f>'Tariff Jul 2020'!L43</f>
        <v>Market offer</v>
      </c>
      <c r="C55" s="208">
        <f>IF('Tariff Jul 2020'!BP43=0,91*'Tariff Jul 2020'!M43/100,(91*'Tariff Jul 2020'!M43/100)+'Tariff Jul 2020'!BP43/4)</f>
        <v>98.064909090909097</v>
      </c>
      <c r="D55" s="208">
        <f>IF('Tariff Jul 2020'!O43="",$H$5*'Tariff Jul 2020'!N43/100,IF($H$5&gt;='Tariff Jul 2020'!P43,('Tariff Jul 2020'!P43*'Tariff Jul 2020'!N43/100),($H$5*'Tariff Jul 2020'!N43/100)))</f>
        <v>244.82154763636362</v>
      </c>
      <c r="E55" s="208">
        <f>IF(AND('Tariff Jul 2020'!P43&gt;0,'Tariff Jul 2020'!R43&gt;0),IF($H$5&lt;'Tariff Jul 2020'!P43,0,IF($H$5&lt;=('Tariff Jul 2020'!R43+'Tariff Jul 2020'!P43),(($H$5-'Tariff Jul 2020'!P43)*'Tariff Jul 2020'!Q43/100),(('Tariff Jul 2020'!R43)*'Tariff Jul 2020'!Q43/100))),0)</f>
        <v>0</v>
      </c>
      <c r="F55" s="208">
        <f>IF(AND('Tariff Jul 2020'!Q43&gt;0,'Tariff Jul 2020'!S43&gt;0),IF($H$5&lt;('Tariff Jul 2020'!R43+'Tariff Jul 2020'!P43),0,IF($H$5&lt;=('Tariff Jul 2020'!T43+'Tariff Jul 2020'!R43+'Tariff Jul 2020'!P43),(($H$5-('Tariff Jul 2020'!R43+'Tariff Jul 2020'!P43))*'Tariff Jul 2020'!S43/100),('Tariff Jul 2020'!T43*'Tariff Jul 2020'!S43/100))),0)</f>
        <v>0</v>
      </c>
      <c r="G55" s="208">
        <f>IF('Tariff Jul 2020'!T43&gt;0,IF(($H$5&lt;'Tariff Jul 2020'!T43),(0),($H$5-'Tariff Jul 2020'!T43)*'Tariff Jul 2020'!U43/100),IF(AND('Tariff Jul 2020'!R43&gt;0,'Tariff Jul 2020'!T43=""),IF(($H$5&lt;'Tariff Jul 2020'!R43),(0),($H$5-'Tariff Jul 2020'!R43)*'Tariff Jul 2020'!S43/100),IF(AND('Tariff Jul 2020'!P43&gt;0,'Tariff Jul 2020'!R43=""),IF(($H$5&lt;'Tariff Jul 2020'!P43),(0),($H$5-'Tariff Jul 2020'!P43)*'Tariff Jul 2020'!Q43/100),0)))</f>
        <v>0</v>
      </c>
      <c r="H55" s="208">
        <f>($I$5)*'Tariff Jul 2020'!AE43/100</f>
        <v>36.388882909090903</v>
      </c>
      <c r="I55" s="208">
        <v>1</v>
      </c>
      <c r="J55" s="208">
        <f t="shared" ref="J55:J62" si="36">SUM(C55:I55)</f>
        <v>380.27533963636364</v>
      </c>
      <c r="K55" s="190">
        <f t="shared" ref="K55:K62" si="37">(J55-C55)*4</f>
        <v>1128.8417221818181</v>
      </c>
      <c r="L55" s="190">
        <f t="shared" ref="L55:L62" si="38">J55*4</f>
        <v>1521.1013585454546</v>
      </c>
      <c r="M55" s="191">
        <f t="shared" ref="M55:M62" si="39">L55*1.1</f>
        <v>1673.2114944000002</v>
      </c>
      <c r="N55" s="187">
        <f>'Tariff Jul 2020'!AZ43</f>
        <v>0</v>
      </c>
      <c r="O55" s="187">
        <f>'Tariff Jul 2020'!BA43</f>
        <v>0</v>
      </c>
      <c r="P55" s="187">
        <f>'Tariff Jul 2020'!BB43</f>
        <v>0</v>
      </c>
      <c r="Q55" s="187">
        <f>'Tariff Jul 2020'!BC43</f>
        <v>0</v>
      </c>
      <c r="R55" s="192">
        <f>($F$6*'Tariff Jul 2020'!AT43/100)*4</f>
        <v>208.85759999999999</v>
      </c>
      <c r="S55" s="193" t="str">
        <f t="shared" ref="S55:S62" si="40">IF(SUM(N55:Q55)=0,"No discount",IF(N55&gt;0,"Guaranteed off bill",IF(O55&gt;0,"Guaranteed off usage",IF(P55&gt;0,"Pay-on-time off bill","Pay-on-time off usage"))))</f>
        <v>No discount</v>
      </c>
      <c r="T55" s="193" t="str">
        <f t="shared" ref="T55:T62" si="41">IF(OR(A55="Origin Energy",A55="Red Energy",A55="Powershop"),"Inclusive","Exclusive")</f>
        <v>Exclusive</v>
      </c>
      <c r="U55" s="304">
        <f t="shared" ref="U55:U62" si="42">IF(AND(S55="Guaranteed off bill",T55="Inclusive"),((L55*1.1)-((L55*1.1)*N55/100))/1.1,IF(AND(S55="Guaranteed off usage",T55="Inclusive"),((L55*1.1)-((K55*1.1)*O55/100))/1.1,IF(AND(S55="Guaranteed off bill",T55="Exclusive"),L55-(L55*N55/100),IF(AND(S55="Guaranteed off usage",T55="Exclusive"),L55-(K55*O55/100),IF(T55="Inclusive",((L55*1.1))/1.1,L55)))))</f>
        <v>1521.1013585454546</v>
      </c>
      <c r="V55" s="283">
        <f t="shared" ref="V55:V62" si="43">IF(AND(S55="Pay-on-time off bill",T55="Inclusive"),((U55*1.1)-((U55*1.1)*P55/100))/1.1,IF(AND(S55="Pay-on-time off usage",T55="Inclusive"),((U55*1.1)-((K55*1.1)*Q55/100))/1.1,IF(AND(S55="Pay-on-time off bill",T55="Exclusive"),U55-(U55*P55/100),IF(AND(S55="Pay-on-time off usage",T55="Exclusive"),U55-(K55*Q55/100),IF(T55="Inclusive",((U55*1.1))/1.1,U55)))))</f>
        <v>1521.1013585454546</v>
      </c>
      <c r="W55" s="283">
        <f t="shared" ref="W55:W62" si="44">U55-R55</f>
        <v>1312.2437585454545</v>
      </c>
      <c r="X55" s="283">
        <f t="shared" ref="X55:X62" si="45">V55-R55</f>
        <v>1312.2437585454545</v>
      </c>
      <c r="Y55" s="285">
        <f t="shared" ref="Y55:Y62" si="46">W55*1.1</f>
        <v>1443.4681344000001</v>
      </c>
      <c r="Z55" s="285">
        <f t="shared" ref="Z55:Z62" si="47">X55*1.1</f>
        <v>1443.4681344000001</v>
      </c>
      <c r="AA55" s="194">
        <f>'Tariff Jul 2020'!AT42</f>
        <v>7.5</v>
      </c>
      <c r="AB55" s="195">
        <f>'Tariff Jul 2020'!BL43</f>
        <v>0</v>
      </c>
      <c r="AC55" s="195" t="str">
        <f>'Tariff Jul 2020'!BM43</f>
        <v>n</v>
      </c>
      <c r="AD55" s="196">
        <f>'Tariff Jul 2020'!G43</f>
        <v>42476</v>
      </c>
    </row>
    <row r="56" spans="1:30" x14ac:dyDescent="0.15">
      <c r="A56" s="186" t="str">
        <f>'Tariff Jul 2020'!K44</f>
        <v>DC Power Co</v>
      </c>
      <c r="B56" s="187" t="str">
        <f>'Tariff Jul 2020'!L44</f>
        <v>Market offer</v>
      </c>
      <c r="C56" s="208">
        <f>IF('Tariff Jul 2020'!BP44=0,91*'Tariff Jul 2020'!M44/100,(91*'Tariff Jul 2020'!M44/100)+'Tariff Jul 2020'!BP44/4)</f>
        <v>117.83154545454545</v>
      </c>
      <c r="D56" s="208">
        <f>IF('Tariff Jul 2020'!O44="",$H$5*'Tariff Jul 2020'!N44/100,IF($H$5&gt;='Tariff Jul 2020'!P44,('Tariff Jul 2020'!P44*'Tariff Jul 2020'!N44/100),($H$5*'Tariff Jul 2020'!N44/100)))</f>
        <v>215.86625454545447</v>
      </c>
      <c r="E56" s="208">
        <f>IF(AND('Tariff Jul 2020'!P44&gt;0,'Tariff Jul 2020'!R44&gt;0),IF($H$5&lt;'Tariff Jul 2020'!P44,0,IF($H$5&lt;=('Tariff Jul 2020'!R44+'Tariff Jul 2020'!P44),(($H$5-'Tariff Jul 2020'!P44)*'Tariff Jul 2020'!Q44/100),(('Tariff Jul 2020'!R44)*'Tariff Jul 2020'!Q44/100))),0)</f>
        <v>0</v>
      </c>
      <c r="F56" s="208">
        <f>IF(AND('Tariff Jul 2020'!Q44&gt;0,'Tariff Jul 2020'!S44&gt;0),IF($H$5&lt;('Tariff Jul 2020'!R44+'Tariff Jul 2020'!P44),0,IF($H$5&lt;=('Tariff Jul 2020'!T44+'Tariff Jul 2020'!R44+'Tariff Jul 2020'!P44),(($H$5-('Tariff Jul 2020'!R44+'Tariff Jul 2020'!P44))*'Tariff Jul 2020'!S44/100),('Tariff Jul 2020'!T44*'Tariff Jul 2020'!S44/100))),0)</f>
        <v>0</v>
      </c>
      <c r="G56" s="208">
        <f>IF('Tariff Jul 2020'!T44&gt;0,IF(($H$5&lt;'Tariff Jul 2020'!T44),(0),($H$5-'Tariff Jul 2020'!T44)*'Tariff Jul 2020'!U44/100),IF(AND('Tariff Jul 2020'!R44&gt;0,'Tariff Jul 2020'!T44=""),IF(($H$5&lt;'Tariff Jul 2020'!R44),(0),($H$5-'Tariff Jul 2020'!R44)*'Tariff Jul 2020'!S44/100),IF(AND('Tariff Jul 2020'!P44&gt;0,'Tariff Jul 2020'!R44=""),IF(($H$5&lt;'Tariff Jul 2020'!P44),(0),($H$5-'Tariff Jul 2020'!P44)*'Tariff Jul 2020'!Q44/100),0)))</f>
        <v>0</v>
      </c>
      <c r="H56" s="208">
        <f>($I$5)*'Tariff Jul 2020'!AE44/100</f>
        <v>41.274277090909081</v>
      </c>
      <c r="I56" s="208">
        <v>2</v>
      </c>
      <c r="J56" s="208">
        <f t="shared" si="36"/>
        <v>376.97207709090901</v>
      </c>
      <c r="K56" s="190">
        <f t="shared" si="37"/>
        <v>1036.5621265454542</v>
      </c>
      <c r="L56" s="190">
        <f t="shared" si="38"/>
        <v>1507.888308363636</v>
      </c>
      <c r="M56" s="191">
        <f t="shared" si="39"/>
        <v>1658.6771391999998</v>
      </c>
      <c r="N56" s="187">
        <f>'Tariff Jul 2020'!AZ44</f>
        <v>0</v>
      </c>
      <c r="O56" s="187">
        <f>'Tariff Jul 2020'!BA44</f>
        <v>0</v>
      </c>
      <c r="P56" s="187">
        <f>'Tariff Jul 2020'!BB44</f>
        <v>0</v>
      </c>
      <c r="Q56" s="187">
        <f>'Tariff Jul 2020'!BC44</f>
        <v>0</v>
      </c>
      <c r="R56" s="192">
        <f>($F$6*'Tariff Jul 2020'!AT44/100)*4</f>
        <v>391.60799999999995</v>
      </c>
      <c r="S56" s="193" t="str">
        <f t="shared" si="40"/>
        <v>No discount</v>
      </c>
      <c r="T56" s="193" t="str">
        <f t="shared" si="41"/>
        <v>Exclusive</v>
      </c>
      <c r="U56" s="304">
        <f t="shared" si="42"/>
        <v>1507.888308363636</v>
      </c>
      <c r="V56" s="283">
        <f t="shared" si="43"/>
        <v>1507.888308363636</v>
      </c>
      <c r="W56" s="283">
        <f t="shared" si="44"/>
        <v>1116.2803083636361</v>
      </c>
      <c r="X56" s="283">
        <f t="shared" si="45"/>
        <v>1116.2803083636361</v>
      </c>
      <c r="Y56" s="285">
        <f t="shared" si="46"/>
        <v>1227.9083391999998</v>
      </c>
      <c r="Z56" s="285">
        <f t="shared" si="47"/>
        <v>1227.9083391999998</v>
      </c>
      <c r="AA56" s="194">
        <f>'Tariff Jul 2020'!AT43</f>
        <v>8</v>
      </c>
      <c r="AB56" s="195">
        <f>'Tariff Jul 2020'!BL44</f>
        <v>0</v>
      </c>
      <c r="AC56" s="195" t="str">
        <f>'Tariff Jul 2020'!BM44</f>
        <v>n</v>
      </c>
      <c r="AD56" s="196">
        <f>'Tariff Jul 2020'!G44</f>
        <v>42413</v>
      </c>
    </row>
    <row r="57" spans="1:30" x14ac:dyDescent="0.15">
      <c r="A57" s="186" t="str">
        <f>'Tariff Jul 2020'!K45</f>
        <v>Discover Energy</v>
      </c>
      <c r="B57" s="187" t="str">
        <f>'Tariff Jul 2020'!L45</f>
        <v>Solar Boost</v>
      </c>
      <c r="C57" s="208">
        <f>IF('Tariff Jul 2020'!BP45=0,91*'Tariff Jul 2020'!M45/100,(91*'Tariff Jul 2020'!M45/100)+'Tariff Jul 2020'!BP45/4)</f>
        <v>86.044636363636357</v>
      </c>
      <c r="D57" s="208">
        <f>IF('Tariff Jul 2020'!O45="",$H$5*'Tariff Jul 2020'!N45/100,IF($H$5&gt;='Tariff Jul 2020'!P45,('Tariff Jul 2020'!P45*'Tariff Jul 2020'!N45/100),($H$5*'Tariff Jul 2020'!N45/100)))</f>
        <v>235.66751999999994</v>
      </c>
      <c r="E57" s="208">
        <f>IF(AND('Tariff Jul 2020'!P45&gt;0,'Tariff Jul 2020'!R45&gt;0),IF($H$5&lt;'Tariff Jul 2020'!P45,0,IF($H$5&lt;=('Tariff Jul 2020'!R45+'Tariff Jul 2020'!P45),(($H$5-'Tariff Jul 2020'!P45)*'Tariff Jul 2020'!Q45/100),(('Tariff Jul 2020'!R45)*'Tariff Jul 2020'!Q45/100))),0)</f>
        <v>0</v>
      </c>
      <c r="F57" s="208">
        <f>IF(AND('Tariff Jul 2020'!Q45&gt;0,'Tariff Jul 2020'!S45&gt;0),IF($H$5&lt;('Tariff Jul 2020'!R45+'Tariff Jul 2020'!P45),0,IF($H$5&lt;=('Tariff Jul 2020'!T45+'Tariff Jul 2020'!R45+'Tariff Jul 2020'!P45),(($H$5-('Tariff Jul 2020'!R45+'Tariff Jul 2020'!P45))*'Tariff Jul 2020'!S45/100),('Tariff Jul 2020'!T45*'Tariff Jul 2020'!S45/100))),0)</f>
        <v>0</v>
      </c>
      <c r="G57" s="208">
        <f>IF('Tariff Jul 2020'!T45&gt;0,IF(($H$5&lt;'Tariff Jul 2020'!T45),(0),($H$5-'Tariff Jul 2020'!T45)*'Tariff Jul 2020'!U45/100),IF(AND('Tariff Jul 2020'!R45&gt;0,'Tariff Jul 2020'!T45=""),IF(($H$5&lt;'Tariff Jul 2020'!R45),(0),($H$5-'Tariff Jul 2020'!R45)*'Tariff Jul 2020'!S45/100),IF(AND('Tariff Jul 2020'!P45&gt;0,'Tariff Jul 2020'!R45=""),IF(($H$5&lt;'Tariff Jul 2020'!P45),(0),($H$5-'Tariff Jul 2020'!P45)*'Tariff Jul 2020'!Q45/100),0)))</f>
        <v>0</v>
      </c>
      <c r="H57" s="208">
        <f>($I$5)*'Tariff Jul 2020'!AE45/100</f>
        <v>30.643269818181807</v>
      </c>
      <c r="I57" s="208">
        <v>3</v>
      </c>
      <c r="J57" s="208">
        <f t="shared" si="36"/>
        <v>355.35542618181807</v>
      </c>
      <c r="K57" s="190">
        <f t="shared" si="37"/>
        <v>1077.2431592727269</v>
      </c>
      <c r="L57" s="190">
        <f t="shared" si="38"/>
        <v>1421.4217047272723</v>
      </c>
      <c r="M57" s="191">
        <f t="shared" si="39"/>
        <v>1563.5638751999998</v>
      </c>
      <c r="N57" s="187">
        <f>'Tariff Jul 2020'!AZ45</f>
        <v>0</v>
      </c>
      <c r="O57" s="187">
        <f>'Tariff Jul 2020'!BA45</f>
        <v>0</v>
      </c>
      <c r="P57" s="187">
        <f>'Tariff Jul 2020'!BB45</f>
        <v>0</v>
      </c>
      <c r="Q57" s="187">
        <f>'Tariff Jul 2020'!BC45</f>
        <v>0</v>
      </c>
      <c r="R57" s="192">
        <f>($F$6*'Tariff Jul 2020'!AT45/100)*4</f>
        <v>300.2328</v>
      </c>
      <c r="S57" s="193" t="str">
        <f t="shared" si="40"/>
        <v>No discount</v>
      </c>
      <c r="T57" s="193" t="str">
        <f t="shared" si="41"/>
        <v>Exclusive</v>
      </c>
      <c r="U57" s="304">
        <f t="shared" si="42"/>
        <v>1421.4217047272723</v>
      </c>
      <c r="V57" s="283">
        <f t="shared" si="43"/>
        <v>1421.4217047272723</v>
      </c>
      <c r="W57" s="283">
        <f t="shared" si="44"/>
        <v>1121.1889047272723</v>
      </c>
      <c r="X57" s="283">
        <f t="shared" si="45"/>
        <v>1121.1889047272723</v>
      </c>
      <c r="Y57" s="285">
        <f t="shared" si="46"/>
        <v>1233.3077951999996</v>
      </c>
      <c r="Z57" s="285">
        <f t="shared" si="47"/>
        <v>1233.3077951999996</v>
      </c>
      <c r="AA57" s="194">
        <f>'Tariff Jul 2020'!AT44</f>
        <v>15</v>
      </c>
      <c r="AB57" s="195">
        <f>'Tariff Jul 2020'!BL45</f>
        <v>0</v>
      </c>
      <c r="AC57" s="195" t="str">
        <f>'Tariff Jul 2020'!BM45</f>
        <v>n</v>
      </c>
      <c r="AD57" s="196">
        <f>'Tariff Jul 2020'!G45</f>
        <v>42551</v>
      </c>
    </row>
    <row r="58" spans="1:30" x14ac:dyDescent="0.15">
      <c r="A58" s="186" t="str">
        <f>'Tariff Jul 2020'!K46</f>
        <v>Future X Power</v>
      </c>
      <c r="B58" s="187" t="str">
        <f>'Tariff Jul 2020'!L46</f>
        <v>Flexi Saver</v>
      </c>
      <c r="C58" s="208">
        <f>IF('Tariff Jul 2020'!BP46=0,91*'Tariff Jul 2020'!M46/100,(91*'Tariff Jul 2020'!M46/100)+'Tariff Jul 2020'!BP46/4)</f>
        <v>78.077999999999989</v>
      </c>
      <c r="D58" s="208">
        <f>IF('Tariff Jul 2020'!O46="",$H$5*'Tariff Jul 2020'!N46/100,IF($H$5&gt;='Tariff Jul 2020'!P46,('Tariff Jul 2020'!P46*'Tariff Jul 2020'!N46/100),($H$5*'Tariff Jul 2020'!N46/100)))</f>
        <v>201.77814109090906</v>
      </c>
      <c r="E58" s="208">
        <f>IF(AND('Tariff Jul 2020'!P46&gt;0,'Tariff Jul 2020'!R46&gt;0),IF($H$5&lt;'Tariff Jul 2020'!P46,0,IF($H$5&lt;=('Tariff Jul 2020'!R46+'Tariff Jul 2020'!P46),(($H$5-'Tariff Jul 2020'!P46)*'Tariff Jul 2020'!Q46/100),(('Tariff Jul 2020'!R46)*'Tariff Jul 2020'!Q46/100))),0)</f>
        <v>0</v>
      </c>
      <c r="F58" s="208">
        <f>IF(AND('Tariff Jul 2020'!Q46&gt;0,'Tariff Jul 2020'!S46&gt;0),IF($H$5&lt;('Tariff Jul 2020'!R46+'Tariff Jul 2020'!P46),0,IF($H$5&lt;=('Tariff Jul 2020'!T46+'Tariff Jul 2020'!R46+'Tariff Jul 2020'!P46),(($H$5-('Tariff Jul 2020'!R46+'Tariff Jul 2020'!P46))*'Tariff Jul 2020'!S46/100),('Tariff Jul 2020'!T46*'Tariff Jul 2020'!S46/100))),0)</f>
        <v>0</v>
      </c>
      <c r="G58" s="208">
        <f>IF('Tariff Jul 2020'!T46&gt;0,IF(($H$5&lt;'Tariff Jul 2020'!T46),(0),($H$5-'Tariff Jul 2020'!T46)*'Tariff Jul 2020'!U46/100),IF(AND('Tariff Jul 2020'!R46&gt;0,'Tariff Jul 2020'!T46=""),IF(($H$5&lt;'Tariff Jul 2020'!R46),(0),($H$5-'Tariff Jul 2020'!R46)*'Tariff Jul 2020'!S46/100),IF(AND('Tariff Jul 2020'!P46&gt;0,'Tariff Jul 2020'!R46=""),IF(($H$5&lt;'Tariff Jul 2020'!P46),(0),($H$5-'Tariff Jul 2020'!P46)*'Tariff Jul 2020'!Q46/100),0)))</f>
        <v>0</v>
      </c>
      <c r="H58" s="208">
        <f>($I$5)*'Tariff Jul 2020'!AE46/100</f>
        <v>27.884077090909088</v>
      </c>
      <c r="I58" s="208">
        <v>4</v>
      </c>
      <c r="J58" s="208">
        <f t="shared" si="36"/>
        <v>311.74021818181814</v>
      </c>
      <c r="K58" s="190">
        <f t="shared" si="37"/>
        <v>934.64887272727265</v>
      </c>
      <c r="L58" s="190">
        <f t="shared" si="38"/>
        <v>1246.9608727272725</v>
      </c>
      <c r="M58" s="191">
        <f t="shared" si="39"/>
        <v>1371.6569599999998</v>
      </c>
      <c r="N58" s="187">
        <f>'Tariff Jul 2020'!AZ46</f>
        <v>0</v>
      </c>
      <c r="O58" s="187">
        <f>'Tariff Jul 2020'!BA46</f>
        <v>0</v>
      </c>
      <c r="P58" s="187">
        <f>'Tariff Jul 2020'!BB46</f>
        <v>0</v>
      </c>
      <c r="Q58" s="187">
        <f>'Tariff Jul 2020'!BC46</f>
        <v>0</v>
      </c>
      <c r="R58" s="192">
        <f>($F$6*'Tariff Jul 2020'!AT46/100)*4</f>
        <v>104.4288</v>
      </c>
      <c r="S58" s="193" t="str">
        <f t="shared" si="40"/>
        <v>No discount</v>
      </c>
      <c r="T58" s="193" t="str">
        <f t="shared" si="41"/>
        <v>Exclusive</v>
      </c>
      <c r="U58" s="304">
        <f t="shared" si="42"/>
        <v>1246.9608727272725</v>
      </c>
      <c r="V58" s="283">
        <f t="shared" si="43"/>
        <v>1246.9608727272725</v>
      </c>
      <c r="W58" s="283">
        <f t="shared" si="44"/>
        <v>1142.5320727272726</v>
      </c>
      <c r="X58" s="283">
        <f t="shared" si="45"/>
        <v>1142.5320727272726</v>
      </c>
      <c r="Y58" s="285">
        <f t="shared" si="46"/>
        <v>1256.7852800000001</v>
      </c>
      <c r="Z58" s="285">
        <f t="shared" si="47"/>
        <v>1256.7852800000001</v>
      </c>
      <c r="AA58" s="194">
        <f>'Tariff Jul 2020'!AT45</f>
        <v>11.5</v>
      </c>
      <c r="AB58" s="195">
        <f>'Tariff Jul 2020'!BL46</f>
        <v>0</v>
      </c>
      <c r="AC58" s="195" t="str">
        <f>'Tariff Jul 2020'!BM46</f>
        <v>n</v>
      </c>
      <c r="AD58" s="196">
        <f>'Tariff Jul 2020'!G46</f>
        <v>42587</v>
      </c>
    </row>
    <row r="59" spans="1:30" x14ac:dyDescent="0.15">
      <c r="A59" s="186" t="str">
        <f>'Tariff Jul 2020'!K47</f>
        <v>GloBird Energy</v>
      </c>
      <c r="B59" s="187" t="str">
        <f>'Tariff Jul 2020'!L47</f>
        <v>GloSave</v>
      </c>
      <c r="C59" s="208">
        <f>IF('Tariff Jul 2020'!BP47=0,91*'Tariff Jul 2020'!M47/100,(91*'Tariff Jul 2020'!M47/100)+'Tariff Jul 2020'!BP47/4)</f>
        <v>90.999999999999986</v>
      </c>
      <c r="D59" s="208">
        <f>IF('Tariff Jul 2020'!O47="",$H$5*'Tariff Jul 2020'!N47/100,IF($H$5&gt;='Tariff Jul 2020'!P47,('Tariff Jul 2020'!P47*'Tariff Jul 2020'!N47/100),($H$5*'Tariff Jul 2020'!N47/100)))</f>
        <v>183.53500799999998</v>
      </c>
      <c r="E59" s="208">
        <f>IF(AND('Tariff Jul 2020'!P47&gt;0,'Tariff Jul 2020'!R47&gt;0),IF($H$5&lt;'Tariff Jul 2020'!P47,0,IF($H$5&lt;=('Tariff Jul 2020'!R47+'Tariff Jul 2020'!P47),(($H$5-'Tariff Jul 2020'!P47)*'Tariff Jul 2020'!Q47/100),(('Tariff Jul 2020'!R47)*'Tariff Jul 2020'!Q47/100))),0)</f>
        <v>0</v>
      </c>
      <c r="F59" s="208">
        <f>IF(AND('Tariff Jul 2020'!Q47&gt;0,'Tariff Jul 2020'!S47&gt;0),IF($H$5&lt;('Tariff Jul 2020'!R47+'Tariff Jul 2020'!P47),0,IF($H$5&lt;=('Tariff Jul 2020'!T47+'Tariff Jul 2020'!R47+'Tariff Jul 2020'!P47),(($H$5-('Tariff Jul 2020'!R47+'Tariff Jul 2020'!P47))*'Tariff Jul 2020'!S47/100),('Tariff Jul 2020'!T47*'Tariff Jul 2020'!S47/100))),0)</f>
        <v>0</v>
      </c>
      <c r="G59" s="208">
        <f>IF('Tariff Jul 2020'!T47&gt;0,IF(($H$5&lt;'Tariff Jul 2020'!T47),(0),($H$5-'Tariff Jul 2020'!T47)*'Tariff Jul 2020'!U47/100),IF(AND('Tariff Jul 2020'!R47&gt;0,'Tariff Jul 2020'!T47=""),IF(($H$5&lt;'Tariff Jul 2020'!R47),(0),($H$5-'Tariff Jul 2020'!R47)*'Tariff Jul 2020'!S47/100),IF(AND('Tariff Jul 2020'!P47&gt;0,'Tariff Jul 2020'!R47=""),IF(($H$5&lt;'Tariff Jul 2020'!P47),(0),($H$5-'Tariff Jul 2020'!P47)*'Tariff Jul 2020'!Q47/100),0)))</f>
        <v>0</v>
      </c>
      <c r="H59" s="208">
        <f>($I$5)*'Tariff Jul 2020'!AE47/100</f>
        <v>33.921839999999989</v>
      </c>
      <c r="I59" s="208">
        <v>5</v>
      </c>
      <c r="J59" s="208">
        <f t="shared" si="36"/>
        <v>313.45684799999992</v>
      </c>
      <c r="K59" s="190">
        <f t="shared" si="37"/>
        <v>889.82739199999969</v>
      </c>
      <c r="L59" s="190">
        <f t="shared" si="38"/>
        <v>1253.8273919999997</v>
      </c>
      <c r="M59" s="191">
        <f t="shared" si="39"/>
        <v>1379.2101311999998</v>
      </c>
      <c r="N59" s="187">
        <f>'Tariff Jul 2020'!AZ47</f>
        <v>0</v>
      </c>
      <c r="O59" s="187">
        <f>'Tariff Jul 2020'!BA47</f>
        <v>0</v>
      </c>
      <c r="P59" s="187">
        <f>'Tariff Jul 2020'!BB47</f>
        <v>7</v>
      </c>
      <c r="Q59" s="187">
        <f>'Tariff Jul 2020'!BC47</f>
        <v>0</v>
      </c>
      <c r="R59" s="192">
        <f>($F$6*'Tariff Jul 2020'!AT47/100)*4</f>
        <v>78.321600000000004</v>
      </c>
      <c r="S59" s="193" t="str">
        <f t="shared" si="40"/>
        <v>Pay-on-time off bill</v>
      </c>
      <c r="T59" s="193" t="str">
        <f t="shared" si="41"/>
        <v>Exclusive</v>
      </c>
      <c r="U59" s="304">
        <f t="shared" si="42"/>
        <v>1253.8273919999997</v>
      </c>
      <c r="V59" s="283">
        <f t="shared" si="43"/>
        <v>1166.0594745599997</v>
      </c>
      <c r="W59" s="283">
        <f t="shared" si="44"/>
        <v>1175.5057919999997</v>
      </c>
      <c r="X59" s="283">
        <f t="shared" si="45"/>
        <v>1087.7378745599997</v>
      </c>
      <c r="Y59" s="285">
        <f t="shared" si="46"/>
        <v>1293.0563711999998</v>
      </c>
      <c r="Z59" s="285">
        <f t="shared" si="47"/>
        <v>1196.5116620159997</v>
      </c>
      <c r="AA59" s="194">
        <f>'Tariff Jul 2020'!AT46</f>
        <v>4</v>
      </c>
      <c r="AB59" s="195">
        <f>'Tariff Jul 2020'!BL47</f>
        <v>0</v>
      </c>
      <c r="AC59" s="195" t="str">
        <f>'Tariff Jul 2020'!BM47</f>
        <v>n</v>
      </c>
      <c r="AD59" s="196">
        <f>'Tariff Jul 2020'!G47</f>
        <v>42571</v>
      </c>
    </row>
    <row r="60" spans="1:30" x14ac:dyDescent="0.15">
      <c r="A60" s="186" t="str">
        <f>'Tariff Jul 2020'!K48</f>
        <v>Kogan Energy</v>
      </c>
      <c r="B60" s="187" t="str">
        <f>'Tariff Jul 2020'!L48</f>
        <v>Market offer</v>
      </c>
      <c r="C60" s="208">
        <f>IF('Tariff Jul 2020'!BP48=0,91*'Tariff Jul 2020'!M48/100,(91*'Tariff Jul 2020'!M48/100)+'Tariff Jul 2020'!BP48/4)</f>
        <v>96.939818181818197</v>
      </c>
      <c r="D60" s="208">
        <f>IF('Tariff Jul 2020'!O48="",$H$5*'Tariff Jul 2020'!N48/100,IF($H$5&gt;='Tariff Jul 2020'!P48,('Tariff Jul 2020'!P48*'Tariff Jul 2020'!N48/100),($H$5*'Tariff Jul 2020'!N48/100)))</f>
        <v>169.90134981818176</v>
      </c>
      <c r="E60" s="208">
        <f>IF(AND('Tariff Jul 2020'!P48&gt;0,'Tariff Jul 2020'!R48&gt;0),IF($H$5&lt;'Tariff Jul 2020'!P48,0,IF($H$5&lt;=('Tariff Jul 2020'!R48+'Tariff Jul 2020'!P48),(($H$5-'Tariff Jul 2020'!P48)*'Tariff Jul 2020'!Q48/100),(('Tariff Jul 2020'!R48)*'Tariff Jul 2020'!Q48/100))),0)</f>
        <v>0</v>
      </c>
      <c r="F60" s="208">
        <f>IF(AND('Tariff Jul 2020'!Q48&gt;0,'Tariff Jul 2020'!S48&gt;0),IF($H$5&lt;('Tariff Jul 2020'!R48+'Tariff Jul 2020'!P48),0,IF($H$5&lt;=('Tariff Jul 2020'!T48+'Tariff Jul 2020'!R48+'Tariff Jul 2020'!P48),(($H$5-('Tariff Jul 2020'!R48+'Tariff Jul 2020'!P48))*'Tariff Jul 2020'!S48/100),('Tariff Jul 2020'!T48*'Tariff Jul 2020'!S48/100))),0)</f>
        <v>0</v>
      </c>
      <c r="G60" s="208">
        <f>IF('Tariff Jul 2020'!T48&gt;0,IF(($H$5&lt;'Tariff Jul 2020'!T48),(0),($H$5-'Tariff Jul 2020'!T48)*'Tariff Jul 2020'!U48/100),IF(AND('Tariff Jul 2020'!R48&gt;0,'Tariff Jul 2020'!T48=""),IF(($H$5&lt;'Tariff Jul 2020'!R48),(0),($H$5-'Tariff Jul 2020'!R48)*'Tariff Jul 2020'!S48/100),IF(AND('Tariff Jul 2020'!P48&gt;0,'Tariff Jul 2020'!R48=""),IF(($H$5&lt;'Tariff Jul 2020'!P48),(0),($H$5-'Tariff Jul 2020'!P48)*'Tariff Jul 2020'!Q48/100),0)))</f>
        <v>0</v>
      </c>
      <c r="H60" s="208">
        <f>($I$5)*'Tariff Jul 2020'!AE48/100</f>
        <v>31.649563636363631</v>
      </c>
      <c r="I60" s="208">
        <v>6</v>
      </c>
      <c r="J60" s="208">
        <f t="shared" si="36"/>
        <v>304.49073163636353</v>
      </c>
      <c r="K60" s="190">
        <f t="shared" si="37"/>
        <v>830.20365381818135</v>
      </c>
      <c r="L60" s="190">
        <f t="shared" si="38"/>
        <v>1217.9629265454541</v>
      </c>
      <c r="M60" s="191">
        <f t="shared" si="39"/>
        <v>1339.7592191999997</v>
      </c>
      <c r="N60" s="187">
        <f>'Tariff Jul 2020'!AZ48</f>
        <v>0</v>
      </c>
      <c r="O60" s="187">
        <f>'Tariff Jul 2020'!BA48</f>
        <v>0</v>
      </c>
      <c r="P60" s="187">
        <f>'Tariff Jul 2020'!BB48</f>
        <v>0</v>
      </c>
      <c r="Q60" s="187">
        <f>'Tariff Jul 2020'!BC48</f>
        <v>0</v>
      </c>
      <c r="R60" s="192">
        <f>($F$6*'Tariff Jul 2020'!AT48/100)*4</f>
        <v>107.30059199999999</v>
      </c>
      <c r="S60" s="193" t="str">
        <f t="shared" si="40"/>
        <v>No discount</v>
      </c>
      <c r="T60" s="193" t="str">
        <f t="shared" si="41"/>
        <v>Exclusive</v>
      </c>
      <c r="U60" s="304">
        <f t="shared" si="42"/>
        <v>1217.9629265454541</v>
      </c>
      <c r="V60" s="283">
        <f t="shared" si="43"/>
        <v>1217.9629265454541</v>
      </c>
      <c r="W60" s="283">
        <f t="shared" si="44"/>
        <v>1110.6623345454541</v>
      </c>
      <c r="X60" s="283">
        <f t="shared" si="45"/>
        <v>1110.6623345454541</v>
      </c>
      <c r="Y60" s="285">
        <f t="shared" si="46"/>
        <v>1221.7285679999995</v>
      </c>
      <c r="Z60" s="285">
        <f t="shared" si="47"/>
        <v>1221.7285679999995</v>
      </c>
      <c r="AA60" s="194">
        <f>'Tariff Jul 2020'!AT47</f>
        <v>3</v>
      </c>
      <c r="AB60" s="195">
        <f>'Tariff Jul 2020'!BL48</f>
        <v>0</v>
      </c>
      <c r="AC60" s="195" t="str">
        <f>'Tariff Jul 2020'!BM48</f>
        <v>n</v>
      </c>
      <c r="AD60" s="196">
        <f>'Tariff Jul 2020'!G48</f>
        <v>42551</v>
      </c>
    </row>
    <row r="61" spans="1:30" x14ac:dyDescent="0.15">
      <c r="A61" s="186" t="str">
        <f>'Tariff Jul 2020'!K49</f>
        <v>OVO Energy</v>
      </c>
      <c r="B61" s="187" t="str">
        <f>'Tariff Jul 2020'!L49</f>
        <v>The One Plan</v>
      </c>
      <c r="C61" s="208">
        <f>IF('Tariff Jul 2020'!BP49=0,91*'Tariff Jul 2020'!M49/100,(91*'Tariff Jul 2020'!M49/100)+'Tariff Jul 2020'!BP49/4)</f>
        <v>90.999999999999986</v>
      </c>
      <c r="D61" s="208">
        <f>IF('Tariff Jul 2020'!O49="",$H$5*'Tariff Jul 2020'!N49/100,IF($H$5&gt;='Tariff Jul 2020'!P49,('Tariff Jul 2020'!P49*'Tariff Jul 2020'!N49/100),($H$5*'Tariff Jul 2020'!N49/100)))</f>
        <v>196.38959999999994</v>
      </c>
      <c r="E61" s="208">
        <f>IF(AND('Tariff Jul 2020'!P49&gt;0,'Tariff Jul 2020'!R49&gt;0),IF($H$5&lt;'Tariff Jul 2020'!P49,0,IF($H$5&lt;=('Tariff Jul 2020'!R49+'Tariff Jul 2020'!P49),(($H$5-'Tariff Jul 2020'!P49)*'Tariff Jul 2020'!Q49/100),(('Tariff Jul 2020'!R49)*'Tariff Jul 2020'!Q49/100))),0)</f>
        <v>0</v>
      </c>
      <c r="F61" s="208">
        <f>IF(AND('Tariff Jul 2020'!Q49&gt;0,'Tariff Jul 2020'!S49&gt;0),IF($H$5&lt;('Tariff Jul 2020'!R49+'Tariff Jul 2020'!P49),0,IF($H$5&lt;=('Tariff Jul 2020'!T49+'Tariff Jul 2020'!R49+'Tariff Jul 2020'!P49),(($H$5-('Tariff Jul 2020'!R49+'Tariff Jul 2020'!P49))*'Tariff Jul 2020'!S49/100),('Tariff Jul 2020'!T49*'Tariff Jul 2020'!S49/100))),0)</f>
        <v>0</v>
      </c>
      <c r="G61" s="208">
        <f>IF('Tariff Jul 2020'!T49&gt;0,IF(($H$5&lt;'Tariff Jul 2020'!T49),(0),($H$5-'Tariff Jul 2020'!T49)*'Tariff Jul 2020'!U49/100),IF(AND('Tariff Jul 2020'!R49&gt;0,'Tariff Jul 2020'!T49=""),IF(($H$5&lt;'Tariff Jul 2020'!R49),(0),($H$5-'Tariff Jul 2020'!R49)*'Tariff Jul 2020'!S49/100),IF(AND('Tariff Jul 2020'!P49&gt;0,'Tariff Jul 2020'!R49=""),IF(($H$5&lt;'Tariff Jul 2020'!P49),(0),($H$5-'Tariff Jul 2020'!P49)*'Tariff Jul 2020'!Q49/100),0)))</f>
        <v>0</v>
      </c>
      <c r="H61" s="208">
        <f>($I$5)*'Tariff Jul 2020'!AE49/100</f>
        <v>33.694612363636359</v>
      </c>
      <c r="I61" s="208">
        <v>7</v>
      </c>
      <c r="J61" s="208">
        <f t="shared" si="36"/>
        <v>328.08421236363625</v>
      </c>
      <c r="K61" s="190">
        <f t="shared" si="37"/>
        <v>948.33684945454502</v>
      </c>
      <c r="L61" s="190">
        <f t="shared" si="38"/>
        <v>1312.336849454545</v>
      </c>
      <c r="M61" s="191">
        <f t="shared" si="39"/>
        <v>1443.5705343999996</v>
      </c>
      <c r="N61" s="187">
        <f>'Tariff Jul 2020'!AZ49</f>
        <v>0</v>
      </c>
      <c r="O61" s="187">
        <f>'Tariff Jul 2020'!BA49</f>
        <v>0</v>
      </c>
      <c r="P61" s="187">
        <f>'Tariff Jul 2020'!BB49</f>
        <v>0</v>
      </c>
      <c r="Q61" s="187">
        <f>'Tariff Jul 2020'!BC49</f>
        <v>0</v>
      </c>
      <c r="R61" s="192">
        <f>($F$6*'Tariff Jul 2020'!AT49/100)*4</f>
        <v>208.85759999999999</v>
      </c>
      <c r="S61" s="193" t="str">
        <f t="shared" si="40"/>
        <v>No discount</v>
      </c>
      <c r="T61" s="193" t="str">
        <f t="shared" si="41"/>
        <v>Exclusive</v>
      </c>
      <c r="U61" s="304">
        <f t="shared" si="42"/>
        <v>1312.336849454545</v>
      </c>
      <c r="V61" s="283">
        <f t="shared" si="43"/>
        <v>1312.336849454545</v>
      </c>
      <c r="W61" s="283">
        <f t="shared" si="44"/>
        <v>1103.479249454545</v>
      </c>
      <c r="X61" s="283">
        <f t="shared" si="45"/>
        <v>1103.479249454545</v>
      </c>
      <c r="Y61" s="285">
        <f t="shared" si="46"/>
        <v>1213.8271743999996</v>
      </c>
      <c r="Z61" s="285">
        <f t="shared" si="47"/>
        <v>1213.8271743999996</v>
      </c>
      <c r="AA61" s="194">
        <f>'Tariff Jul 2020'!AT48</f>
        <v>4.1100000000000003</v>
      </c>
      <c r="AB61" s="195">
        <f>'Tariff Jul 2020'!BL49</f>
        <v>0</v>
      </c>
      <c r="AC61" s="195" t="str">
        <f>'Tariff Jul 2020'!BM49</f>
        <v>n</v>
      </c>
      <c r="AD61" s="196">
        <f>'Tariff Jul 2020'!G49</f>
        <v>42551</v>
      </c>
    </row>
    <row r="62" spans="1:30" ht="15" thickBot="1" x14ac:dyDescent="0.2">
      <c r="A62" s="197" t="str">
        <f>'Tariff Jul 2020'!K50</f>
        <v>ReAmped Energy</v>
      </c>
      <c r="B62" s="198" t="str">
        <f>'Tariff Jul 2020'!L50</f>
        <v>Classic</v>
      </c>
      <c r="C62" s="209">
        <f>IF('Tariff Jul 2020'!BP50=0,91*'Tariff Jul 2020'!M50/100,(91*'Tariff Jul 2020'!M50/100)+'Tariff Jul 2020'!BP50/4)</f>
        <v>59.5595</v>
      </c>
      <c r="D62" s="209">
        <f>IF('Tariff Jul 2020'!O50="",$H$5*'Tariff Jul 2020'!N50/100,IF($H$5&gt;='Tariff Jul 2020'!P50,('Tariff Jul 2020'!P50*'Tariff Jul 2020'!N50/100),($H$5*'Tariff Jul 2020'!N50/100)))</f>
        <v>210.24399359999998</v>
      </c>
      <c r="E62" s="209">
        <f>IF(AND('Tariff Jul 2020'!P50&gt;0,'Tariff Jul 2020'!R50&gt;0),IF($H$5&lt;'Tariff Jul 2020'!P50,0,IF($H$5&lt;=('Tariff Jul 2020'!R50+'Tariff Jul 2020'!P50),(($H$5-'Tariff Jul 2020'!P50)*'Tariff Jul 2020'!Q50/100),(('Tariff Jul 2020'!R50)*'Tariff Jul 2020'!Q50/100))),0)</f>
        <v>0</v>
      </c>
      <c r="F62" s="209">
        <f>IF(AND('Tariff Jul 2020'!Q50&gt;0,'Tariff Jul 2020'!S50&gt;0),IF($H$5&lt;('Tariff Jul 2020'!R50+'Tariff Jul 2020'!P50),0,IF($H$5&lt;=('Tariff Jul 2020'!T50+'Tariff Jul 2020'!R50+'Tariff Jul 2020'!P50),(($H$5-('Tariff Jul 2020'!R50+'Tariff Jul 2020'!P50))*'Tariff Jul 2020'!S50/100),('Tariff Jul 2020'!T50*'Tariff Jul 2020'!S50/100))),0)</f>
        <v>0</v>
      </c>
      <c r="G62" s="209">
        <f>IF('Tariff Jul 2020'!T50&gt;0,IF(($H$5&lt;'Tariff Jul 2020'!T50),(0),($H$5-'Tariff Jul 2020'!T50)*'Tariff Jul 2020'!U50/100),IF(AND('Tariff Jul 2020'!R50&gt;0,'Tariff Jul 2020'!T50=""),IF(($H$5&lt;'Tariff Jul 2020'!R50),(0),($H$5-'Tariff Jul 2020'!R50)*'Tariff Jul 2020'!S50/100),IF(AND('Tariff Jul 2020'!P50&gt;0,'Tariff Jul 2020'!R50=""),IF(($H$5&lt;'Tariff Jul 2020'!P50),(0),($H$5-'Tariff Jul 2020'!P50)*'Tariff Jul 2020'!Q50/100),0)))</f>
        <v>0</v>
      </c>
      <c r="H62" s="209">
        <f>($I$5)*'Tariff Jul 2020'!AE50/100</f>
        <v>26.851814399999995</v>
      </c>
      <c r="I62" s="209">
        <v>8</v>
      </c>
      <c r="J62" s="209">
        <f t="shared" si="36"/>
        <v>304.65530799999999</v>
      </c>
      <c r="K62" s="201">
        <f t="shared" si="37"/>
        <v>980.38323199999991</v>
      </c>
      <c r="L62" s="201">
        <f t="shared" si="38"/>
        <v>1218.621232</v>
      </c>
      <c r="M62" s="202">
        <f t="shared" si="39"/>
        <v>1340.4833552</v>
      </c>
      <c r="N62" s="198">
        <f>'Tariff Jul 2020'!AZ50</f>
        <v>0</v>
      </c>
      <c r="O62" s="198">
        <f>'Tariff Jul 2020'!BA50</f>
        <v>0</v>
      </c>
      <c r="P62" s="198">
        <f>'Tariff Jul 2020'!BB50</f>
        <v>0</v>
      </c>
      <c r="Q62" s="198">
        <f>'Tariff Jul 2020'!BC50</f>
        <v>0</v>
      </c>
      <c r="R62" s="203">
        <f>($F$6*'Tariff Jul 2020'!AT50/100)*4</f>
        <v>182.75039999999998</v>
      </c>
      <c r="S62" s="204" t="str">
        <f t="shared" si="40"/>
        <v>No discount</v>
      </c>
      <c r="T62" s="204" t="str">
        <f t="shared" si="41"/>
        <v>Exclusive</v>
      </c>
      <c r="U62" s="305">
        <f t="shared" si="42"/>
        <v>1218.621232</v>
      </c>
      <c r="V62" s="284">
        <f t="shared" si="43"/>
        <v>1218.621232</v>
      </c>
      <c r="W62" s="284">
        <f t="shared" si="44"/>
        <v>1035.8708320000001</v>
      </c>
      <c r="X62" s="284">
        <f t="shared" si="45"/>
        <v>1035.8708320000001</v>
      </c>
      <c r="Y62" s="286">
        <f t="shared" si="46"/>
        <v>1139.4579152000001</v>
      </c>
      <c r="Z62" s="286">
        <f t="shared" si="47"/>
        <v>1139.4579152000001</v>
      </c>
      <c r="AA62" s="205">
        <f>'Tariff Jul 2020'!AT49</f>
        <v>8</v>
      </c>
      <c r="AB62" s="206">
        <f>'Tariff Jul 2020'!BL50</f>
        <v>0</v>
      </c>
      <c r="AC62" s="206" t="str">
        <f>'Tariff Jul 2020'!BM50</f>
        <v>n</v>
      </c>
      <c r="AD62" s="207">
        <f>'Tariff Jul 2020'!G50</f>
        <v>42587</v>
      </c>
    </row>
  </sheetData>
  <sheetProtection algorithmName="SHA-512" hashValue="bEiRuSrBkKwf+rSKo3rTgcGF8F3M/jpjJHgiKacmAtCAKb4IJ9QR/iTlxD6Xx901P8lQF4LINouo//NQonv/GQ==" saltValue="wkHeeRUdyr3uRr7w2F9j0A==" spinCount="100000" sheet="1" objects="1" scenarios="1"/>
  <dataValidations count="2">
    <dataValidation type="decimal" showInputMessage="1" showErrorMessage="1" errorTitle="Incorrect entry" error="Enter 1.5 or 3.0 only" sqref="C4" xr:uid="{756330A3-C087-2346-91CF-93A5FABE4F89}">
      <formula1>1.5</formula1>
      <formula2>3</formula2>
    </dataValidation>
    <dataValidation type="whole" showInputMessage="1" showErrorMessage="1" errorTitle="Incorrect number" error="Please enter quarterly consumption between 700-4000kWh" sqref="C5" xr:uid="{F2406818-1DB8-3B45-ABEE-06A005BDFBAB}">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14BD7-93CB-9247-84DE-CEC24EB64244}">
  <sheetPr codeName="Sheet3"/>
  <dimension ref="A1:AD62"/>
  <sheetViews>
    <sheetView zoomScale="90" zoomScaleNormal="90" workbookViewId="0">
      <selection activeCell="C4" sqref="C4:C5"/>
    </sheetView>
  </sheetViews>
  <sheetFormatPr baseColWidth="10" defaultRowHeight="14" x14ac:dyDescent="0.15"/>
  <cols>
    <col min="1" max="1" width="22" style="213" customWidth="1"/>
    <col min="2" max="2" width="26.33203125" style="213" customWidth="1"/>
    <col min="3" max="10" width="13.83203125" style="213" customWidth="1"/>
    <col min="11" max="12" width="13.83203125" style="213" hidden="1" customWidth="1"/>
    <col min="13" max="18" width="13.83203125" style="213" customWidth="1"/>
    <col min="19" max="24" width="13.83203125" style="213" hidden="1" customWidth="1"/>
    <col min="25" max="30" width="13.83203125" style="213" customWidth="1"/>
    <col min="31" max="16384" width="10.83203125" style="213"/>
  </cols>
  <sheetData>
    <row r="1" spans="1:30" x14ac:dyDescent="0.15">
      <c r="A1" s="213" t="s">
        <v>340</v>
      </c>
      <c r="K1" s="213">
        <v>3</v>
      </c>
    </row>
    <row r="2" spans="1:30" x14ac:dyDescent="0.15">
      <c r="A2" s="214" t="s">
        <v>153</v>
      </c>
    </row>
    <row r="3" spans="1:30" x14ac:dyDescent="0.15">
      <c r="A3" s="214"/>
    </row>
    <row r="4" spans="1:30" x14ac:dyDescent="0.15">
      <c r="A4" s="173" t="s">
        <v>341</v>
      </c>
      <c r="B4" s="174"/>
      <c r="C4" s="175">
        <v>1.5</v>
      </c>
      <c r="E4" s="176" t="s">
        <v>366</v>
      </c>
      <c r="F4" s="177">
        <f>IF(C4&lt;K1,(703),(1406))</f>
        <v>703</v>
      </c>
      <c r="G4" s="173"/>
      <c r="H4" s="178" t="s">
        <v>367</v>
      </c>
      <c r="I4" s="179" t="s">
        <v>368</v>
      </c>
    </row>
    <row r="5" spans="1:30" x14ac:dyDescent="0.15">
      <c r="A5" s="180" t="s">
        <v>369</v>
      </c>
      <c r="B5" s="181"/>
      <c r="C5" s="182">
        <v>1500</v>
      </c>
      <c r="E5" s="176" t="s">
        <v>370</v>
      </c>
      <c r="F5" s="183">
        <f>C5-(F4-F6)</f>
        <v>1009.306</v>
      </c>
      <c r="G5" s="180" t="s">
        <v>371</v>
      </c>
      <c r="H5" s="184">
        <f>F5*80/100</f>
        <v>807.4448000000001</v>
      </c>
      <c r="I5" s="185">
        <f>F5*20/100</f>
        <v>201.86120000000003</v>
      </c>
    </row>
    <row r="6" spans="1:30" x14ac:dyDescent="0.15">
      <c r="E6" s="210" t="s">
        <v>372</v>
      </c>
      <c r="F6" s="211">
        <f>IF(C4&lt;K1,(F4*30.2/100),(F4*56.8/100))</f>
        <v>212.30599999999998</v>
      </c>
    </row>
    <row r="7" spans="1:30" ht="15" thickBot="1" x14ac:dyDescent="0.2"/>
    <row r="8" spans="1:30" x14ac:dyDescent="0.15">
      <c r="A8" s="266" t="s">
        <v>356</v>
      </c>
      <c r="B8" s="267"/>
      <c r="C8" s="267"/>
      <c r="D8" s="267"/>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8"/>
    </row>
    <row r="9" spans="1:30" ht="90" x14ac:dyDescent="0.15">
      <c r="A9" s="271" t="s">
        <v>231</v>
      </c>
      <c r="B9" s="272" t="s">
        <v>243</v>
      </c>
      <c r="C9" s="279" t="s">
        <v>244</v>
      </c>
      <c r="D9" s="279" t="s">
        <v>227</v>
      </c>
      <c r="E9" s="279" t="s">
        <v>357</v>
      </c>
      <c r="F9" s="279" t="s">
        <v>358</v>
      </c>
      <c r="G9" s="279" t="s">
        <v>321</v>
      </c>
      <c r="H9" s="279" t="s">
        <v>328</v>
      </c>
      <c r="I9" s="279" t="s">
        <v>329</v>
      </c>
      <c r="J9" s="273" t="s">
        <v>799</v>
      </c>
      <c r="K9" s="280" t="s">
        <v>246</v>
      </c>
      <c r="L9" s="280" t="s">
        <v>247</v>
      </c>
      <c r="M9" s="274" t="s">
        <v>636</v>
      </c>
      <c r="N9" s="275" t="s">
        <v>249</v>
      </c>
      <c r="O9" s="275" t="s">
        <v>250</v>
      </c>
      <c r="P9" s="275" t="s">
        <v>251</v>
      </c>
      <c r="Q9" s="275" t="s">
        <v>365</v>
      </c>
      <c r="R9" s="276" t="s">
        <v>373</v>
      </c>
      <c r="S9" s="281" t="s">
        <v>637</v>
      </c>
      <c r="T9" s="281" t="s">
        <v>638</v>
      </c>
      <c r="U9" s="282" t="s">
        <v>255</v>
      </c>
      <c r="V9" s="282" t="s">
        <v>224</v>
      </c>
      <c r="W9" s="282" t="s">
        <v>374</v>
      </c>
      <c r="X9" s="282" t="s">
        <v>375</v>
      </c>
      <c r="Y9" s="276" t="s">
        <v>376</v>
      </c>
      <c r="Z9" s="276" t="s">
        <v>436</v>
      </c>
      <c r="AA9" s="275" t="s">
        <v>155</v>
      </c>
      <c r="AB9" s="275" t="s">
        <v>225</v>
      </c>
      <c r="AC9" s="275" t="s">
        <v>226</v>
      </c>
      <c r="AD9" s="277" t="s">
        <v>221</v>
      </c>
    </row>
    <row r="10" spans="1:30" x14ac:dyDescent="0.15">
      <c r="A10" s="186" t="str">
        <f>'Tariff Jul 2020'!K2</f>
        <v>AGL</v>
      </c>
      <c r="B10" s="187" t="str">
        <f>'Tariff Jul 2020'!L2</f>
        <v>Solar Savers</v>
      </c>
      <c r="C10" s="188">
        <f>IF('Tariff Jul 2020'!BP2=0,91*'Tariff Jul 2020'!M2/100,(91*'Tariff Jul 2020'!M2/100)+'Tariff Jul 2020'!BP2/4)</f>
        <v>73.709999999999994</v>
      </c>
      <c r="D10" s="188">
        <f>IF('Tariff Jul 2020'!O2="",$F$5*'Tariff Jul 2020'!N2/100,IF($F$5&gt;='Tariff Jul 2020'!P2,('Tariff Jul 2020'!P2*'Tariff Jul 2020'!N2/100),($F$5*'Tariff Jul 2020'!N2/100)))</f>
        <v>370.50705709090914</v>
      </c>
      <c r="E10" s="188">
        <f>IF(AND('Tariff Jul 2020'!P2&gt;0,'Tariff Jul 2020'!R2&gt;0),IF($F$5&lt;'Tariff Jul 2020'!P2,0,IF($F$5&lt;=('Tariff Jul 2020'!R2+'Tariff Jul 2020'!P2),(($F$5-'Tariff Jul 2020'!P2)*'Tariff Jul 2020'!Q2/100),(('Tariff Jul 2020'!R2)*'Tariff Jul 2020'!Q2/100))),0)</f>
        <v>0</v>
      </c>
      <c r="F10" s="189">
        <f>IF(AND('Tariff Jul 2020'!Q2&gt;0,'Tariff Jul 2020'!S2&gt;0),IF($F$5&lt;('Tariff Jul 2020'!R2+'Tariff Jul 2020'!P2),0,IF($F$5&lt;=('Tariff Jul 2020'!T2+'Tariff Jul 2020'!R2+'Tariff Jul 2020'!P2),(($F$5-('Tariff Jul 2020'!R2+'Tariff Jul 2020'!P2))*'Tariff Jul 2020'!S2/100),('Tariff Jul 2020'!T2*'Tariff Jul 2020'!S2/100))),0)</f>
        <v>0</v>
      </c>
      <c r="G10" s="188">
        <v>0</v>
      </c>
      <c r="H10" s="188">
        <v>0</v>
      </c>
      <c r="I10" s="189">
        <f>IF('Tariff Jul 2020'!T2&gt;0,IF(($F$5&lt;'Tariff Jul 2020'!T2),(0),($F$5-'Tariff Jul 2020'!T2)*'Tariff Jul 2020'!U2/100),IF(AND('Tariff Jul 2020'!R2&gt;0,'Tariff Jul 2020'!T2=""),IF(($F$5&lt;'Tariff Jul 2020'!R2),(0),($F$5-'Tariff Jul 2020'!R2)*'Tariff Jul 2020'!S2/100),IF(AND('Tariff Jul 2020'!P2&gt;0,'Tariff Jul 2020'!R2=""),IF(($F$5&lt;'Tariff Jul 2020'!P2),(0),($F$5-'Tariff Jul 2020'!P2)*'Tariff Jul 2020'!Q2/100),0)))</f>
        <v>0</v>
      </c>
      <c r="J10" s="188">
        <f>SUM(C10:I10)</f>
        <v>444.21705709090912</v>
      </c>
      <c r="K10" s="283">
        <f>(J10-C10)*4</f>
        <v>1482.0282283636366</v>
      </c>
      <c r="L10" s="283">
        <f>J10*4</f>
        <v>1776.8682283636365</v>
      </c>
      <c r="M10" s="191">
        <f>L10*1.1</f>
        <v>1954.5550512000002</v>
      </c>
      <c r="N10" s="187">
        <f>'Tariff Jul 2020'!AZ2</f>
        <v>0</v>
      </c>
      <c r="O10" s="187">
        <f>'Tariff Jul 2020'!BA2</f>
        <v>0</v>
      </c>
      <c r="P10" s="187">
        <f>'Tariff Jul 2020'!BB2</f>
        <v>0</v>
      </c>
      <c r="Q10" s="187">
        <f>'Tariff Jul 2020'!BC2</f>
        <v>0</v>
      </c>
      <c r="R10" s="192">
        <f>($F$6*'Tariff Jul 2020'!AT2/100)*4</f>
        <v>152.86032</v>
      </c>
      <c r="S10" s="193" t="str">
        <f>IF(SUM(N10:Q10)=0,"No discount",IF(N10&gt;0,"Guaranteed off bill",IF(O10&gt;0,"Guaranteed off usage",IF(P10&gt;0,"Pay-on-time off bill","Pay-on-time off usage"))))</f>
        <v>No discount</v>
      </c>
      <c r="T10" s="193" t="str">
        <f>IF(OR(A10="Origin Energy",A10="Red Energy",A10="Powershop"),"Inclusive","Exclusive")</f>
        <v>Exclusive</v>
      </c>
      <c r="U10" s="304">
        <f>IF(AND(S10="Guaranteed off bill",T10="Inclusive"),((L10*1.1)-((L10*1.1)*N10/100))/1.1,IF(AND(S10="Guaranteed off usage",T10="Inclusive"),((L10*1.1)-((K10*1.1)*O10/100))/1.1,IF(AND(S10="Guaranteed off bill",T10="Exclusive"),L10-(L10*N10/100),IF(AND(S10="Guaranteed off usage",T10="Exclusive"),L10-(K10*O10/100),IF(T10="Inclusive",((L10*1.1))/1.1,L10)))))</f>
        <v>1776.8682283636365</v>
      </c>
      <c r="V10" s="283">
        <f>IF(AND(S10="Pay-on-time off bill",T10="Inclusive"),((U10*1.1)-((U10*1.1)*P10/100))/1.1,IF(AND(S10="Pay-on-time off usage",T10="Inclusive"),((U10*1.1)-((K10*1.1)*Q10/100))/1.1,IF(AND(S10="Pay-on-time off bill",T10="Exclusive"),U10-(U10*P10/100),IF(AND(S10="Pay-on-time off usage",T10="Exclusive"),U10-(K10*Q10/100),IF(T10="Inclusive",((U10*1.1))/1.1,U10)))))</f>
        <v>1776.8682283636365</v>
      </c>
      <c r="W10" s="283">
        <f t="shared" ref="W10:W27" si="0">U10-R10</f>
        <v>1624.0079083636365</v>
      </c>
      <c r="X10" s="283">
        <f t="shared" ref="X10:X27" si="1">V10-R10</f>
        <v>1624.0079083636365</v>
      </c>
      <c r="Y10" s="285">
        <f t="shared" ref="Y10:Z25" si="2">W10*1.1</f>
        <v>1786.4086992000002</v>
      </c>
      <c r="Z10" s="285">
        <f t="shared" si="2"/>
        <v>1786.4086992000002</v>
      </c>
      <c r="AA10" s="194">
        <f>'Tariff Jul 2020'!AT2</f>
        <v>18</v>
      </c>
      <c r="AB10" s="195">
        <f>'Tariff Jul 2020'!BL2</f>
        <v>0</v>
      </c>
      <c r="AC10" s="195" t="str">
        <f>'Tariff Jul 2020'!BM2</f>
        <v>n</v>
      </c>
      <c r="AD10" s="196">
        <f>'Tariff Jul 2020'!G2</f>
        <v>42551</v>
      </c>
    </row>
    <row r="11" spans="1:30" x14ac:dyDescent="0.15">
      <c r="A11" s="186" t="str">
        <f>'Tariff Jul 2020'!K3</f>
        <v>Alinta Energy</v>
      </c>
      <c r="B11" s="187" t="str">
        <f>'Tariff Jul 2020'!L3</f>
        <v>No fuss</v>
      </c>
      <c r="C11" s="188">
        <f>IF('Tariff Jul 2020'!BP3=0,91*'Tariff Jul 2020'!M3/100,(91*'Tariff Jul 2020'!M3/100)+'Tariff Jul 2020'!BP3/4)</f>
        <v>75.53</v>
      </c>
      <c r="D11" s="188">
        <f>IF('Tariff Jul 2020'!O3="",$F$5*'Tariff Jul 2020'!N3/100,IF($F$5&gt;='Tariff Jul 2020'!P3,('Tariff Jul 2020'!P3*'Tariff Jul 2020'!N3/100),($F$5*'Tariff Jul 2020'!N3/100)))</f>
        <v>90.463636363636354</v>
      </c>
      <c r="E11" s="188">
        <f>IF(AND('Tariff Jul 2020'!P3&gt;0,'Tariff Jul 2020'!R3&gt;0),IF($F$5&lt;'Tariff Jul 2020'!P3,0,IF($F$5&lt;=('Tariff Jul 2020'!R3+'Tariff Jul 2020'!P3),(($F$5-'Tariff Jul 2020'!P3)*'Tariff Jul 2020'!Q3/100),(('Tariff Jul 2020'!R3)*'Tariff Jul 2020'!Q3/100))),0)</f>
        <v>0</v>
      </c>
      <c r="F11" s="189">
        <f>IF(AND('Tariff Jul 2020'!Q3&gt;0,'Tariff Jul 2020'!S3&gt;0),IF($F$5&lt;('Tariff Jul 2020'!R3+'Tariff Jul 2020'!P3),0,IF($F$5&lt;=('Tariff Jul 2020'!T3+'Tariff Jul 2020'!R3+'Tariff Jul 2020'!P3),(($F$5-('Tariff Jul 2020'!R3+'Tariff Jul 2020'!P3))*'Tariff Jul 2020'!S3/100),('Tariff Jul 2020'!T3*'Tariff Jul 2020'!S3/100))),0)</f>
        <v>0</v>
      </c>
      <c r="G11" s="188">
        <v>0</v>
      </c>
      <c r="H11" s="188">
        <v>0</v>
      </c>
      <c r="I11" s="189">
        <f>IF('Tariff Jul 2020'!T3&gt;0,IF(($F$5&lt;'Tariff Jul 2020'!T3),(0),($F$5-'Tariff Jul 2020'!T3)*'Tariff Jul 2020'!U3/100),IF(AND('Tariff Jul 2020'!R3&gt;0,'Tariff Jul 2020'!T3=""),IF(($F$5&lt;'Tariff Jul 2020'!R3),(0),($F$5-'Tariff Jul 2020'!R3)*'Tariff Jul 2020'!S3/100),IF(AND('Tariff Jul 2020'!P3&gt;0,'Tariff Jul 2020'!R3=""),IF(($F$5&lt;'Tariff Jul 2020'!P3),(0),($F$5-'Tariff Jul 2020'!P3)*'Tariff Jul 2020'!Q3/100),0)))</f>
        <v>238.26233363636365</v>
      </c>
      <c r="J11" s="188">
        <f t="shared" ref="J11:J27" si="3">SUM(C11:I11)</f>
        <v>404.25597000000005</v>
      </c>
      <c r="K11" s="283">
        <f>(J11-C11)*4</f>
        <v>1314.9038800000003</v>
      </c>
      <c r="L11" s="283">
        <f t="shared" ref="L11:L27" si="4">J11*4</f>
        <v>1617.0238800000002</v>
      </c>
      <c r="M11" s="191">
        <f t="shared" ref="M11:M27" si="5">L11*1.1</f>
        <v>1778.7262680000003</v>
      </c>
      <c r="N11" s="187">
        <f>'Tariff Jul 2020'!AZ3</f>
        <v>0</v>
      </c>
      <c r="O11" s="187">
        <f>'Tariff Jul 2020'!BA3</f>
        <v>0</v>
      </c>
      <c r="P11" s="187">
        <f>'Tariff Jul 2020'!BB3</f>
        <v>0</v>
      </c>
      <c r="Q11" s="187">
        <f>'Tariff Jul 2020'!BC3</f>
        <v>0</v>
      </c>
      <c r="R11" s="192">
        <f>($F$6*'Tariff Jul 2020'!AT3/100)*4</f>
        <v>80.676279999999991</v>
      </c>
      <c r="S11" s="193" t="str">
        <f t="shared" ref="S11:S27" si="6">IF(SUM(N11:Q11)=0,"No discount",IF(N11&gt;0,"Guaranteed off bill",IF(O11&gt;0,"Guaranteed off usage",IF(P11&gt;0,"Pay-on-time off bill","Pay-on-time off usage"))))</f>
        <v>No discount</v>
      </c>
      <c r="T11" s="193" t="str">
        <f t="shared" ref="T11:T27" si="7">IF(OR(A11="Origin Energy",A11="Red Energy",A11="Powershop"),"Inclusive","Exclusive")</f>
        <v>Exclusive</v>
      </c>
      <c r="U11" s="304">
        <f t="shared" ref="U11:U27" si="8">IF(AND(S11="Guaranteed off bill",T11="Inclusive"),((L11*1.1)-((L11*1.1)*N11/100))/1.1,IF(AND(S11="Guaranteed off usage",T11="Inclusive"),((L11*1.1)-((K11*1.1)*O11/100))/1.1,IF(AND(S11="Guaranteed off bill",T11="Exclusive"),L11-(L11*N11/100),IF(AND(S11="Guaranteed off usage",T11="Exclusive"),L11-(K11*O11/100),IF(T11="Inclusive",((L11*1.1))/1.1,L11)))))</f>
        <v>1617.0238800000002</v>
      </c>
      <c r="V11" s="283">
        <f t="shared" ref="V11:V27" si="9">IF(AND(S11="Pay-on-time off bill",T11="Inclusive"),((U11*1.1)-((U11*1.1)*P11/100))/1.1,IF(AND(S11="Pay-on-time off usage",T11="Inclusive"),((U11*1.1)-((K11*1.1)*Q11/100))/1.1,IF(AND(S11="Pay-on-time off bill",T11="Exclusive"),U11-(U11*P11/100),IF(AND(S11="Pay-on-time off usage",T11="Exclusive"),U11-(K11*Q11/100),IF(T11="Inclusive",((U11*1.1))/1.1,U11)))))</f>
        <v>1617.0238800000002</v>
      </c>
      <c r="W11" s="283">
        <f t="shared" si="0"/>
        <v>1536.3476000000003</v>
      </c>
      <c r="X11" s="283">
        <f t="shared" si="1"/>
        <v>1536.3476000000003</v>
      </c>
      <c r="Y11" s="285">
        <f t="shared" si="2"/>
        <v>1689.9823600000004</v>
      </c>
      <c r="Z11" s="285">
        <f t="shared" si="2"/>
        <v>1689.9823600000004</v>
      </c>
      <c r="AA11" s="194">
        <f>'Tariff Jul 2020'!AT3</f>
        <v>9.5</v>
      </c>
      <c r="AB11" s="195">
        <f>'Tariff Jul 2020'!BL3</f>
        <v>0</v>
      </c>
      <c r="AC11" s="195" t="str">
        <f>'Tariff Jul 2020'!BM3</f>
        <v>n</v>
      </c>
      <c r="AD11" s="196">
        <f>'Tariff Jul 2020'!G3</f>
        <v>42567</v>
      </c>
    </row>
    <row r="12" spans="1:30" x14ac:dyDescent="0.15">
      <c r="A12" s="186" t="str">
        <f>'Tariff Jul 2020'!K4</f>
        <v>Click Energy</v>
      </c>
      <c r="B12" s="187" t="str">
        <f>'Tariff Jul 2020'!L4</f>
        <v>Flora Solar</v>
      </c>
      <c r="C12" s="188">
        <f>IF('Tariff Jul 2020'!BP4=0,91*'Tariff Jul 2020'!M4/100,(91*'Tariff Jul 2020'!M4/100)+'Tariff Jul 2020'!BP4/4)</f>
        <v>84.084000000000003</v>
      </c>
      <c r="D12" s="188">
        <f>IF('Tariff Jul 2020'!O4="",$F$5*'Tariff Jul 2020'!N4/100,IF($F$5&gt;='Tariff Jul 2020'!P4,('Tariff Jul 2020'!P4*'Tariff Jul 2020'!N4/100),($F$5*'Tariff Jul 2020'!N4/100)))</f>
        <v>335.08959200000004</v>
      </c>
      <c r="E12" s="188">
        <f>IF(AND('Tariff Jul 2020'!P4&gt;0,'Tariff Jul 2020'!R4&gt;0),IF($F$5&lt;'Tariff Jul 2020'!P4,0,IF($F$5&lt;=('Tariff Jul 2020'!R4+'Tariff Jul 2020'!P4),(($F$5-'Tariff Jul 2020'!P4)*'Tariff Jul 2020'!Q4/100),(('Tariff Jul 2020'!R4)*'Tariff Jul 2020'!Q4/100))),0)</f>
        <v>0</v>
      </c>
      <c r="F12" s="189">
        <f>IF(AND('Tariff Jul 2020'!Q4&gt;0,'Tariff Jul 2020'!S4&gt;0),IF($F$5&lt;('Tariff Jul 2020'!R4+'Tariff Jul 2020'!P4),0,IF($F$5&lt;=('Tariff Jul 2020'!T4+'Tariff Jul 2020'!R4+'Tariff Jul 2020'!P4),(($F$5-('Tariff Jul 2020'!R4+'Tariff Jul 2020'!P4))*'Tariff Jul 2020'!S4/100),('Tariff Jul 2020'!T4*'Tariff Jul 2020'!S4/100))),0)</f>
        <v>0</v>
      </c>
      <c r="G12" s="188">
        <v>0</v>
      </c>
      <c r="H12" s="188">
        <v>0</v>
      </c>
      <c r="I12" s="189">
        <f>IF('Tariff Jul 2020'!T4&gt;0,IF(($F$5&lt;'Tariff Jul 2020'!T4),(0),($F$5-'Tariff Jul 2020'!T4)*'Tariff Jul 2020'!U4/100),IF(AND('Tariff Jul 2020'!R4&gt;0,'Tariff Jul 2020'!T4=""),IF(($F$5&lt;'Tariff Jul 2020'!R4),(0),($F$5-'Tariff Jul 2020'!R4)*'Tariff Jul 2020'!S4/100),IF(AND('Tariff Jul 2020'!P4&gt;0,'Tariff Jul 2020'!R4=""),IF(($F$5&lt;'Tariff Jul 2020'!P4),(0),($F$5-'Tariff Jul 2020'!P4)*'Tariff Jul 2020'!Q4/100),0)))</f>
        <v>0</v>
      </c>
      <c r="J12" s="188">
        <f t="shared" si="3"/>
        <v>419.17359200000004</v>
      </c>
      <c r="K12" s="283">
        <f t="shared" ref="K12:K27" si="10">(J12-C12)*4</f>
        <v>1340.3583680000002</v>
      </c>
      <c r="L12" s="283">
        <f t="shared" si="4"/>
        <v>1676.6943680000002</v>
      </c>
      <c r="M12" s="191">
        <f t="shared" si="5"/>
        <v>1844.3638048000003</v>
      </c>
      <c r="N12" s="187">
        <f>'Tariff Jul 2020'!AZ4</f>
        <v>0</v>
      </c>
      <c r="O12" s="187">
        <f>'Tariff Jul 2020'!BA4</f>
        <v>0</v>
      </c>
      <c r="P12" s="187">
        <f>'Tariff Jul 2020'!BB4</f>
        <v>0</v>
      </c>
      <c r="Q12" s="187">
        <f>'Tariff Jul 2020'!BC4</f>
        <v>0</v>
      </c>
      <c r="R12" s="192">
        <f>($F$6*'Tariff Jul 2020'!AT4/100)*4</f>
        <v>144.36807999999999</v>
      </c>
      <c r="S12" s="193" t="str">
        <f t="shared" si="6"/>
        <v>No discount</v>
      </c>
      <c r="T12" s="193" t="str">
        <f t="shared" si="7"/>
        <v>Exclusive</v>
      </c>
      <c r="U12" s="304">
        <f t="shared" si="8"/>
        <v>1676.6943680000002</v>
      </c>
      <c r="V12" s="283">
        <f t="shared" si="9"/>
        <v>1676.6943680000002</v>
      </c>
      <c r="W12" s="283">
        <f t="shared" si="0"/>
        <v>1532.3262880000002</v>
      </c>
      <c r="X12" s="283">
        <f t="shared" si="1"/>
        <v>1532.3262880000002</v>
      </c>
      <c r="Y12" s="285">
        <f t="shared" si="2"/>
        <v>1685.5589168000004</v>
      </c>
      <c r="Z12" s="285">
        <f t="shared" si="2"/>
        <v>1685.5589168000004</v>
      </c>
      <c r="AA12" s="194">
        <f>'Tariff Jul 2020'!AT4</f>
        <v>17</v>
      </c>
      <c r="AB12" s="195">
        <f>'Tariff Jul 2020'!BL4</f>
        <v>0</v>
      </c>
      <c r="AC12" s="195" t="str">
        <f>'Tariff Jul 2020'!BM4</f>
        <v>n</v>
      </c>
      <c r="AD12" s="196">
        <f>'Tariff Jul 2020'!G4</f>
        <v>42551</v>
      </c>
    </row>
    <row r="13" spans="1:30" x14ac:dyDescent="0.15">
      <c r="A13" s="186" t="str">
        <f>'Tariff Jul 2020'!K5</f>
        <v>Commander</v>
      </c>
      <c r="B13" s="187" t="str">
        <f>'Tariff Jul 2020'!L5</f>
        <v>Market offer</v>
      </c>
      <c r="C13" s="188">
        <f>IF('Tariff Jul 2020'!BP5=0,91*'Tariff Jul 2020'!M5/100,(91*'Tariff Jul 2020'!M5/100)+'Tariff Jul 2020'!BP5/4)</f>
        <v>80.808000000000007</v>
      </c>
      <c r="D13" s="188">
        <f>IF('Tariff Jul 2020'!O5="",$F$5*'Tariff Jul 2020'!N5/100,IF($F$5&gt;='Tariff Jul 2020'!P5,('Tariff Jul 2020'!P5*'Tariff Jul 2020'!N5/100),($F$5*'Tariff Jul 2020'!N5/100)))</f>
        <v>324.09090909090907</v>
      </c>
      <c r="E13" s="188">
        <f>IF(AND('Tariff Jul 2020'!P5&gt;0,'Tariff Jul 2020'!R5&gt;0),IF($F$5&lt;'Tariff Jul 2020'!P5,0,IF($F$5&lt;=('Tariff Jul 2020'!R5+'Tariff Jul 2020'!P5),(($F$5-'Tariff Jul 2020'!P5)*'Tariff Jul 2020'!Q5/100),(('Tariff Jul 2020'!R5)*'Tariff Jul 2020'!Q5/100))),0)</f>
        <v>0</v>
      </c>
      <c r="F13" s="189">
        <f>IF(AND('Tariff Jul 2020'!Q5&gt;0,'Tariff Jul 2020'!S5&gt;0),IF($F$5&lt;('Tariff Jul 2020'!R5+'Tariff Jul 2020'!P5),0,IF($F$5&lt;=('Tariff Jul 2020'!T5+'Tariff Jul 2020'!R5+'Tariff Jul 2020'!P5),(($F$5-('Tariff Jul 2020'!R5+'Tariff Jul 2020'!P5))*'Tariff Jul 2020'!S5/100),('Tariff Jul 2020'!T5*'Tariff Jul 2020'!S5/100))),0)</f>
        <v>0</v>
      </c>
      <c r="G13" s="188">
        <v>0</v>
      </c>
      <c r="H13" s="188">
        <v>0</v>
      </c>
      <c r="I13" s="189">
        <f>IF('Tariff Jul 2020'!T5&gt;0,IF(($F$5&lt;'Tariff Jul 2020'!T5),(0),($F$5-'Tariff Jul 2020'!T5)*'Tariff Jul 2020'!U5/100),IF(AND('Tariff Jul 2020'!R5&gt;0,'Tariff Jul 2020'!T5=""),IF(($F$5&lt;'Tariff Jul 2020'!R5),(0),($F$5-'Tariff Jul 2020'!R5)*'Tariff Jul 2020'!S5/100),IF(AND('Tariff Jul 2020'!P5&gt;0,'Tariff Jul 2020'!R5=""),IF(($F$5&lt;'Tariff Jul 2020'!P5),(0),($F$5-'Tariff Jul 2020'!P5)*'Tariff Jul 2020'!Q5/100),0)))</f>
        <v>3.0946680000000129</v>
      </c>
      <c r="J13" s="188">
        <f t="shared" si="3"/>
        <v>407.99357709090907</v>
      </c>
      <c r="K13" s="283">
        <f t="shared" si="10"/>
        <v>1308.7423083636363</v>
      </c>
      <c r="L13" s="283">
        <f t="shared" si="4"/>
        <v>1631.9743083636363</v>
      </c>
      <c r="M13" s="191">
        <f t="shared" si="5"/>
        <v>1795.1717392</v>
      </c>
      <c r="N13" s="187">
        <f>'Tariff Jul 2020'!AZ5</f>
        <v>0</v>
      </c>
      <c r="O13" s="187">
        <f>'Tariff Jul 2020'!BA5</f>
        <v>0</v>
      </c>
      <c r="P13" s="187">
        <f>'Tariff Jul 2020'!BB5</f>
        <v>0</v>
      </c>
      <c r="Q13" s="187">
        <f>'Tariff Jul 2020'!BC5</f>
        <v>0</v>
      </c>
      <c r="R13" s="192">
        <f>($F$6*'Tariff Jul 2020'!AT5/100)*4</f>
        <v>98.509983999999989</v>
      </c>
      <c r="S13" s="193" t="str">
        <f t="shared" si="6"/>
        <v>No discount</v>
      </c>
      <c r="T13" s="193" t="str">
        <f t="shared" si="7"/>
        <v>Exclusive</v>
      </c>
      <c r="U13" s="304">
        <f t="shared" si="8"/>
        <v>1631.9743083636363</v>
      </c>
      <c r="V13" s="283">
        <f t="shared" si="9"/>
        <v>1631.9743083636363</v>
      </c>
      <c r="W13" s="283">
        <f t="shared" si="0"/>
        <v>1533.4643243636363</v>
      </c>
      <c r="X13" s="283">
        <f t="shared" si="1"/>
        <v>1533.4643243636363</v>
      </c>
      <c r="Y13" s="285">
        <f t="shared" si="2"/>
        <v>1686.8107568</v>
      </c>
      <c r="Z13" s="285">
        <f t="shared" si="2"/>
        <v>1686.8107568</v>
      </c>
      <c r="AA13" s="194">
        <f>'Tariff Jul 2020'!AT5</f>
        <v>11.6</v>
      </c>
      <c r="AB13" s="195">
        <f>'Tariff Jul 2020'!BL5</f>
        <v>0</v>
      </c>
      <c r="AC13" s="195" t="str">
        <f>'Tariff Jul 2020'!BM5</f>
        <v>n</v>
      </c>
      <c r="AD13" s="196">
        <f>'Tariff Jul 2020'!G5</f>
        <v>42551</v>
      </c>
    </row>
    <row r="14" spans="1:30" x14ac:dyDescent="0.15">
      <c r="A14" s="186" t="str">
        <f>'Tariff Jul 2020'!K6</f>
        <v>Diamond Energy</v>
      </c>
      <c r="B14" s="187" t="str">
        <f>'Tariff Jul 2020'!L6</f>
        <v>Renewable Saver POT</v>
      </c>
      <c r="C14" s="188">
        <f>IF('Tariff Jul 2020'!BP6=0,91*'Tariff Jul 2020'!M6/100,(91*'Tariff Jul 2020'!M6/100)+'Tariff Jul 2020'!BP6/4)</f>
        <v>79.124499999999998</v>
      </c>
      <c r="D14" s="188">
        <f>IF('Tariff Jul 2020'!O6="",$F$5*'Tariff Jul 2020'!N6/100,IF($F$5&gt;='Tariff Jul 2020'!P6,('Tariff Jul 2020'!P6*'Tariff Jul 2020'!N6/100),($F$5*'Tariff Jul 2020'!N6/100)))</f>
        <v>99.78</v>
      </c>
      <c r="E14" s="188">
        <f>IF(AND('Tariff Jul 2020'!P6&gt;0,'Tariff Jul 2020'!R6&gt;0),IF($F$5&lt;'Tariff Jul 2020'!P6,0,IF($F$5&lt;=('Tariff Jul 2020'!R6+'Tariff Jul 2020'!P6),(($F$5-'Tariff Jul 2020'!P6)*'Tariff Jul 2020'!Q6/100),(('Tariff Jul 2020'!R6)*'Tariff Jul 2020'!Q6/100))),0)</f>
        <v>251.23</v>
      </c>
      <c r="F14" s="189">
        <f>IF(AND('Tariff Jul 2020'!Q6&gt;0,'Tariff Jul 2020'!S6&gt;0),IF($F$5&lt;('Tariff Jul 2020'!R6+'Tariff Jul 2020'!P6),0,IF($F$5&lt;=('Tariff Jul 2020'!T6+'Tariff Jul 2020'!R6+'Tariff Jul 2020'!P6),(($F$5-('Tariff Jul 2020'!R6+'Tariff Jul 2020'!P6))*'Tariff Jul 2020'!S6/100),('Tariff Jul 2020'!T6*'Tariff Jul 2020'!S6/100))),0)</f>
        <v>3.6246870000000162</v>
      </c>
      <c r="G14" s="188">
        <v>0</v>
      </c>
      <c r="H14" s="188">
        <v>0</v>
      </c>
      <c r="I14" s="189">
        <f>IF('Tariff Jul 2020'!T6&gt;0,IF(($F$5&lt;'Tariff Jul 2020'!T6),(0),($F$5-'Tariff Jul 2020'!T6)*'Tariff Jul 2020'!U6/100),IF(AND('Tariff Jul 2020'!R6&gt;0,'Tariff Jul 2020'!T6=""),IF(($F$5&lt;'Tariff Jul 2020'!R6),(0),($F$5-'Tariff Jul 2020'!R6)*'Tariff Jul 2020'!S6/100),IF(AND('Tariff Jul 2020'!P6&gt;0,'Tariff Jul 2020'!R6=""),IF(($F$5&lt;'Tariff Jul 2020'!P6),(0),($F$5-'Tariff Jul 2020'!P6)*'Tariff Jul 2020'!Q6/100),0)))</f>
        <v>0</v>
      </c>
      <c r="J14" s="188">
        <f t="shared" si="3"/>
        <v>433.759187</v>
      </c>
      <c r="K14" s="283">
        <f t="shared" si="10"/>
        <v>1418.5387479999999</v>
      </c>
      <c r="L14" s="283">
        <f t="shared" si="4"/>
        <v>1735.036748</v>
      </c>
      <c r="M14" s="191">
        <f t="shared" si="5"/>
        <v>1908.5404228000002</v>
      </c>
      <c r="N14" s="187">
        <f>'Tariff Jul 2020'!AZ6</f>
        <v>0</v>
      </c>
      <c r="O14" s="187">
        <f>'Tariff Jul 2020'!BA6</f>
        <v>0</v>
      </c>
      <c r="P14" s="187">
        <f>'Tariff Jul 2020'!BB6</f>
        <v>7</v>
      </c>
      <c r="Q14" s="187">
        <f>'Tariff Jul 2020'!BC6</f>
        <v>0</v>
      </c>
      <c r="R14" s="192">
        <f>($F$6*'Tariff Jul 2020'!AT6/100)*4</f>
        <v>101.90687999999999</v>
      </c>
      <c r="S14" s="193" t="str">
        <f t="shared" si="6"/>
        <v>Pay-on-time off bill</v>
      </c>
      <c r="T14" s="193" t="str">
        <f t="shared" si="7"/>
        <v>Exclusive</v>
      </c>
      <c r="U14" s="304">
        <f t="shared" si="8"/>
        <v>1735.036748</v>
      </c>
      <c r="V14" s="283">
        <f t="shared" si="9"/>
        <v>1613.58417564</v>
      </c>
      <c r="W14" s="283">
        <f t="shared" si="0"/>
        <v>1633.129868</v>
      </c>
      <c r="X14" s="283">
        <f t="shared" si="1"/>
        <v>1511.67729564</v>
      </c>
      <c r="Y14" s="285">
        <f t="shared" si="2"/>
        <v>1796.4428548000001</v>
      </c>
      <c r="Z14" s="285">
        <f t="shared" si="2"/>
        <v>1662.8450252040002</v>
      </c>
      <c r="AA14" s="194">
        <f>'Tariff Jul 2020'!AT6</f>
        <v>12</v>
      </c>
      <c r="AB14" s="195">
        <f>'Tariff Jul 2020'!BL6</f>
        <v>0</v>
      </c>
      <c r="AC14" s="195" t="str">
        <f>'Tariff Jul 2020'!BM6</f>
        <v>n</v>
      </c>
      <c r="AD14" s="196">
        <f>'Tariff Jul 2020'!G6</f>
        <v>42494</v>
      </c>
    </row>
    <row r="15" spans="1:30" x14ac:dyDescent="0.15">
      <c r="A15" s="186" t="str">
        <f>'Tariff Jul 2020'!K7</f>
        <v>Dodo Power &amp; Gas</v>
      </c>
      <c r="B15" s="187" t="str">
        <f>'Tariff Jul 2020'!L7</f>
        <v>Market offer</v>
      </c>
      <c r="C15" s="188">
        <f>IF('Tariff Jul 2020'!BP7=0,91*'Tariff Jul 2020'!M7/100,(91*'Tariff Jul 2020'!M7/100)+'Tariff Jul 2020'!BP7/4)</f>
        <v>80.808000000000007</v>
      </c>
      <c r="D15" s="188">
        <f>IF('Tariff Jul 2020'!O7="",$F$5*'Tariff Jul 2020'!N7/100,IF($F$5&gt;='Tariff Jul 2020'!P7,('Tariff Jul 2020'!P7*'Tariff Jul 2020'!N7/100),($F$5*'Tariff Jul 2020'!N7/100)))</f>
        <v>324.09090909090907</v>
      </c>
      <c r="E15" s="188">
        <f>IF(AND('Tariff Jul 2020'!P7&gt;0,'Tariff Jul 2020'!R7&gt;0),IF($F$5&lt;'Tariff Jul 2020'!P7,0,IF($F$5&lt;=('Tariff Jul 2020'!R7+'Tariff Jul 2020'!P7),(($F$5-'Tariff Jul 2020'!P7)*'Tariff Jul 2020'!Q7/100),(('Tariff Jul 2020'!R7)*'Tariff Jul 2020'!Q7/100))),0)</f>
        <v>0</v>
      </c>
      <c r="F15" s="189">
        <f>IF(AND('Tariff Jul 2020'!Q7&gt;0,'Tariff Jul 2020'!S7&gt;0),IF($F$5&lt;('Tariff Jul 2020'!R7+'Tariff Jul 2020'!P7),0,IF($F$5&lt;=('Tariff Jul 2020'!T7+'Tariff Jul 2020'!R7+'Tariff Jul 2020'!P7),(($F$5-('Tariff Jul 2020'!R7+'Tariff Jul 2020'!P7))*'Tariff Jul 2020'!S7/100),('Tariff Jul 2020'!T7*'Tariff Jul 2020'!S7/100))),0)</f>
        <v>0</v>
      </c>
      <c r="G15" s="188">
        <v>0</v>
      </c>
      <c r="H15" s="188">
        <v>0</v>
      </c>
      <c r="I15" s="189">
        <f>IF('Tariff Jul 2020'!T7&gt;0,IF(($F$5&lt;'Tariff Jul 2020'!T7),(0),($F$5-'Tariff Jul 2020'!T7)*'Tariff Jul 2020'!U7/100),IF(AND('Tariff Jul 2020'!R7&gt;0,'Tariff Jul 2020'!T7=""),IF(($F$5&lt;'Tariff Jul 2020'!R7),(0),($F$5-'Tariff Jul 2020'!R7)*'Tariff Jul 2020'!S7/100),IF(AND('Tariff Jul 2020'!P7&gt;0,'Tariff Jul 2020'!R7=""),IF(($F$5&lt;'Tariff Jul 2020'!P7),(0),($F$5-'Tariff Jul 2020'!P7)*'Tariff Jul 2020'!Q7/100),0)))</f>
        <v>3.0946680000000129</v>
      </c>
      <c r="J15" s="188">
        <f t="shared" si="3"/>
        <v>407.99357709090907</v>
      </c>
      <c r="K15" s="283">
        <f t="shared" si="10"/>
        <v>1308.7423083636363</v>
      </c>
      <c r="L15" s="283">
        <f t="shared" si="4"/>
        <v>1631.9743083636363</v>
      </c>
      <c r="M15" s="191">
        <f t="shared" si="5"/>
        <v>1795.1717392</v>
      </c>
      <c r="N15" s="187">
        <f>'Tariff Jul 2020'!AZ7</f>
        <v>0</v>
      </c>
      <c r="O15" s="187">
        <f>'Tariff Jul 2020'!BA7</f>
        <v>0</v>
      </c>
      <c r="P15" s="187">
        <f>'Tariff Jul 2020'!BB7</f>
        <v>0</v>
      </c>
      <c r="Q15" s="187">
        <f>'Tariff Jul 2020'!BC7</f>
        <v>0</v>
      </c>
      <c r="R15" s="192">
        <f>($F$6*'Tariff Jul 2020'!AT7/100)*4</f>
        <v>98.509983999999989</v>
      </c>
      <c r="S15" s="193" t="str">
        <f t="shared" si="6"/>
        <v>No discount</v>
      </c>
      <c r="T15" s="193" t="str">
        <f t="shared" si="7"/>
        <v>Exclusive</v>
      </c>
      <c r="U15" s="304">
        <f t="shared" si="8"/>
        <v>1631.9743083636363</v>
      </c>
      <c r="V15" s="283">
        <f t="shared" si="9"/>
        <v>1631.9743083636363</v>
      </c>
      <c r="W15" s="283">
        <f t="shared" si="0"/>
        <v>1533.4643243636363</v>
      </c>
      <c r="X15" s="283">
        <f t="shared" si="1"/>
        <v>1533.4643243636363</v>
      </c>
      <c r="Y15" s="285">
        <f t="shared" si="2"/>
        <v>1686.8107568</v>
      </c>
      <c r="Z15" s="285">
        <f t="shared" si="2"/>
        <v>1686.8107568</v>
      </c>
      <c r="AA15" s="194">
        <f>'Tariff Jul 2020'!AT7</f>
        <v>11.6</v>
      </c>
      <c r="AB15" s="195">
        <f>'Tariff Jul 2020'!BL7</f>
        <v>0</v>
      </c>
      <c r="AC15" s="195" t="str">
        <f>'Tariff Jul 2020'!BM7</f>
        <v>n</v>
      </c>
      <c r="AD15" s="196">
        <f>'Tariff Jul 2020'!G7</f>
        <v>42551</v>
      </c>
    </row>
    <row r="16" spans="1:30" x14ac:dyDescent="0.15">
      <c r="A16" s="186" t="str">
        <f>'Tariff Jul 2020'!K8</f>
        <v>EnergyAustralia</v>
      </c>
      <c r="B16" s="187" t="str">
        <f>'Tariff Jul 2020'!L8</f>
        <v>Total Plan Home</v>
      </c>
      <c r="C16" s="188">
        <f>IF('Tariff Jul 2020'!BP8=0,91*'Tariff Jul 2020'!M8/100,(91*'Tariff Jul 2020'!M8/100)+'Tariff Jul 2020'!BP8/4)</f>
        <v>70.97999999999999</v>
      </c>
      <c r="D16" s="188">
        <f>IF('Tariff Jul 2020'!O8="",$F$5*'Tariff Jul 2020'!N8/100,IF($F$5&gt;='Tariff Jul 2020'!P8,('Tariff Jul 2020'!P8*'Tariff Jul 2020'!N8/100),($F$5*'Tariff Jul 2020'!N8/100)))</f>
        <v>348.3940801818182</v>
      </c>
      <c r="E16" s="188">
        <f>IF(AND('Tariff Jul 2020'!P8&gt;0,'Tariff Jul 2020'!R8&gt;0),IF($F$5&lt;'Tariff Jul 2020'!P8,0,IF($F$5&lt;=('Tariff Jul 2020'!R8+'Tariff Jul 2020'!P8),(($F$5-'Tariff Jul 2020'!P8)*'Tariff Jul 2020'!Q8/100),(('Tariff Jul 2020'!R8)*'Tariff Jul 2020'!Q8/100))),0)</f>
        <v>0</v>
      </c>
      <c r="F16" s="189">
        <f>IF(AND('Tariff Jul 2020'!Q8&gt;0,'Tariff Jul 2020'!S8&gt;0),IF($F$5&lt;('Tariff Jul 2020'!R8+'Tariff Jul 2020'!P8),0,IF($F$5&lt;=('Tariff Jul 2020'!T8+'Tariff Jul 2020'!R8+'Tariff Jul 2020'!P8),(($F$5-('Tariff Jul 2020'!R8+'Tariff Jul 2020'!P8))*'Tariff Jul 2020'!S8/100),('Tariff Jul 2020'!T8*'Tariff Jul 2020'!S8/100))),0)</f>
        <v>0</v>
      </c>
      <c r="G16" s="188">
        <v>0</v>
      </c>
      <c r="H16" s="188">
        <v>0</v>
      </c>
      <c r="I16" s="189">
        <f>IF('Tariff Jul 2020'!T8&gt;0,IF(($F$5&lt;'Tariff Jul 2020'!T8),(0),($F$5-'Tariff Jul 2020'!T8)*'Tariff Jul 2020'!U8/100),IF(AND('Tariff Jul 2020'!R8&gt;0,'Tariff Jul 2020'!T8=""),IF(($F$5&lt;'Tariff Jul 2020'!R8),(0),($F$5-'Tariff Jul 2020'!R8)*'Tariff Jul 2020'!S8/100),IF(AND('Tariff Jul 2020'!P8&gt;0,'Tariff Jul 2020'!R8=""),IF(($F$5&lt;'Tariff Jul 2020'!P8),(0),($F$5-'Tariff Jul 2020'!P8)*'Tariff Jul 2020'!Q8/100),0)))</f>
        <v>0</v>
      </c>
      <c r="J16" s="188">
        <f t="shared" si="3"/>
        <v>419.37408018181816</v>
      </c>
      <c r="K16" s="283">
        <f t="shared" si="10"/>
        <v>1393.5763207272726</v>
      </c>
      <c r="L16" s="283">
        <f t="shared" si="4"/>
        <v>1677.4963207272726</v>
      </c>
      <c r="M16" s="191">
        <f t="shared" si="5"/>
        <v>1845.2459527999999</v>
      </c>
      <c r="N16" s="187">
        <f>'Tariff Jul 2020'!AZ8</f>
        <v>6</v>
      </c>
      <c r="O16" s="187">
        <f>'Tariff Jul 2020'!BA8</f>
        <v>0</v>
      </c>
      <c r="P16" s="187">
        <f>'Tariff Jul 2020'!BB8</f>
        <v>0</v>
      </c>
      <c r="Q16" s="187">
        <f>'Tariff Jul 2020'!BC8</f>
        <v>0</v>
      </c>
      <c r="R16" s="192">
        <f>($F$6*'Tariff Jul 2020'!AT8/100)*4</f>
        <v>97.660759999999996</v>
      </c>
      <c r="S16" s="193" t="str">
        <f t="shared" si="6"/>
        <v>Guaranteed off bill</v>
      </c>
      <c r="T16" s="193" t="str">
        <f t="shared" si="7"/>
        <v>Exclusive</v>
      </c>
      <c r="U16" s="304">
        <f t="shared" si="8"/>
        <v>1576.8465414836362</v>
      </c>
      <c r="V16" s="283">
        <f t="shared" si="9"/>
        <v>1576.8465414836362</v>
      </c>
      <c r="W16" s="283">
        <f t="shared" si="0"/>
        <v>1479.1857814836362</v>
      </c>
      <c r="X16" s="283">
        <f t="shared" si="1"/>
        <v>1479.1857814836362</v>
      </c>
      <c r="Y16" s="285">
        <f t="shared" si="2"/>
        <v>1627.1043596320001</v>
      </c>
      <c r="Z16" s="285">
        <f t="shared" si="2"/>
        <v>1627.1043596320001</v>
      </c>
      <c r="AA16" s="194">
        <f>'Tariff Jul 2020'!AT8</f>
        <v>11.5</v>
      </c>
      <c r="AB16" s="195">
        <f>'Tariff Jul 2020'!BL8</f>
        <v>0</v>
      </c>
      <c r="AC16" s="195" t="str">
        <f>'Tariff Jul 2020'!BM8</f>
        <v>n</v>
      </c>
      <c r="AD16" s="196">
        <f>'Tariff Jul 2020'!G8</f>
        <v>42551</v>
      </c>
    </row>
    <row r="17" spans="1:30" x14ac:dyDescent="0.15">
      <c r="A17" s="186" t="str">
        <f>'Tariff Jul 2020'!K9</f>
        <v>Lumo Energy</v>
      </c>
      <c r="B17" s="187" t="str">
        <f>'Tariff Jul 2020'!L9</f>
        <v>Plus</v>
      </c>
      <c r="C17" s="188">
        <f>IF('Tariff Jul 2020'!BP9=0,91*'Tariff Jul 2020'!M9/100,(91*'Tariff Jul 2020'!M9/100)+'Tariff Jul 2020'!BP9/4)</f>
        <v>75.124636363636355</v>
      </c>
      <c r="D17" s="188">
        <f>IF('Tariff Jul 2020'!O9="",$F$5*'Tariff Jul 2020'!N9/100,IF($F$5&gt;='Tariff Jul 2020'!P9,('Tariff Jul 2020'!P9*'Tariff Jul 2020'!N9/100),($F$5*'Tariff Jul 2020'!N9/100)))</f>
        <v>309.5454545454545</v>
      </c>
      <c r="E17" s="188">
        <f>IF(AND('Tariff Jul 2020'!P9&gt;0,'Tariff Jul 2020'!R9&gt;0),IF($F$5&lt;'Tariff Jul 2020'!P9,0,IF($F$5&lt;=('Tariff Jul 2020'!R9+'Tariff Jul 2020'!P9),(($F$5-'Tariff Jul 2020'!P9)*'Tariff Jul 2020'!Q9/100),(('Tariff Jul 2020'!R9)*'Tariff Jul 2020'!Q9/100))),0)</f>
        <v>0</v>
      </c>
      <c r="F17" s="189">
        <f>IF(AND('Tariff Jul 2020'!Q9&gt;0,'Tariff Jul 2020'!S9&gt;0),IF($F$5&lt;('Tariff Jul 2020'!R9+'Tariff Jul 2020'!P9),0,IF($F$5&lt;=('Tariff Jul 2020'!T9+'Tariff Jul 2020'!R9+'Tariff Jul 2020'!P9),(($F$5-('Tariff Jul 2020'!R9+'Tariff Jul 2020'!P9))*'Tariff Jul 2020'!S9/100),('Tariff Jul 2020'!T9*'Tariff Jul 2020'!S9/100))),0)</f>
        <v>0</v>
      </c>
      <c r="G17" s="188">
        <v>0</v>
      </c>
      <c r="H17" s="188">
        <v>0</v>
      </c>
      <c r="I17" s="189">
        <f>IF('Tariff Jul 2020'!T9&gt;0,IF(($F$5&lt;'Tariff Jul 2020'!T9),(0),($F$5-'Tariff Jul 2020'!T9)*'Tariff Jul 2020'!U9/100),IF(AND('Tariff Jul 2020'!R9&gt;0,'Tariff Jul 2020'!T9=""),IF(($F$5&lt;'Tariff Jul 2020'!R9),(0),($F$5-'Tariff Jul 2020'!R9)*'Tariff Jul 2020'!S9/100),IF(AND('Tariff Jul 2020'!P9&gt;0,'Tariff Jul 2020'!R9=""),IF(($F$5&lt;'Tariff Jul 2020'!P9),(0),($F$5-'Tariff Jul 2020'!P9)*'Tariff Jul 2020'!Q9/100),0)))</f>
        <v>2.9415420000000125</v>
      </c>
      <c r="J17" s="188">
        <f t="shared" si="3"/>
        <v>387.61163290909087</v>
      </c>
      <c r="K17" s="283">
        <f t="shared" si="10"/>
        <v>1249.9479861818181</v>
      </c>
      <c r="L17" s="283">
        <f t="shared" si="4"/>
        <v>1550.4465316363635</v>
      </c>
      <c r="M17" s="191">
        <f t="shared" si="5"/>
        <v>1705.4911847999999</v>
      </c>
      <c r="N17" s="187">
        <f>'Tariff Jul 2020'!AZ9</f>
        <v>0</v>
      </c>
      <c r="O17" s="187">
        <f>'Tariff Jul 2020'!BA9</f>
        <v>0</v>
      </c>
      <c r="P17" s="187">
        <f>'Tariff Jul 2020'!BB9</f>
        <v>0</v>
      </c>
      <c r="Q17" s="187">
        <f>'Tariff Jul 2020'!BC9</f>
        <v>0</v>
      </c>
      <c r="R17" s="192">
        <f>($F$6*'Tariff Jul 2020'!AT9/100)*4</f>
        <v>127.38359999999999</v>
      </c>
      <c r="S17" s="193" t="str">
        <f t="shared" si="6"/>
        <v>No discount</v>
      </c>
      <c r="T17" s="193" t="str">
        <f t="shared" si="7"/>
        <v>Exclusive</v>
      </c>
      <c r="U17" s="304">
        <f t="shared" si="8"/>
        <v>1550.4465316363635</v>
      </c>
      <c r="V17" s="283">
        <f t="shared" si="9"/>
        <v>1550.4465316363635</v>
      </c>
      <c r="W17" s="283">
        <f t="shared" si="0"/>
        <v>1423.0629316363636</v>
      </c>
      <c r="X17" s="283">
        <f t="shared" si="1"/>
        <v>1423.0629316363636</v>
      </c>
      <c r="Y17" s="285">
        <f t="shared" si="2"/>
        <v>1565.3692248</v>
      </c>
      <c r="Z17" s="285">
        <f t="shared" si="2"/>
        <v>1565.3692248</v>
      </c>
      <c r="AA17" s="194">
        <f>'Tariff Jul 2020'!AT9</f>
        <v>15</v>
      </c>
      <c r="AB17" s="195">
        <f>'Tariff Jul 2020'!BL9</f>
        <v>0</v>
      </c>
      <c r="AC17" s="195" t="str">
        <f>'Tariff Jul 2020'!BM9</f>
        <v>n</v>
      </c>
      <c r="AD17" s="196">
        <f>'Tariff Jul 2020'!G9</f>
        <v>42551</v>
      </c>
    </row>
    <row r="18" spans="1:30" x14ac:dyDescent="0.15">
      <c r="A18" s="186" t="str">
        <f>'Tariff Jul 2020'!K10</f>
        <v>Momentum Energy</v>
      </c>
      <c r="B18" s="187" t="str">
        <f>'Tariff Jul 2020'!L10</f>
        <v>SmilePower Flexi</v>
      </c>
      <c r="C18" s="188">
        <f>IF('Tariff Jul 2020'!BP10=0,91*'Tariff Jul 2020'!M10/100,(91*'Tariff Jul 2020'!M10/100)+'Tariff Jul 2020'!BP10/4)</f>
        <v>83.289818181818191</v>
      </c>
      <c r="D18" s="188">
        <f>IF('Tariff Jul 2020'!O10="",$F$5*'Tariff Jul 2020'!N10/100,IF($F$5&gt;='Tariff Jul 2020'!P10,('Tariff Jul 2020'!P10*'Tariff Jul 2020'!N10/100),($F$5*'Tariff Jul 2020'!N10/100)))</f>
        <v>327.56567454545456</v>
      </c>
      <c r="E18" s="188">
        <f>IF(AND('Tariff Jul 2020'!P10&gt;0,'Tariff Jul 2020'!R10&gt;0),IF($F$5&lt;'Tariff Jul 2020'!P10,0,IF($F$5&lt;=('Tariff Jul 2020'!R10+'Tariff Jul 2020'!P10),(($F$5-'Tariff Jul 2020'!P10)*'Tariff Jul 2020'!Q10/100),(('Tariff Jul 2020'!R10)*'Tariff Jul 2020'!Q10/100))),0)</f>
        <v>0</v>
      </c>
      <c r="F18" s="189">
        <f>IF(AND('Tariff Jul 2020'!Q10&gt;0,'Tariff Jul 2020'!S10&gt;0),IF($F$5&lt;('Tariff Jul 2020'!R10+'Tariff Jul 2020'!P10),0,IF($F$5&lt;=('Tariff Jul 2020'!T10+'Tariff Jul 2020'!R10+'Tariff Jul 2020'!P10),(($F$5-('Tariff Jul 2020'!R10+'Tariff Jul 2020'!P10))*'Tariff Jul 2020'!S10/100),('Tariff Jul 2020'!T10*'Tariff Jul 2020'!S10/100))),0)</f>
        <v>0</v>
      </c>
      <c r="G18" s="188">
        <v>0</v>
      </c>
      <c r="H18" s="188">
        <v>0</v>
      </c>
      <c r="I18" s="189">
        <f>IF('Tariff Jul 2020'!T10&gt;0,IF(($F$5&lt;'Tariff Jul 2020'!T10),(0),($F$5-'Tariff Jul 2020'!T10)*'Tariff Jul 2020'!U10/100),IF(AND('Tariff Jul 2020'!R10&gt;0,'Tariff Jul 2020'!T10=""),IF(($F$5&lt;'Tariff Jul 2020'!R10),(0),($F$5-'Tariff Jul 2020'!R10)*'Tariff Jul 2020'!S10/100),IF(AND('Tariff Jul 2020'!P10&gt;0,'Tariff Jul 2020'!R10=""),IF(($F$5&lt;'Tariff Jul 2020'!P10),(0),($F$5-'Tariff Jul 2020'!P10)*'Tariff Jul 2020'!Q10/100),0)))</f>
        <v>0</v>
      </c>
      <c r="J18" s="188">
        <f t="shared" si="3"/>
        <v>410.85549272727275</v>
      </c>
      <c r="K18" s="283">
        <f t="shared" si="10"/>
        <v>1310.2626981818182</v>
      </c>
      <c r="L18" s="283">
        <f t="shared" si="4"/>
        <v>1643.421970909091</v>
      </c>
      <c r="M18" s="191">
        <f t="shared" si="5"/>
        <v>1807.7641680000002</v>
      </c>
      <c r="N18" s="187">
        <f>'Tariff Jul 2020'!AZ10</f>
        <v>0</v>
      </c>
      <c r="O18" s="187">
        <f>'Tariff Jul 2020'!BA10</f>
        <v>0</v>
      </c>
      <c r="P18" s="187">
        <f>'Tariff Jul 2020'!BB10</f>
        <v>0</v>
      </c>
      <c r="Q18" s="187">
        <f>'Tariff Jul 2020'!BC10</f>
        <v>0</v>
      </c>
      <c r="R18" s="192">
        <f>($F$6*'Tariff Jul 2020'!AT10/100)*4</f>
        <v>57.747231999999997</v>
      </c>
      <c r="S18" s="193" t="str">
        <f t="shared" si="6"/>
        <v>No discount</v>
      </c>
      <c r="T18" s="193" t="str">
        <f t="shared" si="7"/>
        <v>Exclusive</v>
      </c>
      <c r="U18" s="304">
        <f t="shared" si="8"/>
        <v>1643.421970909091</v>
      </c>
      <c r="V18" s="283">
        <f t="shared" si="9"/>
        <v>1643.421970909091</v>
      </c>
      <c r="W18" s="283">
        <f t="shared" si="0"/>
        <v>1585.674738909091</v>
      </c>
      <c r="X18" s="283">
        <f t="shared" si="1"/>
        <v>1585.674738909091</v>
      </c>
      <c r="Y18" s="285">
        <f t="shared" si="2"/>
        <v>1744.2422128000003</v>
      </c>
      <c r="Z18" s="285">
        <f t="shared" si="2"/>
        <v>1744.2422128000003</v>
      </c>
      <c r="AA18" s="194">
        <f>'Tariff Jul 2020'!AT10</f>
        <v>6.8</v>
      </c>
      <c r="AB18" s="195">
        <f>'Tariff Jul 2020'!BL10</f>
        <v>0</v>
      </c>
      <c r="AC18" s="195" t="str">
        <f>'Tariff Jul 2020'!BM10</f>
        <v>n</v>
      </c>
      <c r="AD18" s="196">
        <f>'Tariff Jul 2020'!G10</f>
        <v>42551</v>
      </c>
    </row>
    <row r="19" spans="1:30" x14ac:dyDescent="0.15">
      <c r="A19" s="186" t="str">
        <f>'Tariff Jul 2020'!K11</f>
        <v>Origin Energy</v>
      </c>
      <c r="B19" s="187" t="str">
        <f>'Tariff Jul 2020'!L11</f>
        <v>Solar Boost</v>
      </c>
      <c r="C19" s="188">
        <f>IF('Tariff Jul 2020'!BP11=0,91*'Tariff Jul 2020'!M11/100,(91*'Tariff Jul 2020'!M11/100)+'Tariff Jul 2020'!BP11/4)</f>
        <v>70.905545454545447</v>
      </c>
      <c r="D19" s="188">
        <f>IF('Tariff Jul 2020'!O11="",$F$5*'Tariff Jul 2020'!N11/100,IF($F$5&gt;='Tariff Jul 2020'!P11,('Tariff Jul 2020'!P11*'Tariff Jul 2020'!N11/100),($F$5*'Tariff Jul 2020'!N11/100)))</f>
        <v>345.2727272727272</v>
      </c>
      <c r="E19" s="188">
        <f>IF(AND('Tariff Jul 2020'!P11&gt;0,'Tariff Jul 2020'!R11&gt;0),IF($F$5&lt;'Tariff Jul 2020'!P11,0,IF($F$5&lt;=('Tariff Jul 2020'!R11+'Tariff Jul 2020'!P11),(($F$5-'Tariff Jul 2020'!P11)*'Tariff Jul 2020'!Q11/100),(('Tariff Jul 2020'!R11)*'Tariff Jul 2020'!Q11/100))),0)</f>
        <v>0</v>
      </c>
      <c r="F19" s="189">
        <f>IF(AND('Tariff Jul 2020'!Q11&gt;0,'Tariff Jul 2020'!S11&gt;0),IF($F$5&lt;('Tariff Jul 2020'!R11+'Tariff Jul 2020'!P11),0,IF($F$5&lt;=('Tariff Jul 2020'!T11+'Tariff Jul 2020'!R11+'Tariff Jul 2020'!P11),(($F$5-('Tariff Jul 2020'!R11+'Tariff Jul 2020'!P11))*'Tariff Jul 2020'!S11/100),('Tariff Jul 2020'!T11*'Tariff Jul 2020'!S11/100))),0)</f>
        <v>0</v>
      </c>
      <c r="G19" s="188">
        <v>0</v>
      </c>
      <c r="H19" s="188">
        <v>0</v>
      </c>
      <c r="I19" s="189">
        <f>IF('Tariff Jul 2020'!T11&gt;0,IF(($F$5&lt;'Tariff Jul 2020'!T11),(0),($F$5-'Tariff Jul 2020'!T11)*'Tariff Jul 2020'!U11/100),IF(AND('Tariff Jul 2020'!R11&gt;0,'Tariff Jul 2020'!T11=""),IF(($F$5&lt;'Tariff Jul 2020'!R11),(0),($F$5-'Tariff Jul 2020'!R11)*'Tariff Jul 2020'!S11/100),IF(AND('Tariff Jul 2020'!P11&gt;0,'Tariff Jul 2020'!R11=""),IF(($F$5&lt;'Tariff Jul 2020'!P11),(0),($F$5-'Tariff Jul 2020'!P11)*'Tariff Jul 2020'!Q11/100),0)))</f>
        <v>3.4288380000000149</v>
      </c>
      <c r="J19" s="188">
        <f t="shared" si="3"/>
        <v>419.6071107272727</v>
      </c>
      <c r="K19" s="283">
        <f t="shared" si="10"/>
        <v>1394.8062610909089</v>
      </c>
      <c r="L19" s="283">
        <f t="shared" si="4"/>
        <v>1678.4284429090908</v>
      </c>
      <c r="M19" s="191">
        <f t="shared" si="5"/>
        <v>1846.2712872</v>
      </c>
      <c r="N19" s="187">
        <f>'Tariff Jul 2020'!AZ11</f>
        <v>0</v>
      </c>
      <c r="O19" s="187">
        <f>'Tariff Jul 2020'!BA11</f>
        <v>0</v>
      </c>
      <c r="P19" s="187">
        <f>'Tariff Jul 2020'!BB11</f>
        <v>0</v>
      </c>
      <c r="Q19" s="187">
        <f>'Tariff Jul 2020'!BC11</f>
        <v>0</v>
      </c>
      <c r="R19" s="192">
        <f>($F$6*'Tariff Jul 2020'!AT11/100)*4</f>
        <v>110.39911999999998</v>
      </c>
      <c r="S19" s="193" t="str">
        <f t="shared" si="6"/>
        <v>No discount</v>
      </c>
      <c r="T19" s="193" t="str">
        <f t="shared" si="7"/>
        <v>Inclusive</v>
      </c>
      <c r="U19" s="304">
        <f t="shared" si="8"/>
        <v>1678.4284429090908</v>
      </c>
      <c r="V19" s="283">
        <f t="shared" si="9"/>
        <v>1678.4284429090908</v>
      </c>
      <c r="W19" s="283">
        <f t="shared" si="0"/>
        <v>1568.0293229090908</v>
      </c>
      <c r="X19" s="283">
        <f t="shared" si="1"/>
        <v>1568.0293229090908</v>
      </c>
      <c r="Y19" s="285">
        <f t="shared" si="2"/>
        <v>1724.8322552</v>
      </c>
      <c r="Z19" s="285">
        <f t="shared" si="2"/>
        <v>1724.8322552</v>
      </c>
      <c r="AA19" s="194">
        <f>'Tariff Jul 2020'!AT11</f>
        <v>13</v>
      </c>
      <c r="AB19" s="195">
        <f>'Tariff Jul 2020'!BL11</f>
        <v>0</v>
      </c>
      <c r="AC19" s="195" t="str">
        <f>'Tariff Jul 2020'!BM11</f>
        <v>n</v>
      </c>
      <c r="AD19" s="196">
        <f>'Tariff Jul 2020'!G11</f>
        <v>42551</v>
      </c>
    </row>
    <row r="20" spans="1:30" x14ac:dyDescent="0.15">
      <c r="A20" s="186" t="str">
        <f>'Tariff Jul 2020'!K12</f>
        <v>Powerdirect</v>
      </c>
      <c r="B20" s="187" t="str">
        <f>'Tariff Jul 2020'!L12</f>
        <v>Rate Saver</v>
      </c>
      <c r="C20" s="188">
        <f>IF('Tariff Jul 2020'!BP12=0,91*'Tariff Jul 2020'!M12/100,(91*'Tariff Jul 2020'!M12/100)+'Tariff Jul 2020'!BP12/4)</f>
        <v>65.098090909090899</v>
      </c>
      <c r="D20" s="188">
        <f>IF('Tariff Jul 2020'!O12="",$F$5*'Tariff Jul 2020'!N12/100,IF($F$5&gt;='Tariff Jul 2020'!P12,('Tariff Jul 2020'!P12*'Tariff Jul 2020'!N12/100),($F$5*'Tariff Jul 2020'!N12/100)))</f>
        <v>308.02184018181816</v>
      </c>
      <c r="E20" s="188">
        <f>IF(AND('Tariff Jul 2020'!P12&gt;0,'Tariff Jul 2020'!R12&gt;0),IF($F$5&lt;'Tariff Jul 2020'!P12,0,IF($F$5&lt;=('Tariff Jul 2020'!R12+'Tariff Jul 2020'!P12),(($F$5-'Tariff Jul 2020'!P12)*'Tariff Jul 2020'!Q12/100),(('Tariff Jul 2020'!R12)*'Tariff Jul 2020'!Q12/100))),0)</f>
        <v>0</v>
      </c>
      <c r="F20" s="189">
        <f>IF(AND('Tariff Jul 2020'!Q12&gt;0,'Tariff Jul 2020'!S12&gt;0),IF($F$5&lt;('Tariff Jul 2020'!R12+'Tariff Jul 2020'!P12),0,IF($F$5&lt;=('Tariff Jul 2020'!T12+'Tariff Jul 2020'!R12+'Tariff Jul 2020'!P12),(($F$5-('Tariff Jul 2020'!R12+'Tariff Jul 2020'!P12))*'Tariff Jul 2020'!S12/100),('Tariff Jul 2020'!T12*'Tariff Jul 2020'!S12/100))),0)</f>
        <v>0</v>
      </c>
      <c r="G20" s="188">
        <v>0</v>
      </c>
      <c r="H20" s="188">
        <v>0</v>
      </c>
      <c r="I20" s="189">
        <f>IF('Tariff Jul 2020'!T12&gt;0,IF(($F$5&lt;'Tariff Jul 2020'!T12),(0),($F$5-'Tariff Jul 2020'!T12)*'Tariff Jul 2020'!U12/100),IF(AND('Tariff Jul 2020'!R12&gt;0,'Tariff Jul 2020'!T12=""),IF(($F$5&lt;'Tariff Jul 2020'!R12),(0),($F$5-'Tariff Jul 2020'!R12)*'Tariff Jul 2020'!S12/100),IF(AND('Tariff Jul 2020'!P12&gt;0,'Tariff Jul 2020'!R12=""),IF(($F$5&lt;'Tariff Jul 2020'!P12),(0),($F$5-'Tariff Jul 2020'!P12)*'Tariff Jul 2020'!Q12/100),0)))</f>
        <v>0</v>
      </c>
      <c r="J20" s="188">
        <f t="shared" si="3"/>
        <v>373.11993109090906</v>
      </c>
      <c r="K20" s="283">
        <f t="shared" si="10"/>
        <v>1232.0873607272727</v>
      </c>
      <c r="L20" s="283">
        <f t="shared" si="4"/>
        <v>1492.4797243636363</v>
      </c>
      <c r="M20" s="191">
        <f t="shared" si="5"/>
        <v>1641.7276968000001</v>
      </c>
      <c r="N20" s="187">
        <f>'Tariff Jul 2020'!AZ12</f>
        <v>0</v>
      </c>
      <c r="O20" s="187">
        <f>'Tariff Jul 2020'!BA12</f>
        <v>0</v>
      </c>
      <c r="P20" s="187">
        <f>'Tariff Jul 2020'!BB12</f>
        <v>0</v>
      </c>
      <c r="Q20" s="187">
        <f>'Tariff Jul 2020'!BC12</f>
        <v>0</v>
      </c>
      <c r="R20" s="192">
        <f>($F$6*'Tariff Jul 2020'!AT12/100)*4</f>
        <v>105.303776</v>
      </c>
      <c r="S20" s="193" t="str">
        <f t="shared" si="6"/>
        <v>No discount</v>
      </c>
      <c r="T20" s="193" t="str">
        <f t="shared" si="7"/>
        <v>Exclusive</v>
      </c>
      <c r="U20" s="304">
        <f t="shared" si="8"/>
        <v>1492.4797243636363</v>
      </c>
      <c r="V20" s="283">
        <f t="shared" si="9"/>
        <v>1492.4797243636363</v>
      </c>
      <c r="W20" s="283">
        <f t="shared" si="0"/>
        <v>1387.1759483636363</v>
      </c>
      <c r="X20" s="283">
        <f t="shared" si="1"/>
        <v>1387.1759483636363</v>
      </c>
      <c r="Y20" s="285">
        <f t="shared" si="2"/>
        <v>1525.8935432000001</v>
      </c>
      <c r="Z20" s="285">
        <f t="shared" si="2"/>
        <v>1525.8935432000001</v>
      </c>
      <c r="AA20" s="194">
        <f>'Tariff Jul 2020'!AT12</f>
        <v>12.4</v>
      </c>
      <c r="AB20" s="195">
        <f>'Tariff Jul 2020'!BL12</f>
        <v>0</v>
      </c>
      <c r="AC20" s="195" t="str">
        <f>'Tariff Jul 2020'!BM12</f>
        <v>n</v>
      </c>
      <c r="AD20" s="196">
        <f>'Tariff Jul 2020'!G12</f>
        <v>42551</v>
      </c>
    </row>
    <row r="21" spans="1:30" x14ac:dyDescent="0.15">
      <c r="A21" s="186" t="str">
        <f>'Tariff Jul 2020'!K13</f>
        <v>Red Energy</v>
      </c>
      <c r="B21" s="187" t="str">
        <f>'Tariff Jul 2020'!L13</f>
        <v>Living Energy Saver</v>
      </c>
      <c r="C21" s="188">
        <f>IF('Tariff Jul 2020'!BP13=0,91*'Tariff Jul 2020'!M13/100,(91*'Tariff Jul 2020'!M13/100)+'Tariff Jul 2020'!BP13/4)</f>
        <v>97.37</v>
      </c>
      <c r="D21" s="188">
        <f>IF('Tariff Jul 2020'!O13="",$F$5*'Tariff Jul 2020'!N13/100,IF($F$5&gt;='Tariff Jul 2020'!P13,('Tariff Jul 2020'!P13*'Tariff Jul 2020'!N13/100),($F$5*'Tariff Jul 2020'!N13/100)))</f>
        <v>320.77579781818184</v>
      </c>
      <c r="E21" s="188">
        <f>IF(AND('Tariff Jul 2020'!P13&gt;0,'Tariff Jul 2020'!R13&gt;0),IF($F$5&lt;'Tariff Jul 2020'!P13,0,IF($F$5&lt;=('Tariff Jul 2020'!R13+'Tariff Jul 2020'!P13),(($F$5-'Tariff Jul 2020'!P13)*'Tariff Jul 2020'!Q13/100),(('Tariff Jul 2020'!R13)*'Tariff Jul 2020'!Q13/100))),0)</f>
        <v>0</v>
      </c>
      <c r="F21" s="189">
        <f>IF(AND('Tariff Jul 2020'!Q13&gt;0,'Tariff Jul 2020'!S13&gt;0),IF($F$5&lt;('Tariff Jul 2020'!R13+'Tariff Jul 2020'!P13),0,IF($F$5&lt;=('Tariff Jul 2020'!T13+'Tariff Jul 2020'!R13+'Tariff Jul 2020'!P13),(($F$5-('Tariff Jul 2020'!R13+'Tariff Jul 2020'!P13))*'Tariff Jul 2020'!S13/100),('Tariff Jul 2020'!T13*'Tariff Jul 2020'!S13/100))),0)</f>
        <v>0</v>
      </c>
      <c r="G21" s="188">
        <v>0</v>
      </c>
      <c r="H21" s="188">
        <v>0</v>
      </c>
      <c r="I21" s="189">
        <f>IF('Tariff Jul 2020'!T13&gt;0,IF(($F$5&lt;'Tariff Jul 2020'!T13),(0),($F$5-'Tariff Jul 2020'!T13)*'Tariff Jul 2020'!U13/100),IF(AND('Tariff Jul 2020'!R13&gt;0,'Tariff Jul 2020'!T13=""),IF(($F$5&lt;'Tariff Jul 2020'!R13),(0),($F$5-'Tariff Jul 2020'!R13)*'Tariff Jul 2020'!S13/100),IF(AND('Tariff Jul 2020'!P13&gt;0,'Tariff Jul 2020'!R13=""),IF(($F$5&lt;'Tariff Jul 2020'!P13),(0),($F$5-'Tariff Jul 2020'!P13)*'Tariff Jul 2020'!Q13/100),0)))</f>
        <v>0</v>
      </c>
      <c r="J21" s="188">
        <f t="shared" si="3"/>
        <v>418.14579781818185</v>
      </c>
      <c r="K21" s="283">
        <f>(J21-C21)*4</f>
        <v>1283.1031912727274</v>
      </c>
      <c r="L21" s="283">
        <f t="shared" si="4"/>
        <v>1672.5831912727274</v>
      </c>
      <c r="M21" s="191">
        <f t="shared" si="5"/>
        <v>1839.8415104000003</v>
      </c>
      <c r="N21" s="187">
        <f>'Tariff Jul 2020'!AZ13</f>
        <v>0</v>
      </c>
      <c r="O21" s="187">
        <f>'Tariff Jul 2020'!BA13</f>
        <v>0</v>
      </c>
      <c r="P21" s="187">
        <f>'Tariff Jul 2020'!BB13</f>
        <v>0</v>
      </c>
      <c r="Q21" s="187">
        <f>'Tariff Jul 2020'!BC13</f>
        <v>0</v>
      </c>
      <c r="R21" s="192">
        <f>($F$6*'Tariff Jul 2020'!AT13/100)*4</f>
        <v>120.58980799999998</v>
      </c>
      <c r="S21" s="193" t="str">
        <f t="shared" si="6"/>
        <v>No discount</v>
      </c>
      <c r="T21" s="193" t="str">
        <f t="shared" si="7"/>
        <v>Inclusive</v>
      </c>
      <c r="U21" s="304">
        <f t="shared" si="8"/>
        <v>1672.5831912727274</v>
      </c>
      <c r="V21" s="283">
        <f t="shared" si="9"/>
        <v>1672.5831912727274</v>
      </c>
      <c r="W21" s="283">
        <f t="shared" si="0"/>
        <v>1551.9933832727274</v>
      </c>
      <c r="X21" s="283">
        <f t="shared" si="1"/>
        <v>1551.9933832727274</v>
      </c>
      <c r="Y21" s="285">
        <f t="shared" si="2"/>
        <v>1707.1927216000004</v>
      </c>
      <c r="Z21" s="285">
        <f t="shared" si="2"/>
        <v>1707.1927216000004</v>
      </c>
      <c r="AA21" s="194">
        <f>'Tariff Jul 2020'!AT13</f>
        <v>14.2</v>
      </c>
      <c r="AB21" s="195">
        <f>'Tariff Jul 2020'!BL13</f>
        <v>0</v>
      </c>
      <c r="AC21" s="195" t="str">
        <f>'Tariff Jul 2020'!BM13</f>
        <v>n</v>
      </c>
      <c r="AD21" s="196">
        <f>'Tariff Jul 2020'!G13</f>
        <v>42551</v>
      </c>
    </row>
    <row r="22" spans="1:30" x14ac:dyDescent="0.15">
      <c r="A22" s="186" t="str">
        <f>'Tariff Jul 2020'!K14</f>
        <v>Energy Locals</v>
      </c>
      <c r="B22" s="187" t="str">
        <f>'Tariff Jul 2020'!L14</f>
        <v>Local Saver</v>
      </c>
      <c r="C22" s="188">
        <f>IF('Tariff Jul 2020'!BP14=0,91*'Tariff Jul 2020'!M14/100,(91*'Tariff Jul 2020'!M14/100)+'Tariff Jul 2020'!BP14/4)</f>
        <v>110.03749999999999</v>
      </c>
      <c r="D22" s="188">
        <f>IF('Tariff Jul 2020'!O14="",$F$5*'Tariff Jul 2020'!N14/100,IF($F$5&gt;='Tariff Jul 2020'!P14,('Tariff Jul 2020'!P14*'Tariff Jul 2020'!N14/100),($F$5*'Tariff Jul 2020'!N14/100)))</f>
        <v>275.2377462</v>
      </c>
      <c r="E22" s="188">
        <f>IF(AND('Tariff Jul 2020'!P14&gt;0,'Tariff Jul 2020'!R14&gt;0),IF($F$5&lt;'Tariff Jul 2020'!P14,0,IF($F$5&lt;=('Tariff Jul 2020'!R14+'Tariff Jul 2020'!P14),(($F$5-'Tariff Jul 2020'!P14)*'Tariff Jul 2020'!Q14/100),(('Tariff Jul 2020'!R14)*'Tariff Jul 2020'!Q14/100))),0)</f>
        <v>0</v>
      </c>
      <c r="F22" s="189">
        <f>IF(AND('Tariff Jul 2020'!Q14&gt;0,'Tariff Jul 2020'!S14&gt;0),IF($F$5&lt;('Tariff Jul 2020'!R14+'Tariff Jul 2020'!P14),0,IF($F$5&lt;=('Tariff Jul 2020'!T14+'Tariff Jul 2020'!R14+'Tariff Jul 2020'!P14),(($F$5-('Tariff Jul 2020'!R14+'Tariff Jul 2020'!P14))*'Tariff Jul 2020'!S14/100),('Tariff Jul 2020'!T14*'Tariff Jul 2020'!S14/100))),0)</f>
        <v>0</v>
      </c>
      <c r="G22" s="188">
        <v>0</v>
      </c>
      <c r="H22" s="188">
        <v>0</v>
      </c>
      <c r="I22" s="189">
        <f>IF('Tariff Jul 2020'!T14&gt;0,IF(($F$5&lt;'Tariff Jul 2020'!T14),(0),($F$5-'Tariff Jul 2020'!T14)*'Tariff Jul 2020'!U14/100),IF(AND('Tariff Jul 2020'!R14&gt;0,'Tariff Jul 2020'!T14=""),IF(($F$5&lt;'Tariff Jul 2020'!R14),(0),($F$5-'Tariff Jul 2020'!R14)*'Tariff Jul 2020'!S14/100),IF(AND('Tariff Jul 2020'!P14&gt;0,'Tariff Jul 2020'!R14=""),IF(($F$5&lt;'Tariff Jul 2020'!P14),(0),($F$5-'Tariff Jul 2020'!P14)*'Tariff Jul 2020'!Q14/100),0)))</f>
        <v>0</v>
      </c>
      <c r="J22" s="188">
        <f t="shared" si="3"/>
        <v>385.27524619999997</v>
      </c>
      <c r="K22" s="283">
        <f t="shared" si="10"/>
        <v>1100.9509847999998</v>
      </c>
      <c r="L22" s="283">
        <f t="shared" si="4"/>
        <v>1541.1009847999999</v>
      </c>
      <c r="M22" s="191">
        <f t="shared" si="5"/>
        <v>1695.2110832799999</v>
      </c>
      <c r="N22" s="187">
        <f>'Tariff Jul 2020'!AZ14</f>
        <v>0</v>
      </c>
      <c r="O22" s="187">
        <f>'Tariff Jul 2020'!BA14</f>
        <v>0</v>
      </c>
      <c r="P22" s="187">
        <f>'Tariff Jul 2020'!BB14</f>
        <v>0</v>
      </c>
      <c r="Q22" s="187">
        <f>'Tariff Jul 2020'!BC14</f>
        <v>0</v>
      </c>
      <c r="R22" s="192">
        <f>($F$6*'Tariff Jul 2020'!AT14/100)*4</f>
        <v>83.903331199999997</v>
      </c>
      <c r="S22" s="193" t="str">
        <f t="shared" si="6"/>
        <v>No discount</v>
      </c>
      <c r="T22" s="193" t="str">
        <f t="shared" si="7"/>
        <v>Exclusive</v>
      </c>
      <c r="U22" s="304">
        <f t="shared" si="8"/>
        <v>1541.1009847999999</v>
      </c>
      <c r="V22" s="283">
        <f t="shared" si="9"/>
        <v>1541.1009847999999</v>
      </c>
      <c r="W22" s="283">
        <f t="shared" si="0"/>
        <v>1457.1976536</v>
      </c>
      <c r="X22" s="283">
        <f t="shared" si="1"/>
        <v>1457.1976536</v>
      </c>
      <c r="Y22" s="285">
        <f t="shared" si="2"/>
        <v>1602.9174189600001</v>
      </c>
      <c r="Z22" s="285">
        <f t="shared" si="2"/>
        <v>1602.9174189600001</v>
      </c>
      <c r="AA22" s="194">
        <f>'Tariff Jul 2020'!AT14</f>
        <v>9.8800000000000008</v>
      </c>
      <c r="AB22" s="195">
        <f>'Tariff Jul 2020'!BL14</f>
        <v>0</v>
      </c>
      <c r="AC22" s="195" t="str">
        <f>'Tariff Jul 2020'!BM14</f>
        <v>n</v>
      </c>
      <c r="AD22" s="196">
        <f>'Tariff Jul 2020'!G14</f>
        <v>42593</v>
      </c>
    </row>
    <row r="23" spans="1:30" x14ac:dyDescent="0.15">
      <c r="A23" s="186" t="str">
        <f>'Tariff Jul 2020'!K15</f>
        <v>Simply Energy</v>
      </c>
      <c r="B23" s="187" t="str">
        <f>'Tariff Jul 2020'!L15</f>
        <v>Saver</v>
      </c>
      <c r="C23" s="188">
        <f>IF('Tariff Jul 2020'!BP15=0,91*'Tariff Jul 2020'!M15/100,(91*'Tariff Jul 2020'!M15/100)+'Tariff Jul 2020'!BP15/4)</f>
        <v>88.27</v>
      </c>
      <c r="D23" s="188">
        <f>IF('Tariff Jul 2020'!O15="",$F$5*'Tariff Jul 2020'!N15/100,IF($F$5&gt;='Tariff Jul 2020'!P15,('Tariff Jul 2020'!P15*'Tariff Jul 2020'!N15/100),($F$5*'Tariff Jul 2020'!N15/100)))</f>
        <v>330.86885781818188</v>
      </c>
      <c r="E23" s="188">
        <f>IF(AND('Tariff Jul 2020'!P15&gt;0,'Tariff Jul 2020'!R15&gt;0),IF($F$5&lt;'Tariff Jul 2020'!P15,0,IF($F$5&lt;=('Tariff Jul 2020'!R15+'Tariff Jul 2020'!P15),(($F$5-'Tariff Jul 2020'!P15)*'Tariff Jul 2020'!Q15/100),(('Tariff Jul 2020'!R15)*'Tariff Jul 2020'!Q15/100))),0)</f>
        <v>0</v>
      </c>
      <c r="F23" s="189">
        <f>IF(AND('Tariff Jul 2020'!Q15&gt;0,'Tariff Jul 2020'!S15&gt;0),IF($F$5&lt;('Tariff Jul 2020'!R15+'Tariff Jul 2020'!P15),0,IF($F$5&lt;=('Tariff Jul 2020'!T15+'Tariff Jul 2020'!R15+'Tariff Jul 2020'!P15),(($F$5-('Tariff Jul 2020'!R15+'Tariff Jul 2020'!P15))*'Tariff Jul 2020'!S15/100),('Tariff Jul 2020'!T15*'Tariff Jul 2020'!S15/100))),0)</f>
        <v>0</v>
      </c>
      <c r="G23" s="188">
        <v>0</v>
      </c>
      <c r="H23" s="188">
        <v>0</v>
      </c>
      <c r="I23" s="189">
        <f>IF('Tariff Jul 2020'!T15&gt;0,IF(($F$5&lt;'Tariff Jul 2020'!T15),(0),($F$5-'Tariff Jul 2020'!T15)*'Tariff Jul 2020'!U15/100),IF(AND('Tariff Jul 2020'!R15&gt;0,'Tariff Jul 2020'!T15=""),IF(($F$5&lt;'Tariff Jul 2020'!R15),(0),($F$5-'Tariff Jul 2020'!R15)*'Tariff Jul 2020'!S15/100),IF(AND('Tariff Jul 2020'!P15&gt;0,'Tariff Jul 2020'!R15=""),IF(($F$5&lt;'Tariff Jul 2020'!P15),(0),($F$5-'Tariff Jul 2020'!P15)*'Tariff Jul 2020'!Q15/100),0)))</f>
        <v>0</v>
      </c>
      <c r="J23" s="188">
        <f t="shared" si="3"/>
        <v>419.13885781818186</v>
      </c>
      <c r="K23" s="283">
        <f t="shared" si="10"/>
        <v>1323.4754312727275</v>
      </c>
      <c r="L23" s="283">
        <f t="shared" si="4"/>
        <v>1676.5554312727274</v>
      </c>
      <c r="M23" s="191">
        <f t="shared" si="5"/>
        <v>1844.2109744000004</v>
      </c>
      <c r="N23" s="187">
        <f>'Tariff Jul 2020'!AZ15</f>
        <v>0</v>
      </c>
      <c r="O23" s="187">
        <f>'Tariff Jul 2020'!BA15</f>
        <v>8</v>
      </c>
      <c r="P23" s="187">
        <f>'Tariff Jul 2020'!BB15</f>
        <v>0</v>
      </c>
      <c r="Q23" s="187">
        <f>'Tariff Jul 2020'!BC15</f>
        <v>0</v>
      </c>
      <c r="R23" s="192">
        <f>($F$6*'Tariff Jul 2020'!AT15/100)*4</f>
        <v>127.38359999999999</v>
      </c>
      <c r="S23" s="193" t="str">
        <f t="shared" si="6"/>
        <v>Guaranteed off usage</v>
      </c>
      <c r="T23" s="193" t="str">
        <f t="shared" si="7"/>
        <v>Exclusive</v>
      </c>
      <c r="U23" s="304">
        <f t="shared" si="8"/>
        <v>1570.6773967709091</v>
      </c>
      <c r="V23" s="283">
        <f t="shared" si="9"/>
        <v>1570.6773967709091</v>
      </c>
      <c r="W23" s="283">
        <f t="shared" si="0"/>
        <v>1443.2937967709092</v>
      </c>
      <c r="X23" s="283">
        <f t="shared" si="1"/>
        <v>1443.2937967709092</v>
      </c>
      <c r="Y23" s="285">
        <f t="shared" si="2"/>
        <v>1587.6231764480003</v>
      </c>
      <c r="Z23" s="285">
        <f t="shared" si="2"/>
        <v>1587.6231764480003</v>
      </c>
      <c r="AA23" s="194">
        <f>'Tariff Jul 2020'!AT15</f>
        <v>15</v>
      </c>
      <c r="AB23" s="195">
        <f>'Tariff Jul 2020'!BL15</f>
        <v>0</v>
      </c>
      <c r="AC23" s="195" t="str">
        <f>'Tariff Jul 2020'!BM15</f>
        <v>n</v>
      </c>
      <c r="AD23" s="196">
        <f>'Tariff Jul 2020'!G15</f>
        <v>42551</v>
      </c>
    </row>
    <row r="24" spans="1:30" x14ac:dyDescent="0.15">
      <c r="A24" s="186" t="str">
        <f>'Tariff Jul 2020'!K16</f>
        <v>Amaysim</v>
      </c>
      <c r="B24" s="187" t="str">
        <f>'Tariff Jul 2020'!L16</f>
        <v>Post-paid Solar</v>
      </c>
      <c r="C24" s="188">
        <f>IF('Tariff Jul 2020'!BP16=0,91*'Tariff Jul 2020'!M16/100,(91*'Tariff Jul 2020'!M16/100)+'Tariff Jul 2020'!BP16/4)</f>
        <v>84.084000000000003</v>
      </c>
      <c r="D24" s="188">
        <f>IF('Tariff Jul 2020'!O16="",$F$5*'Tariff Jul 2020'!N16/100,IF($F$5&gt;='Tariff Jul 2020'!P16,('Tariff Jul 2020'!P16*'Tariff Jul 2020'!N16/100),($F$5*'Tariff Jul 2020'!N16/100)))</f>
        <v>332</v>
      </c>
      <c r="E24" s="188">
        <f>IF(AND('Tariff Jul 2020'!P16&gt;0,'Tariff Jul 2020'!R16&gt;0),IF($F$5&lt;'Tariff Jul 2020'!P16,0,IF($F$5&lt;=('Tariff Jul 2020'!R16+'Tariff Jul 2020'!P16),(($F$5-'Tariff Jul 2020'!P16)*'Tariff Jul 2020'!Q16/100),(('Tariff Jul 2020'!R16)*'Tariff Jul 2020'!Q16/100))),0)</f>
        <v>0</v>
      </c>
      <c r="F24" s="189">
        <f>IF(AND('Tariff Jul 2020'!Q16&gt;0,'Tariff Jul 2020'!S16&gt;0),IF($F$5&lt;('Tariff Jul 2020'!R16+'Tariff Jul 2020'!P16),0,IF($F$5&lt;=('Tariff Jul 2020'!T16+'Tariff Jul 2020'!R16+'Tariff Jul 2020'!P16),(($F$5-('Tariff Jul 2020'!R16+'Tariff Jul 2020'!P16))*'Tariff Jul 2020'!S16/100),('Tariff Jul 2020'!T16*'Tariff Jul 2020'!S16/100))),0)</f>
        <v>0</v>
      </c>
      <c r="G24" s="188">
        <v>0</v>
      </c>
      <c r="H24" s="188">
        <v>0</v>
      </c>
      <c r="I24" s="189">
        <f>IF('Tariff Jul 2020'!T16&gt;0,IF(($F$5&lt;'Tariff Jul 2020'!T16),(0),($F$5-'Tariff Jul 2020'!T16)*'Tariff Jul 2020'!U16/100),IF(AND('Tariff Jul 2020'!R16&gt;0,'Tariff Jul 2020'!T16=""),IF(($F$5&lt;'Tariff Jul 2020'!R16),(0),($F$5-'Tariff Jul 2020'!R16)*'Tariff Jul 2020'!S16/100),IF(AND('Tariff Jul 2020'!P16&gt;0,'Tariff Jul 2020'!R16=""),IF(($F$5&lt;'Tariff Jul 2020'!P16),(0),($F$5-'Tariff Jul 2020'!P16)*'Tariff Jul 2020'!Q16/100),0)))</f>
        <v>3.0895920000000139</v>
      </c>
      <c r="J24" s="188">
        <f t="shared" si="3"/>
        <v>419.17359200000004</v>
      </c>
      <c r="K24" s="283">
        <f t="shared" si="10"/>
        <v>1340.3583680000002</v>
      </c>
      <c r="L24" s="283">
        <f t="shared" si="4"/>
        <v>1676.6943680000002</v>
      </c>
      <c r="M24" s="191">
        <f t="shared" si="5"/>
        <v>1844.3638048000003</v>
      </c>
      <c r="N24" s="187">
        <f>'Tariff Jul 2020'!AZ16</f>
        <v>0</v>
      </c>
      <c r="O24" s="187">
        <f>'Tariff Jul 2020'!BA16</f>
        <v>0</v>
      </c>
      <c r="P24" s="187">
        <f>'Tariff Jul 2020'!BB16</f>
        <v>0</v>
      </c>
      <c r="Q24" s="187">
        <f>'Tariff Jul 2020'!BC16</f>
        <v>0</v>
      </c>
      <c r="R24" s="192">
        <f>($F$6*'Tariff Jul 2020'!AT16/100)*4</f>
        <v>135.87583999999998</v>
      </c>
      <c r="S24" s="193" t="str">
        <f t="shared" si="6"/>
        <v>No discount</v>
      </c>
      <c r="T24" s="193" t="str">
        <f t="shared" si="7"/>
        <v>Exclusive</v>
      </c>
      <c r="U24" s="304">
        <f t="shared" si="8"/>
        <v>1676.6943680000002</v>
      </c>
      <c r="V24" s="283">
        <f t="shared" si="9"/>
        <v>1676.6943680000002</v>
      </c>
      <c r="W24" s="283">
        <f t="shared" si="0"/>
        <v>1540.8185280000002</v>
      </c>
      <c r="X24" s="283">
        <f t="shared" si="1"/>
        <v>1540.8185280000002</v>
      </c>
      <c r="Y24" s="285">
        <f t="shared" si="2"/>
        <v>1694.9003808000004</v>
      </c>
      <c r="Z24" s="285">
        <f t="shared" si="2"/>
        <v>1694.9003808000004</v>
      </c>
      <c r="AA24" s="194">
        <f>'Tariff Jul 2020'!AT16</f>
        <v>16</v>
      </c>
      <c r="AB24" s="195">
        <f>'Tariff Jul 2020'!BL16</f>
        <v>0</v>
      </c>
      <c r="AC24" s="195" t="str">
        <f>'Tariff Jul 2020'!BM16</f>
        <v>n</v>
      </c>
      <c r="AD24" s="196">
        <f>'Tariff Jul 2020'!G16</f>
        <v>42551</v>
      </c>
    </row>
    <row r="25" spans="1:30" x14ac:dyDescent="0.15">
      <c r="A25" s="186" t="str">
        <f>'Tariff Jul 2020'!K17</f>
        <v>Powershop</v>
      </c>
      <c r="B25" s="187" t="str">
        <f>'Tariff Jul 2020'!L17</f>
        <v>Shopper with Mega Pack</v>
      </c>
      <c r="C25" s="188">
        <f>IF('Tariff Jul 2020'!BP17=0,91*'Tariff Jul 2020'!M17/100,(91*'Tariff Jul 2020'!M17/100)+'Tariff Jul 2020'!BP17/4)</f>
        <v>94.300818181818158</v>
      </c>
      <c r="D25" s="188">
        <f>IF('Tariff Jul 2020'!O17="",$F$5*'Tariff Jul 2020'!N17/100,IF($F$5&gt;='Tariff Jul 2020'!P17,('Tariff Jul 2020'!P17*'Tariff Jul 2020'!N17/100),($F$5*'Tariff Jul 2020'!N17/100)))</f>
        <v>269.75996727272724</v>
      </c>
      <c r="E25" s="188">
        <f>IF(AND('Tariff Jul 2020'!P17&gt;0,'Tariff Jul 2020'!R17&gt;0),IF($F$5&lt;'Tariff Jul 2020'!P17,0,IF($F$5&lt;=('Tariff Jul 2020'!R17+'Tariff Jul 2020'!P17),(($F$5-'Tariff Jul 2020'!P17)*'Tariff Jul 2020'!Q17/100),(('Tariff Jul 2020'!R17)*'Tariff Jul 2020'!Q17/100))),0)</f>
        <v>0</v>
      </c>
      <c r="F25" s="189">
        <f>IF(AND('Tariff Jul 2020'!Q17&gt;0,'Tariff Jul 2020'!S17&gt;0),IF($F$5&lt;('Tariff Jul 2020'!R17+'Tariff Jul 2020'!P17),0,IF($F$5&lt;=('Tariff Jul 2020'!T17+'Tariff Jul 2020'!R17+'Tariff Jul 2020'!P17),(($F$5-('Tariff Jul 2020'!R17+'Tariff Jul 2020'!P17))*'Tariff Jul 2020'!S17/100),('Tariff Jul 2020'!T17*'Tariff Jul 2020'!S17/100))),0)</f>
        <v>0</v>
      </c>
      <c r="G25" s="188">
        <v>0</v>
      </c>
      <c r="H25" s="188">
        <v>0</v>
      </c>
      <c r="I25" s="189">
        <f>IF('Tariff Jul 2020'!T17&gt;0,IF(($F$5&lt;'Tariff Jul 2020'!T17),(0),($F$5-'Tariff Jul 2020'!T17)*'Tariff Jul 2020'!U17/100),IF(AND('Tariff Jul 2020'!R17&gt;0,'Tariff Jul 2020'!T17=""),IF(($F$5&lt;'Tariff Jul 2020'!R17),(0),($F$5-'Tariff Jul 2020'!R17)*'Tariff Jul 2020'!S17/100),IF(AND('Tariff Jul 2020'!P17&gt;0,'Tariff Jul 2020'!R17=""),IF(($F$5&lt;'Tariff Jul 2020'!P17),(0),($F$5-'Tariff Jul 2020'!P17)*'Tariff Jul 2020'!Q17/100),0)))</f>
        <v>0</v>
      </c>
      <c r="J25" s="188">
        <f t="shared" si="3"/>
        <v>364.0607854545454</v>
      </c>
      <c r="K25" s="283">
        <f t="shared" si="10"/>
        <v>1079.039869090909</v>
      </c>
      <c r="L25" s="283">
        <f t="shared" si="4"/>
        <v>1456.2431418181816</v>
      </c>
      <c r="M25" s="191">
        <f t="shared" si="5"/>
        <v>1601.8674559999999</v>
      </c>
      <c r="N25" s="187">
        <f>'Tariff Jul 2020'!AZ17</f>
        <v>0</v>
      </c>
      <c r="O25" s="187">
        <f>'Tariff Jul 2020'!BA17</f>
        <v>0</v>
      </c>
      <c r="P25" s="187">
        <f>'Tariff Jul 2020'!BB17</f>
        <v>6</v>
      </c>
      <c r="Q25" s="187">
        <f>'Tariff Jul 2020'!BC17</f>
        <v>0</v>
      </c>
      <c r="R25" s="192">
        <f>($F$6*'Tariff Jul 2020'!AT17/100)*4</f>
        <v>63.691799999999994</v>
      </c>
      <c r="S25" s="193" t="str">
        <f t="shared" si="6"/>
        <v>Pay-on-time off bill</v>
      </c>
      <c r="T25" s="193" t="str">
        <f t="shared" si="7"/>
        <v>Inclusive</v>
      </c>
      <c r="U25" s="304">
        <f t="shared" si="8"/>
        <v>1456.2431418181816</v>
      </c>
      <c r="V25" s="283">
        <f t="shared" si="9"/>
        <v>1368.8685533090909</v>
      </c>
      <c r="W25" s="283">
        <f t="shared" si="0"/>
        <v>1392.5513418181815</v>
      </c>
      <c r="X25" s="283">
        <f t="shared" si="1"/>
        <v>1305.1767533090908</v>
      </c>
      <c r="Y25" s="285">
        <f t="shared" si="2"/>
        <v>1531.8064759999997</v>
      </c>
      <c r="Z25" s="285">
        <f t="shared" si="2"/>
        <v>1435.6944286400001</v>
      </c>
      <c r="AA25" s="194">
        <f>'Tariff Jul 2020'!AT17</f>
        <v>7.5</v>
      </c>
      <c r="AB25" s="195">
        <f>'Tariff Jul 2020'!BL17</f>
        <v>0</v>
      </c>
      <c r="AC25" s="195" t="str">
        <f>'Tariff Jul 2020'!BM17</f>
        <v>n</v>
      </c>
      <c r="AD25" s="196">
        <f>'Tariff Jul 2020'!G17</f>
        <v>42551</v>
      </c>
    </row>
    <row r="26" spans="1:30" x14ac:dyDescent="0.15">
      <c r="A26" s="186" t="str">
        <f>'Tariff Jul 2020'!K18</f>
        <v>Powerclub</v>
      </c>
      <c r="B26" s="187" t="str">
        <f>'Tariff Jul 2020'!L18</f>
        <v>Powerbank Home Solar</v>
      </c>
      <c r="C26" s="188">
        <f>IF('Tariff Jul 2020'!BP18=0,91*'Tariff Jul 2020'!M18/100,(91*'Tariff Jul 2020'!M18/100)+'Tariff Jul 2020'!BP18/4)</f>
        <v>104.13236363636362</v>
      </c>
      <c r="D26" s="188">
        <f>IF('Tariff Jul 2020'!O18="",$F$5*'Tariff Jul 2020'!N18/100,IF($F$5&gt;='Tariff Jul 2020'!P18,('Tariff Jul 2020'!P18*'Tariff Jul 2020'!N18/100),($F$5*'Tariff Jul 2020'!N18/100)))</f>
        <v>242.69221545454545</v>
      </c>
      <c r="E26" s="188">
        <f>IF(AND('Tariff Jul 2020'!P18&gt;0,'Tariff Jul 2020'!R18&gt;0),IF($F$5&lt;'Tariff Jul 2020'!P18,0,IF($F$5&lt;=('Tariff Jul 2020'!R18+'Tariff Jul 2020'!P18),(($F$5-'Tariff Jul 2020'!P18)*'Tariff Jul 2020'!Q18/100),(('Tariff Jul 2020'!R18)*'Tariff Jul 2020'!Q18/100))),0)</f>
        <v>0</v>
      </c>
      <c r="F26" s="189">
        <f>IF(AND('Tariff Jul 2020'!Q18&gt;0,'Tariff Jul 2020'!S18&gt;0),IF($F$5&lt;('Tariff Jul 2020'!R18+'Tariff Jul 2020'!P18),0,IF($F$5&lt;=('Tariff Jul 2020'!T18+'Tariff Jul 2020'!R18+'Tariff Jul 2020'!P18),(($F$5-('Tariff Jul 2020'!R18+'Tariff Jul 2020'!P18))*'Tariff Jul 2020'!S18/100),('Tariff Jul 2020'!T18*'Tariff Jul 2020'!S18/100))),0)</f>
        <v>0</v>
      </c>
      <c r="G26" s="188">
        <v>0</v>
      </c>
      <c r="H26" s="188">
        <v>0</v>
      </c>
      <c r="I26" s="189">
        <f>IF('Tariff Jul 2020'!T18&gt;0,IF(($F$5&lt;'Tariff Jul 2020'!T18),(0),($F$5-'Tariff Jul 2020'!T18)*'Tariff Jul 2020'!U18/100),IF(AND('Tariff Jul 2020'!R18&gt;0,'Tariff Jul 2020'!T18=""),IF(($F$5&lt;'Tariff Jul 2020'!R18),(0),($F$5-'Tariff Jul 2020'!R18)*'Tariff Jul 2020'!S18/100),IF(AND('Tariff Jul 2020'!P18&gt;0,'Tariff Jul 2020'!R18=""),IF(($F$5&lt;'Tariff Jul 2020'!P18),(0),($F$5-'Tariff Jul 2020'!P18)*'Tariff Jul 2020'!Q18/100),0)))</f>
        <v>0</v>
      </c>
      <c r="J26" s="188">
        <f t="shared" si="3"/>
        <v>346.82457909090908</v>
      </c>
      <c r="K26" s="283">
        <f t="shared" si="10"/>
        <v>970.7688618181819</v>
      </c>
      <c r="L26" s="283">
        <f t="shared" si="4"/>
        <v>1387.2983163636363</v>
      </c>
      <c r="M26" s="191">
        <f t="shared" si="5"/>
        <v>1526.0281480000001</v>
      </c>
      <c r="N26" s="187">
        <f>'Tariff Jul 2020'!AZ18</f>
        <v>0</v>
      </c>
      <c r="O26" s="187">
        <f>'Tariff Jul 2020'!BA18</f>
        <v>0</v>
      </c>
      <c r="P26" s="187">
        <f>'Tariff Jul 2020'!BB18</f>
        <v>0</v>
      </c>
      <c r="Q26" s="187">
        <f>'Tariff Jul 2020'!BC18</f>
        <v>0</v>
      </c>
      <c r="R26" s="192">
        <f>($F$6*'Tariff Jul 2020'!AT18/100)*4</f>
        <v>45.00887199999999</v>
      </c>
      <c r="S26" s="193" t="str">
        <f t="shared" si="6"/>
        <v>No discount</v>
      </c>
      <c r="T26" s="193" t="str">
        <f t="shared" si="7"/>
        <v>Exclusive</v>
      </c>
      <c r="U26" s="304">
        <f t="shared" si="8"/>
        <v>1387.2983163636363</v>
      </c>
      <c r="V26" s="283">
        <f t="shared" si="9"/>
        <v>1387.2983163636363</v>
      </c>
      <c r="W26" s="283">
        <f t="shared" si="0"/>
        <v>1342.2894443636364</v>
      </c>
      <c r="X26" s="283">
        <f t="shared" si="1"/>
        <v>1342.2894443636364</v>
      </c>
      <c r="Y26" s="285">
        <f t="shared" ref="Y26:Z27" si="11">W26*1.1</f>
        <v>1476.5183888000001</v>
      </c>
      <c r="Z26" s="285">
        <f t="shared" si="11"/>
        <v>1476.5183888000001</v>
      </c>
      <c r="AA26" s="194">
        <f>'Tariff Jul 2020'!AT18</f>
        <v>5.3</v>
      </c>
      <c r="AB26" s="195">
        <f>'Tariff Jul 2020'!BL18</f>
        <v>0</v>
      </c>
      <c r="AC26" s="195" t="str">
        <f>'Tariff Jul 2020'!BM18</f>
        <v>n</v>
      </c>
      <c r="AD26" s="196">
        <f>'Tariff Jul 2020'!G18</f>
        <v>42565</v>
      </c>
    </row>
    <row r="27" spans="1:30" x14ac:dyDescent="0.15">
      <c r="A27" s="186" t="str">
        <f>'Tariff Jul 2020'!K19</f>
        <v>Amber Electric</v>
      </c>
      <c r="B27" s="187" t="str">
        <f>'Tariff Jul 2020'!L19</f>
        <v>Market offer</v>
      </c>
      <c r="C27" s="188">
        <f>IF('Tariff Jul 2020'!BP19=0,91*'Tariff Jul 2020'!M19/100,(91*'Tariff Jul 2020'!M19/100)+'Tariff Jul 2020'!BP19/4)</f>
        <v>98.064909090909097</v>
      </c>
      <c r="D27" s="188">
        <f>IF('Tariff Jul 2020'!O19="",$F$5*'Tariff Jul 2020'!N19/100,IF($F$5&gt;='Tariff Jul 2020'!P19,('Tariff Jul 2020'!P19*'Tariff Jul 2020'!N19/100),($F$5*'Tariff Jul 2020'!N19/100)))</f>
        <v>346.00844781818182</v>
      </c>
      <c r="E27" s="188">
        <f>IF(AND('Tariff Jul 2020'!P19&gt;0,'Tariff Jul 2020'!R19&gt;0),IF($F$5&lt;'Tariff Jul 2020'!P19,0,IF($F$5&lt;=('Tariff Jul 2020'!R19+'Tariff Jul 2020'!P19),(($F$5-'Tariff Jul 2020'!P19)*'Tariff Jul 2020'!Q19/100),(('Tariff Jul 2020'!R19)*'Tariff Jul 2020'!Q19/100))),0)</f>
        <v>0</v>
      </c>
      <c r="F27" s="189">
        <f>IF(AND('Tariff Jul 2020'!Q19&gt;0,'Tariff Jul 2020'!S19&gt;0),IF($F$5&lt;('Tariff Jul 2020'!R19+'Tariff Jul 2020'!P19),0,IF($F$5&lt;=('Tariff Jul 2020'!T19+'Tariff Jul 2020'!R19+'Tariff Jul 2020'!P19),(($F$5-('Tariff Jul 2020'!R19+'Tariff Jul 2020'!P19))*'Tariff Jul 2020'!S19/100),('Tariff Jul 2020'!T19*'Tariff Jul 2020'!S19/100))),0)</f>
        <v>0</v>
      </c>
      <c r="G27" s="188">
        <v>0</v>
      </c>
      <c r="H27" s="188">
        <v>0</v>
      </c>
      <c r="I27" s="189">
        <f>IF('Tariff Jul 2020'!T19&gt;0,IF(($F$5&lt;'Tariff Jul 2020'!T19),(0),($F$5-'Tariff Jul 2020'!T19)*'Tariff Jul 2020'!U19/100),IF(AND('Tariff Jul 2020'!R19&gt;0,'Tariff Jul 2020'!T19=""),IF(($F$5&lt;'Tariff Jul 2020'!R19),(0),($F$5-'Tariff Jul 2020'!R19)*'Tariff Jul 2020'!S19/100),IF(AND('Tariff Jul 2020'!P19&gt;0,'Tariff Jul 2020'!R19=""),IF(($F$5&lt;'Tariff Jul 2020'!P19),(0),($F$5-'Tariff Jul 2020'!P19)*'Tariff Jul 2020'!Q19/100),0)))</f>
        <v>0</v>
      </c>
      <c r="J27" s="188">
        <f t="shared" si="3"/>
        <v>444.07335690909093</v>
      </c>
      <c r="K27" s="283">
        <f t="shared" si="10"/>
        <v>1384.0337912727273</v>
      </c>
      <c r="L27" s="283">
        <f t="shared" si="4"/>
        <v>1776.2934276363637</v>
      </c>
      <c r="M27" s="191">
        <f t="shared" si="5"/>
        <v>1953.9227704000002</v>
      </c>
      <c r="N27" s="187">
        <f>'Tariff Jul 2020'!AZ19</f>
        <v>0</v>
      </c>
      <c r="O27" s="187">
        <f>'Tariff Jul 2020'!BA19</f>
        <v>0</v>
      </c>
      <c r="P27" s="187">
        <f>'Tariff Jul 2020'!BB19</f>
        <v>0</v>
      </c>
      <c r="Q27" s="187">
        <f>'Tariff Jul 2020'!BC19</f>
        <v>0</v>
      </c>
      <c r="R27" s="192">
        <f>($F$6*'Tariff Jul 2020'!AT19/100)*4</f>
        <v>67.937919999999991</v>
      </c>
      <c r="S27" s="193" t="str">
        <f t="shared" si="6"/>
        <v>No discount</v>
      </c>
      <c r="T27" s="193" t="str">
        <f t="shared" si="7"/>
        <v>Exclusive</v>
      </c>
      <c r="U27" s="304">
        <f t="shared" si="8"/>
        <v>1776.2934276363637</v>
      </c>
      <c r="V27" s="283">
        <f t="shared" si="9"/>
        <v>1776.2934276363637</v>
      </c>
      <c r="W27" s="283">
        <f t="shared" si="0"/>
        <v>1708.3555076363637</v>
      </c>
      <c r="X27" s="283">
        <f t="shared" si="1"/>
        <v>1708.3555076363637</v>
      </c>
      <c r="Y27" s="285">
        <f t="shared" si="11"/>
        <v>1879.1910584000002</v>
      </c>
      <c r="Z27" s="285">
        <f t="shared" si="11"/>
        <v>1879.1910584000002</v>
      </c>
      <c r="AA27" s="194">
        <f>'Tariff Jul 2020'!AT19</f>
        <v>8</v>
      </c>
      <c r="AB27" s="195">
        <f>'Tariff Jul 2020'!BL19</f>
        <v>0</v>
      </c>
      <c r="AC27" s="195" t="str">
        <f>'Tariff Jul 2020'!BM19</f>
        <v>n</v>
      </c>
      <c r="AD27" s="196">
        <f>'Tariff Jul 2020'!G19</f>
        <v>42476</v>
      </c>
    </row>
    <row r="28" spans="1:30" x14ac:dyDescent="0.15">
      <c r="A28" s="186" t="str">
        <f>'Tariff Jul 2020'!K20</f>
        <v>DC Power Co</v>
      </c>
      <c r="B28" s="187" t="str">
        <f>'Tariff Jul 2020'!L20</f>
        <v>Market offer</v>
      </c>
      <c r="C28" s="188">
        <f>IF('Tariff Jul 2020'!BP20=0,91*'Tariff Jul 2020'!M20/100,(91*'Tariff Jul 2020'!M20/100)+'Tariff Jul 2020'!BP20/4)</f>
        <v>117.83154545454545</v>
      </c>
      <c r="D28" s="188">
        <f>IF('Tariff Jul 2020'!O20="",$F$5*'Tariff Jul 2020'!N20/100,IF($F$5&gt;='Tariff Jul 2020'!P20,('Tariff Jul 2020'!P20*'Tariff Jul 2020'!N20/100),($F$5*'Tariff Jul 2020'!N20/100)))</f>
        <v>305.08567727272725</v>
      </c>
      <c r="E28" s="188">
        <f>IF(AND('Tariff Jul 2020'!P20&gt;0,'Tariff Jul 2020'!R20&gt;0),IF($F$5&lt;'Tariff Jul 2020'!P20,0,IF($F$5&lt;=('Tariff Jul 2020'!R20+'Tariff Jul 2020'!P20),(($F$5-'Tariff Jul 2020'!P20)*'Tariff Jul 2020'!Q20/100),(('Tariff Jul 2020'!R20)*'Tariff Jul 2020'!Q20/100))),0)</f>
        <v>0</v>
      </c>
      <c r="F28" s="189">
        <f>IF(AND('Tariff Jul 2020'!Q20&gt;0,'Tariff Jul 2020'!S20&gt;0),IF($F$5&lt;('Tariff Jul 2020'!R20+'Tariff Jul 2020'!P20),0,IF($F$5&lt;=('Tariff Jul 2020'!T20+'Tariff Jul 2020'!R20+'Tariff Jul 2020'!P20),(($F$5-('Tariff Jul 2020'!R20+'Tariff Jul 2020'!P20))*'Tariff Jul 2020'!S20/100),('Tariff Jul 2020'!T20*'Tariff Jul 2020'!S20/100))),0)</f>
        <v>0</v>
      </c>
      <c r="G28" s="188">
        <v>0</v>
      </c>
      <c r="H28" s="188">
        <v>0</v>
      </c>
      <c r="I28" s="189">
        <f>IF('Tariff Jul 2020'!T20&gt;0,IF(($F$5&lt;'Tariff Jul 2020'!T20),(0),($F$5-'Tariff Jul 2020'!T20)*'Tariff Jul 2020'!U20/100),IF(AND('Tariff Jul 2020'!R20&gt;0,'Tariff Jul 2020'!T20=""),IF(($F$5&lt;'Tariff Jul 2020'!R20),(0),($F$5-'Tariff Jul 2020'!R20)*'Tariff Jul 2020'!S20/100),IF(AND('Tariff Jul 2020'!P20&gt;0,'Tariff Jul 2020'!R20=""),IF(($F$5&lt;'Tariff Jul 2020'!P20),(0),($F$5-'Tariff Jul 2020'!P20)*'Tariff Jul 2020'!Q20/100),0)))</f>
        <v>0</v>
      </c>
      <c r="J28" s="188">
        <f t="shared" ref="J28:J34" si="12">SUM(C28:I28)</f>
        <v>422.9172227272727</v>
      </c>
      <c r="K28" s="283">
        <f t="shared" ref="K28:K34" si="13">(J28-C28)*4</f>
        <v>1220.342709090909</v>
      </c>
      <c r="L28" s="283">
        <f t="shared" ref="L28:L34" si="14">J28*4</f>
        <v>1691.6688909090908</v>
      </c>
      <c r="M28" s="191">
        <f t="shared" ref="M28:M34" si="15">L28*1.1</f>
        <v>1860.8357800000001</v>
      </c>
      <c r="N28" s="187">
        <f>'Tariff Jul 2020'!AZ20</f>
        <v>0</v>
      </c>
      <c r="O28" s="187">
        <f>'Tariff Jul 2020'!BA20</f>
        <v>0</v>
      </c>
      <c r="P28" s="187">
        <f>'Tariff Jul 2020'!BB20</f>
        <v>0</v>
      </c>
      <c r="Q28" s="187">
        <f>'Tariff Jul 2020'!BC20</f>
        <v>0</v>
      </c>
      <c r="R28" s="192">
        <f>($F$6*'Tariff Jul 2020'!AT20/100)*4</f>
        <v>127.38359999999999</v>
      </c>
      <c r="S28" s="193" t="str">
        <f t="shared" ref="S28:S34" si="16">IF(SUM(N28:Q28)=0,"No discount",IF(N28&gt;0,"Guaranteed off bill",IF(O28&gt;0,"Guaranteed off usage",IF(P28&gt;0,"Pay-on-time off bill","Pay-on-time off usage"))))</f>
        <v>No discount</v>
      </c>
      <c r="T28" s="193" t="str">
        <f t="shared" ref="T28:T34" si="17">IF(OR(A28="Origin Energy",A28="Red Energy",A28="Powershop"),"Inclusive","Exclusive")</f>
        <v>Exclusive</v>
      </c>
      <c r="U28" s="304">
        <f t="shared" ref="U28:U34" si="18">IF(AND(S28="Guaranteed off bill",T28="Inclusive"),((L28*1.1)-((L28*1.1)*N28/100))/1.1,IF(AND(S28="Guaranteed off usage",T28="Inclusive"),((L28*1.1)-((K28*1.1)*O28/100))/1.1,IF(AND(S28="Guaranteed off bill",T28="Exclusive"),L28-(L28*N28/100),IF(AND(S28="Guaranteed off usage",T28="Exclusive"),L28-(K28*O28/100),IF(T28="Inclusive",((L28*1.1))/1.1,L28)))))</f>
        <v>1691.6688909090908</v>
      </c>
      <c r="V28" s="283">
        <f t="shared" ref="V28:V34" si="19">IF(AND(S28="Pay-on-time off bill",T28="Inclusive"),((U28*1.1)-((U28*1.1)*P28/100))/1.1,IF(AND(S28="Pay-on-time off usage",T28="Inclusive"),((U28*1.1)-((K28*1.1)*Q28/100))/1.1,IF(AND(S28="Pay-on-time off bill",T28="Exclusive"),U28-(U28*P28/100),IF(AND(S28="Pay-on-time off usage",T28="Exclusive"),U28-(K28*Q28/100),IF(T28="Inclusive",((U28*1.1))/1.1,U28)))))</f>
        <v>1691.6688909090908</v>
      </c>
      <c r="W28" s="283">
        <f t="shared" ref="W28:W34" si="20">U28-R28</f>
        <v>1564.2852909090909</v>
      </c>
      <c r="X28" s="283">
        <f t="shared" ref="X28:X34" si="21">V28-R28</f>
        <v>1564.2852909090909</v>
      </c>
      <c r="Y28" s="285">
        <f t="shared" ref="Y28:Y34" si="22">W28*1.1</f>
        <v>1720.7138200000002</v>
      </c>
      <c r="Z28" s="285">
        <f t="shared" ref="Z28:Z34" si="23">X28*1.1</f>
        <v>1720.7138200000002</v>
      </c>
      <c r="AA28" s="194">
        <f>'Tariff Jul 2020'!AT20</f>
        <v>15</v>
      </c>
      <c r="AB28" s="195">
        <f>'Tariff Jul 2020'!BL20</f>
        <v>0</v>
      </c>
      <c r="AC28" s="195" t="str">
        <f>'Tariff Jul 2020'!BM20</f>
        <v>n</v>
      </c>
      <c r="AD28" s="196">
        <f>'Tariff Jul 2020'!G20</f>
        <v>42413</v>
      </c>
    </row>
    <row r="29" spans="1:30" x14ac:dyDescent="0.15">
      <c r="A29" s="186" t="str">
        <f>'Tariff Jul 2020'!K21</f>
        <v>Discover Energy</v>
      </c>
      <c r="B29" s="187" t="str">
        <f>'Tariff Jul 2020'!L21</f>
        <v>Solar Boost</v>
      </c>
      <c r="C29" s="188">
        <f>IF('Tariff Jul 2020'!BP21=0,91*'Tariff Jul 2020'!M21/100,(91*'Tariff Jul 2020'!M21/100)+'Tariff Jul 2020'!BP21/4)</f>
        <v>86.044636363636357</v>
      </c>
      <c r="D29" s="188">
        <f>IF('Tariff Jul 2020'!O21="",$F$5*'Tariff Jul 2020'!N21/100,IF($F$5&gt;='Tariff Jul 2020'!P21,('Tariff Jul 2020'!P21*'Tariff Jul 2020'!N21/100),($F$5*'Tariff Jul 2020'!N21/100)))</f>
        <v>333.07097999999991</v>
      </c>
      <c r="E29" s="188">
        <f>IF(AND('Tariff Jul 2020'!P21&gt;0,'Tariff Jul 2020'!R21&gt;0),IF($F$5&lt;'Tariff Jul 2020'!P21,0,IF($F$5&lt;=('Tariff Jul 2020'!R21+'Tariff Jul 2020'!P21),(($F$5-'Tariff Jul 2020'!P21)*'Tariff Jul 2020'!Q21/100),(('Tariff Jul 2020'!R21)*'Tariff Jul 2020'!Q21/100))),0)</f>
        <v>0</v>
      </c>
      <c r="F29" s="189">
        <f>IF(AND('Tariff Jul 2020'!Q21&gt;0,'Tariff Jul 2020'!S21&gt;0),IF($F$5&lt;('Tariff Jul 2020'!R21+'Tariff Jul 2020'!P21),0,IF($F$5&lt;=('Tariff Jul 2020'!T21+'Tariff Jul 2020'!R21+'Tariff Jul 2020'!P21),(($F$5-('Tariff Jul 2020'!R21+'Tariff Jul 2020'!P21))*'Tariff Jul 2020'!S21/100),('Tariff Jul 2020'!T21*'Tariff Jul 2020'!S21/100))),0)</f>
        <v>0</v>
      </c>
      <c r="G29" s="188">
        <v>0</v>
      </c>
      <c r="H29" s="188">
        <v>0</v>
      </c>
      <c r="I29" s="189">
        <f>IF('Tariff Jul 2020'!T21&gt;0,IF(($F$5&lt;'Tariff Jul 2020'!T21),(0),($F$5-'Tariff Jul 2020'!T21)*'Tariff Jul 2020'!U21/100),IF(AND('Tariff Jul 2020'!R21&gt;0,'Tariff Jul 2020'!T21=""),IF(($F$5&lt;'Tariff Jul 2020'!R21),(0),($F$5-'Tariff Jul 2020'!R21)*'Tariff Jul 2020'!S21/100),IF(AND('Tariff Jul 2020'!P21&gt;0,'Tariff Jul 2020'!R21=""),IF(($F$5&lt;'Tariff Jul 2020'!P21),(0),($F$5-'Tariff Jul 2020'!P21)*'Tariff Jul 2020'!Q21/100),0)))</f>
        <v>0</v>
      </c>
      <c r="J29" s="188">
        <f t="shared" si="12"/>
        <v>419.11561636363626</v>
      </c>
      <c r="K29" s="283">
        <f t="shared" si="13"/>
        <v>1332.2839199999996</v>
      </c>
      <c r="L29" s="283">
        <f t="shared" si="14"/>
        <v>1676.4624654545451</v>
      </c>
      <c r="M29" s="191">
        <f t="shared" si="15"/>
        <v>1844.1087119999997</v>
      </c>
      <c r="N29" s="187">
        <f>'Tariff Jul 2020'!AZ21</f>
        <v>0</v>
      </c>
      <c r="O29" s="187">
        <f>'Tariff Jul 2020'!BA21</f>
        <v>0</v>
      </c>
      <c r="P29" s="187">
        <f>'Tariff Jul 2020'!BB21</f>
        <v>0</v>
      </c>
      <c r="Q29" s="187">
        <f>'Tariff Jul 2020'!BC21</f>
        <v>0</v>
      </c>
      <c r="R29" s="192">
        <f>($F$6*'Tariff Jul 2020'!AT21/100)*4</f>
        <v>97.660759999999996</v>
      </c>
      <c r="S29" s="193" t="str">
        <f t="shared" si="16"/>
        <v>No discount</v>
      </c>
      <c r="T29" s="193" t="str">
        <f t="shared" si="17"/>
        <v>Exclusive</v>
      </c>
      <c r="U29" s="304">
        <f t="shared" si="18"/>
        <v>1676.4624654545451</v>
      </c>
      <c r="V29" s="283">
        <f t="shared" si="19"/>
        <v>1676.4624654545451</v>
      </c>
      <c r="W29" s="283">
        <f t="shared" si="20"/>
        <v>1578.8017054545451</v>
      </c>
      <c r="X29" s="283">
        <f t="shared" si="21"/>
        <v>1578.8017054545451</v>
      </c>
      <c r="Y29" s="285">
        <f t="shared" si="22"/>
        <v>1736.6818759999996</v>
      </c>
      <c r="Z29" s="285">
        <f t="shared" si="23"/>
        <v>1736.6818759999996</v>
      </c>
      <c r="AA29" s="194">
        <f>'Tariff Jul 2020'!AT21</f>
        <v>11.5</v>
      </c>
      <c r="AB29" s="195">
        <f>'Tariff Jul 2020'!BL21</f>
        <v>0</v>
      </c>
      <c r="AC29" s="195" t="str">
        <f>'Tariff Jul 2020'!BM21</f>
        <v>n</v>
      </c>
      <c r="AD29" s="196">
        <f>'Tariff Jul 2020'!G21</f>
        <v>42551</v>
      </c>
    </row>
    <row r="30" spans="1:30" x14ac:dyDescent="0.15">
      <c r="A30" s="186" t="str">
        <f>'Tariff Jul 2020'!K22</f>
        <v>Future X Power</v>
      </c>
      <c r="B30" s="187" t="str">
        <f>'Tariff Jul 2020'!L22</f>
        <v>Flexi Saver</v>
      </c>
      <c r="C30" s="188">
        <f>IF('Tariff Jul 2020'!BP22=0,91*'Tariff Jul 2020'!M22/100,(91*'Tariff Jul 2020'!M22/100)+'Tariff Jul 2020'!BP22/4)</f>
        <v>78.077999999999989</v>
      </c>
      <c r="D30" s="188">
        <f>IF('Tariff Jul 2020'!O22="",$F$5*'Tariff Jul 2020'!N22/100,IF($F$5&gt;='Tariff Jul 2020'!P22,('Tariff Jul 2020'!P22*'Tariff Jul 2020'!N22/100),($F$5*'Tariff Jul 2020'!N22/100)))</f>
        <v>285.1748225454545</v>
      </c>
      <c r="E30" s="188">
        <f>IF(AND('Tariff Jul 2020'!P22&gt;0,'Tariff Jul 2020'!R22&gt;0),IF($F$5&lt;'Tariff Jul 2020'!P22,0,IF($F$5&lt;=('Tariff Jul 2020'!R22+'Tariff Jul 2020'!P22),(($F$5-'Tariff Jul 2020'!P22)*'Tariff Jul 2020'!Q22/100),(('Tariff Jul 2020'!R22)*'Tariff Jul 2020'!Q22/100))),0)</f>
        <v>0</v>
      </c>
      <c r="F30" s="189">
        <f>IF(AND('Tariff Jul 2020'!Q22&gt;0,'Tariff Jul 2020'!S22&gt;0),IF($F$5&lt;('Tariff Jul 2020'!R22+'Tariff Jul 2020'!P22),0,IF($F$5&lt;=('Tariff Jul 2020'!T22+'Tariff Jul 2020'!R22+'Tariff Jul 2020'!P22),(($F$5-('Tariff Jul 2020'!R22+'Tariff Jul 2020'!P22))*'Tariff Jul 2020'!S22/100),('Tariff Jul 2020'!T22*'Tariff Jul 2020'!S22/100))),0)</f>
        <v>0</v>
      </c>
      <c r="G30" s="188">
        <v>0</v>
      </c>
      <c r="H30" s="188">
        <v>0</v>
      </c>
      <c r="I30" s="189">
        <f>IF('Tariff Jul 2020'!T22&gt;0,IF(($F$5&lt;'Tariff Jul 2020'!T22),(0),($F$5-'Tariff Jul 2020'!T22)*'Tariff Jul 2020'!U22/100),IF(AND('Tariff Jul 2020'!R22&gt;0,'Tariff Jul 2020'!T22=""),IF(($F$5&lt;'Tariff Jul 2020'!R22),(0),($F$5-'Tariff Jul 2020'!R22)*'Tariff Jul 2020'!S22/100),IF(AND('Tariff Jul 2020'!P22&gt;0,'Tariff Jul 2020'!R22=""),IF(($F$5&lt;'Tariff Jul 2020'!P22),(0),($F$5-'Tariff Jul 2020'!P22)*'Tariff Jul 2020'!Q22/100),0)))</f>
        <v>0</v>
      </c>
      <c r="J30" s="188">
        <f t="shared" si="12"/>
        <v>363.25282254545448</v>
      </c>
      <c r="K30" s="283">
        <f t="shared" si="13"/>
        <v>1140.699290181818</v>
      </c>
      <c r="L30" s="283">
        <f t="shared" si="14"/>
        <v>1453.0112901818179</v>
      </c>
      <c r="M30" s="191">
        <f t="shared" si="15"/>
        <v>1598.3124191999998</v>
      </c>
      <c r="N30" s="187">
        <f>'Tariff Jul 2020'!AZ22</f>
        <v>0</v>
      </c>
      <c r="O30" s="187">
        <f>'Tariff Jul 2020'!BA22</f>
        <v>0</v>
      </c>
      <c r="P30" s="187">
        <f>'Tariff Jul 2020'!BB22</f>
        <v>0</v>
      </c>
      <c r="Q30" s="187">
        <f>'Tariff Jul 2020'!BC22</f>
        <v>0</v>
      </c>
      <c r="R30" s="192">
        <f>($F$6*'Tariff Jul 2020'!AT22/100)*4</f>
        <v>33.968959999999996</v>
      </c>
      <c r="S30" s="193" t="str">
        <f t="shared" si="16"/>
        <v>No discount</v>
      </c>
      <c r="T30" s="193" t="str">
        <f t="shared" si="17"/>
        <v>Exclusive</v>
      </c>
      <c r="U30" s="304">
        <f t="shared" si="18"/>
        <v>1453.0112901818179</v>
      </c>
      <c r="V30" s="283">
        <f t="shared" si="19"/>
        <v>1453.0112901818179</v>
      </c>
      <c r="W30" s="283">
        <f t="shared" si="20"/>
        <v>1419.042330181818</v>
      </c>
      <c r="X30" s="283">
        <f t="shared" si="21"/>
        <v>1419.042330181818</v>
      </c>
      <c r="Y30" s="285">
        <f t="shared" si="22"/>
        <v>1560.9465631999999</v>
      </c>
      <c r="Z30" s="285">
        <f t="shared" si="23"/>
        <v>1560.9465631999999</v>
      </c>
      <c r="AA30" s="194">
        <f>'Tariff Jul 2020'!AT22</f>
        <v>4</v>
      </c>
      <c r="AB30" s="195">
        <f>'Tariff Jul 2020'!BL22</f>
        <v>0</v>
      </c>
      <c r="AC30" s="195" t="str">
        <f>'Tariff Jul 2020'!BM22</f>
        <v>n</v>
      </c>
      <c r="AD30" s="196">
        <f>'Tariff Jul 2020'!G22</f>
        <v>42587</v>
      </c>
    </row>
    <row r="31" spans="1:30" x14ac:dyDescent="0.15">
      <c r="A31" s="186" t="str">
        <f>'Tariff Jul 2020'!K23</f>
        <v>GloBird Energy</v>
      </c>
      <c r="B31" s="187" t="str">
        <f>'Tariff Jul 2020'!L23</f>
        <v>GloSave</v>
      </c>
      <c r="C31" s="188">
        <f>IF('Tariff Jul 2020'!BP23=0,91*'Tariff Jul 2020'!M23/100,(91*'Tariff Jul 2020'!M23/100)+'Tariff Jul 2020'!BP23/4)</f>
        <v>90.999999999999986</v>
      </c>
      <c r="D31" s="188">
        <f>IF('Tariff Jul 2020'!O23="",$F$5*'Tariff Jul 2020'!N23/100,IF($F$5&gt;='Tariff Jul 2020'!P23,('Tariff Jul 2020'!P23*'Tariff Jul 2020'!N23/100),($F$5*'Tariff Jul 2020'!N23/100)))</f>
        <v>257</v>
      </c>
      <c r="E31" s="188">
        <f>IF(AND('Tariff Jul 2020'!P23&gt;0,'Tariff Jul 2020'!R23&gt;0),IF($F$5&lt;'Tariff Jul 2020'!P23,0,IF($F$5&lt;=('Tariff Jul 2020'!R23+'Tariff Jul 2020'!P23),(($F$5-'Tariff Jul 2020'!P23)*'Tariff Jul 2020'!Q23/100),(('Tariff Jul 2020'!R23)*'Tariff Jul 2020'!Q23/100))),0)</f>
        <v>0</v>
      </c>
      <c r="F31" s="189">
        <f>IF(AND('Tariff Jul 2020'!Q23&gt;0,'Tariff Jul 2020'!S23&gt;0),IF($F$5&lt;('Tariff Jul 2020'!R23+'Tariff Jul 2020'!P23),0,IF($F$5&lt;=('Tariff Jul 2020'!T23+'Tariff Jul 2020'!R23+'Tariff Jul 2020'!P23),(($F$5-('Tariff Jul 2020'!R23+'Tariff Jul 2020'!P23))*'Tariff Jul 2020'!S23/100),('Tariff Jul 2020'!T23*'Tariff Jul 2020'!S23/100))),0)</f>
        <v>0</v>
      </c>
      <c r="G31" s="188">
        <v>0</v>
      </c>
      <c r="H31" s="188">
        <v>0</v>
      </c>
      <c r="I31" s="189">
        <f>IF('Tariff Jul 2020'!T23&gt;0,IF(($F$5&lt;'Tariff Jul 2020'!T23),(0),($F$5-'Tariff Jul 2020'!T23)*'Tariff Jul 2020'!U23/100),IF(AND('Tariff Jul 2020'!R23&gt;0,'Tariff Jul 2020'!T23=""),IF(($F$5&lt;'Tariff Jul 2020'!R23),(0),($F$5-'Tariff Jul 2020'!R23)*'Tariff Jul 2020'!S23/100),IF(AND('Tariff Jul 2020'!P23&gt;0,'Tariff Jul 2020'!R23=""),IF(($F$5&lt;'Tariff Jul 2020'!P23),(0),($F$5-'Tariff Jul 2020'!P23)*'Tariff Jul 2020'!Q23/100),0)))</f>
        <v>3.1640400000000128</v>
      </c>
      <c r="J31" s="188">
        <f t="shared" si="12"/>
        <v>351.16404</v>
      </c>
      <c r="K31" s="283">
        <f t="shared" si="13"/>
        <v>1040.65616</v>
      </c>
      <c r="L31" s="283">
        <f t="shared" si="14"/>
        <v>1404.65616</v>
      </c>
      <c r="M31" s="191">
        <f t="shared" si="15"/>
        <v>1545.1217760000002</v>
      </c>
      <c r="N31" s="187">
        <f>'Tariff Jul 2020'!AZ23</f>
        <v>0</v>
      </c>
      <c r="O31" s="187">
        <f>'Tariff Jul 2020'!BA23</f>
        <v>0</v>
      </c>
      <c r="P31" s="187">
        <f>'Tariff Jul 2020'!BB23</f>
        <v>7</v>
      </c>
      <c r="Q31" s="187">
        <f>'Tariff Jul 2020'!BC23</f>
        <v>0</v>
      </c>
      <c r="R31" s="192">
        <f>($F$6*'Tariff Jul 2020'!AT23/100)*4</f>
        <v>25.476719999999997</v>
      </c>
      <c r="S31" s="193" t="str">
        <f t="shared" si="16"/>
        <v>Pay-on-time off bill</v>
      </c>
      <c r="T31" s="193" t="str">
        <f t="shared" si="17"/>
        <v>Exclusive</v>
      </c>
      <c r="U31" s="304">
        <f t="shared" si="18"/>
        <v>1404.65616</v>
      </c>
      <c r="V31" s="283">
        <f t="shared" si="19"/>
        <v>1306.3302288</v>
      </c>
      <c r="W31" s="283">
        <f t="shared" si="20"/>
        <v>1379.1794400000001</v>
      </c>
      <c r="X31" s="283">
        <f t="shared" si="21"/>
        <v>1280.8535088000001</v>
      </c>
      <c r="Y31" s="285">
        <f t="shared" si="22"/>
        <v>1517.0973840000001</v>
      </c>
      <c r="Z31" s="285">
        <f t="shared" si="23"/>
        <v>1408.9388596800002</v>
      </c>
      <c r="AA31" s="194">
        <f>'Tariff Jul 2020'!AT23</f>
        <v>3</v>
      </c>
      <c r="AB31" s="195">
        <f>'Tariff Jul 2020'!BL23</f>
        <v>0</v>
      </c>
      <c r="AC31" s="195" t="str">
        <f>'Tariff Jul 2020'!BM23</f>
        <v>n</v>
      </c>
      <c r="AD31" s="196">
        <f>'Tariff Jul 2020'!G23</f>
        <v>42571</v>
      </c>
    </row>
    <row r="32" spans="1:30" x14ac:dyDescent="0.15">
      <c r="A32" s="186" t="str">
        <f>'Tariff Jul 2020'!K24</f>
        <v>Kogan Energy</v>
      </c>
      <c r="B32" s="187" t="str">
        <f>'Tariff Jul 2020'!L24</f>
        <v>Market offer</v>
      </c>
      <c r="C32" s="188">
        <f>IF('Tariff Jul 2020'!BP24=0,91*'Tariff Jul 2020'!M24/100,(91*'Tariff Jul 2020'!M24/100)+'Tariff Jul 2020'!BP24/4)</f>
        <v>96.939818181818197</v>
      </c>
      <c r="D32" s="188">
        <f>IF('Tariff Jul 2020'!O24="",$F$5*'Tariff Jul 2020'!N24/100,IF($F$5&gt;='Tariff Jul 2020'!P24,('Tariff Jul 2020'!P24*'Tariff Jul 2020'!N24/100),($F$5*'Tariff Jul 2020'!N24/100)))</f>
        <v>240.12307290909092</v>
      </c>
      <c r="E32" s="188">
        <f>IF(AND('Tariff Jul 2020'!P24&gt;0,'Tariff Jul 2020'!R24&gt;0),IF($F$5&lt;'Tariff Jul 2020'!P24,0,IF($F$5&lt;=('Tariff Jul 2020'!R24+'Tariff Jul 2020'!P24),(($F$5-'Tariff Jul 2020'!P24)*'Tariff Jul 2020'!Q24/100),(('Tariff Jul 2020'!R24)*'Tariff Jul 2020'!Q24/100))),0)</f>
        <v>0</v>
      </c>
      <c r="F32" s="189">
        <f>IF(AND('Tariff Jul 2020'!Q24&gt;0,'Tariff Jul 2020'!S24&gt;0),IF($F$5&lt;('Tariff Jul 2020'!R24+'Tariff Jul 2020'!P24),0,IF($F$5&lt;=('Tariff Jul 2020'!T24+'Tariff Jul 2020'!R24+'Tariff Jul 2020'!P24),(($F$5-('Tariff Jul 2020'!R24+'Tariff Jul 2020'!P24))*'Tariff Jul 2020'!S24/100),('Tariff Jul 2020'!T24*'Tariff Jul 2020'!S24/100))),0)</f>
        <v>0</v>
      </c>
      <c r="G32" s="188">
        <v>0</v>
      </c>
      <c r="H32" s="188">
        <v>0</v>
      </c>
      <c r="I32" s="189">
        <f>IF('Tariff Jul 2020'!T24&gt;0,IF(($F$5&lt;'Tariff Jul 2020'!T24),(0),($F$5-'Tariff Jul 2020'!T24)*'Tariff Jul 2020'!U24/100),IF(AND('Tariff Jul 2020'!R24&gt;0,'Tariff Jul 2020'!T24=""),IF(($F$5&lt;'Tariff Jul 2020'!R24),(0),($F$5-'Tariff Jul 2020'!R24)*'Tariff Jul 2020'!S24/100),IF(AND('Tariff Jul 2020'!P24&gt;0,'Tariff Jul 2020'!R24=""),IF(($F$5&lt;'Tariff Jul 2020'!P24),(0),($F$5-'Tariff Jul 2020'!P24)*'Tariff Jul 2020'!Q24/100),0)))</f>
        <v>0</v>
      </c>
      <c r="J32" s="188">
        <f t="shared" si="12"/>
        <v>337.06289109090915</v>
      </c>
      <c r="K32" s="283">
        <f t="shared" si="13"/>
        <v>960.4922916363638</v>
      </c>
      <c r="L32" s="283">
        <f t="shared" si="14"/>
        <v>1348.2515643636366</v>
      </c>
      <c r="M32" s="191">
        <f t="shared" si="15"/>
        <v>1483.0767208000004</v>
      </c>
      <c r="N32" s="187">
        <f>'Tariff Jul 2020'!AZ24</f>
        <v>0</v>
      </c>
      <c r="O32" s="187">
        <f>'Tariff Jul 2020'!BA24</f>
        <v>0</v>
      </c>
      <c r="P32" s="187">
        <f>'Tariff Jul 2020'!BB24</f>
        <v>0</v>
      </c>
      <c r="Q32" s="187">
        <f>'Tariff Jul 2020'!BC24</f>
        <v>0</v>
      </c>
      <c r="R32" s="192">
        <f>($F$6*'Tariff Jul 2020'!AT24/100)*4</f>
        <v>34.903106399999999</v>
      </c>
      <c r="S32" s="193" t="str">
        <f t="shared" si="16"/>
        <v>No discount</v>
      </c>
      <c r="T32" s="193" t="str">
        <f t="shared" si="17"/>
        <v>Exclusive</v>
      </c>
      <c r="U32" s="304">
        <f t="shared" si="18"/>
        <v>1348.2515643636366</v>
      </c>
      <c r="V32" s="283">
        <f t="shared" si="19"/>
        <v>1348.2515643636366</v>
      </c>
      <c r="W32" s="283">
        <f t="shared" si="20"/>
        <v>1313.3484579636365</v>
      </c>
      <c r="X32" s="283">
        <f t="shared" si="21"/>
        <v>1313.3484579636365</v>
      </c>
      <c r="Y32" s="285">
        <f t="shared" si="22"/>
        <v>1444.6833037600004</v>
      </c>
      <c r="Z32" s="285">
        <f t="shared" si="23"/>
        <v>1444.6833037600004</v>
      </c>
      <c r="AA32" s="194">
        <f>'Tariff Jul 2020'!AT24</f>
        <v>4.1100000000000003</v>
      </c>
      <c r="AB32" s="195">
        <f>'Tariff Jul 2020'!BL24</f>
        <v>0</v>
      </c>
      <c r="AC32" s="195" t="str">
        <f>'Tariff Jul 2020'!BM24</f>
        <v>n</v>
      </c>
      <c r="AD32" s="196">
        <f>'Tariff Jul 2020'!G24</f>
        <v>42551</v>
      </c>
    </row>
    <row r="33" spans="1:30" x14ac:dyDescent="0.15">
      <c r="A33" s="186" t="str">
        <f>'Tariff Jul 2020'!K25</f>
        <v>OVO Energy</v>
      </c>
      <c r="B33" s="187" t="str">
        <f>'Tariff Jul 2020'!L25</f>
        <v>The One Plan</v>
      </c>
      <c r="C33" s="188">
        <f>IF('Tariff Jul 2020'!BP25=0,91*'Tariff Jul 2020'!M25/100,(91*'Tariff Jul 2020'!M25/100)+'Tariff Jul 2020'!BP25/4)</f>
        <v>90.999999999999986</v>
      </c>
      <c r="D33" s="188">
        <f>IF('Tariff Jul 2020'!O25="",$F$5*'Tariff Jul 2020'!N25/100,IF($F$5&gt;='Tariff Jul 2020'!P25,('Tariff Jul 2020'!P25*'Tariff Jul 2020'!N25/100),($F$5*'Tariff Jul 2020'!N25/100)))</f>
        <v>277.55914999999999</v>
      </c>
      <c r="E33" s="188">
        <f>IF(AND('Tariff Jul 2020'!P25&gt;0,'Tariff Jul 2020'!R25&gt;0),IF($F$5&lt;'Tariff Jul 2020'!P25,0,IF($F$5&lt;=('Tariff Jul 2020'!R25+'Tariff Jul 2020'!P25),(($F$5-'Tariff Jul 2020'!P25)*'Tariff Jul 2020'!Q25/100),(('Tariff Jul 2020'!R25)*'Tariff Jul 2020'!Q25/100))),0)</f>
        <v>0</v>
      </c>
      <c r="F33" s="189">
        <f>IF(AND('Tariff Jul 2020'!Q25&gt;0,'Tariff Jul 2020'!S25&gt;0),IF($F$5&lt;('Tariff Jul 2020'!R25+'Tariff Jul 2020'!P25),0,IF($F$5&lt;=('Tariff Jul 2020'!T25+'Tariff Jul 2020'!R25+'Tariff Jul 2020'!P25),(($F$5-('Tariff Jul 2020'!R25+'Tariff Jul 2020'!P25))*'Tariff Jul 2020'!S25/100),('Tariff Jul 2020'!T25*'Tariff Jul 2020'!S25/100))),0)</f>
        <v>0</v>
      </c>
      <c r="G33" s="188">
        <v>0</v>
      </c>
      <c r="H33" s="188">
        <v>0</v>
      </c>
      <c r="I33" s="189">
        <f>IF('Tariff Jul 2020'!T25&gt;0,IF(($F$5&lt;'Tariff Jul 2020'!T25),(0),($F$5-'Tariff Jul 2020'!T25)*'Tariff Jul 2020'!U25/100),IF(AND('Tariff Jul 2020'!R25&gt;0,'Tariff Jul 2020'!T25=""),IF(($F$5&lt;'Tariff Jul 2020'!R25),(0),($F$5-'Tariff Jul 2020'!R25)*'Tariff Jul 2020'!S25/100),IF(AND('Tariff Jul 2020'!P25&gt;0,'Tariff Jul 2020'!R25=""),IF(($F$5&lt;'Tariff Jul 2020'!P25),(0),($F$5-'Tariff Jul 2020'!P25)*'Tariff Jul 2020'!Q25/100),0)))</f>
        <v>0</v>
      </c>
      <c r="J33" s="188">
        <f t="shared" si="12"/>
        <v>368.55914999999999</v>
      </c>
      <c r="K33" s="283">
        <f t="shared" si="13"/>
        <v>1110.2366</v>
      </c>
      <c r="L33" s="283">
        <f t="shared" si="14"/>
        <v>1474.2366</v>
      </c>
      <c r="M33" s="191">
        <f t="shared" si="15"/>
        <v>1621.6602600000001</v>
      </c>
      <c r="N33" s="187">
        <f>'Tariff Jul 2020'!AZ25</f>
        <v>0</v>
      </c>
      <c r="O33" s="187">
        <f>'Tariff Jul 2020'!BA25</f>
        <v>0</v>
      </c>
      <c r="P33" s="187">
        <f>'Tariff Jul 2020'!BB25</f>
        <v>0</v>
      </c>
      <c r="Q33" s="187">
        <f>'Tariff Jul 2020'!BC25</f>
        <v>0</v>
      </c>
      <c r="R33" s="192">
        <f>($F$6*'Tariff Jul 2020'!AT25/100)*4</f>
        <v>67.937919999999991</v>
      </c>
      <c r="S33" s="193" t="str">
        <f t="shared" si="16"/>
        <v>No discount</v>
      </c>
      <c r="T33" s="193" t="str">
        <f t="shared" si="17"/>
        <v>Exclusive</v>
      </c>
      <c r="U33" s="304">
        <f t="shared" si="18"/>
        <v>1474.2366</v>
      </c>
      <c r="V33" s="283">
        <f t="shared" si="19"/>
        <v>1474.2366</v>
      </c>
      <c r="W33" s="283">
        <f t="shared" si="20"/>
        <v>1406.2986799999999</v>
      </c>
      <c r="X33" s="283">
        <f t="shared" si="21"/>
        <v>1406.2986799999999</v>
      </c>
      <c r="Y33" s="285">
        <f t="shared" si="22"/>
        <v>1546.9285480000001</v>
      </c>
      <c r="Z33" s="285">
        <f t="shared" si="23"/>
        <v>1546.9285480000001</v>
      </c>
      <c r="AA33" s="194">
        <f>'Tariff Jul 2020'!AT25</f>
        <v>8</v>
      </c>
      <c r="AB33" s="195">
        <f>'Tariff Jul 2020'!BL25</f>
        <v>0</v>
      </c>
      <c r="AC33" s="195" t="str">
        <f>'Tariff Jul 2020'!BM25</f>
        <v>n</v>
      </c>
      <c r="AD33" s="196">
        <f>'Tariff Jul 2020'!G25</f>
        <v>42551</v>
      </c>
    </row>
    <row r="34" spans="1:30" ht="15" thickBot="1" x14ac:dyDescent="0.2">
      <c r="A34" s="197" t="str">
        <f>'Tariff Jul 2020'!K26</f>
        <v>ReAmped Energy</v>
      </c>
      <c r="B34" s="198" t="str">
        <f>'Tariff Jul 2020'!L26</f>
        <v>Classic</v>
      </c>
      <c r="C34" s="199">
        <f>IF('Tariff Jul 2020'!BP26=0,91*'Tariff Jul 2020'!M26/100,(91*'Tariff Jul 2020'!M26/100)+'Tariff Jul 2020'!BP26/4)</f>
        <v>61.961900000000007</v>
      </c>
      <c r="D34" s="199">
        <f>IF('Tariff Jul 2020'!O26="",$F$5*'Tariff Jul 2020'!N26/100,IF($F$5&gt;='Tariff Jul 2020'!P26,('Tariff Jul 2020'!P26*'Tariff Jul 2020'!N26/100),($F$5*'Tariff Jul 2020'!N26/100)))</f>
        <v>297.13968640000002</v>
      </c>
      <c r="E34" s="199">
        <f>IF(AND('Tariff Jul 2020'!P26&gt;0,'Tariff Jul 2020'!R26&gt;0),IF($F$5&lt;'Tariff Jul 2020'!P26,0,IF($F$5&lt;=('Tariff Jul 2020'!R26+'Tariff Jul 2020'!P26),(($F$5-'Tariff Jul 2020'!P26)*'Tariff Jul 2020'!Q26/100),(('Tariff Jul 2020'!R26)*'Tariff Jul 2020'!Q26/100))),0)</f>
        <v>0</v>
      </c>
      <c r="F34" s="200">
        <f>IF(AND('Tariff Jul 2020'!Q26&gt;0,'Tariff Jul 2020'!S26&gt;0),IF($F$5&lt;('Tariff Jul 2020'!R26+'Tariff Jul 2020'!P26),0,IF($F$5&lt;=('Tariff Jul 2020'!T26+'Tariff Jul 2020'!R26+'Tariff Jul 2020'!P26),(($F$5-('Tariff Jul 2020'!R26+'Tariff Jul 2020'!P26))*'Tariff Jul 2020'!S26/100),('Tariff Jul 2020'!T26*'Tariff Jul 2020'!S26/100))),0)</f>
        <v>0</v>
      </c>
      <c r="G34" s="199">
        <v>0</v>
      </c>
      <c r="H34" s="199">
        <v>0</v>
      </c>
      <c r="I34" s="200">
        <f>IF('Tariff Jul 2020'!T26&gt;0,IF(($F$5&lt;'Tariff Jul 2020'!T26),(0),($F$5-'Tariff Jul 2020'!T26)*'Tariff Jul 2020'!U26/100),IF(AND('Tariff Jul 2020'!R26&gt;0,'Tariff Jul 2020'!T26=""),IF(($F$5&lt;'Tariff Jul 2020'!R26),(0),($F$5-'Tariff Jul 2020'!R26)*'Tariff Jul 2020'!S26/100),IF(AND('Tariff Jul 2020'!P26&gt;0,'Tariff Jul 2020'!R26=""),IF(($F$5&lt;'Tariff Jul 2020'!P26),(0),($F$5-'Tariff Jul 2020'!P26)*'Tariff Jul 2020'!Q26/100),0)))</f>
        <v>0</v>
      </c>
      <c r="J34" s="199">
        <f t="shared" si="12"/>
        <v>359.10158640000003</v>
      </c>
      <c r="K34" s="284">
        <f t="shared" si="13"/>
        <v>1188.5587456000001</v>
      </c>
      <c r="L34" s="284">
        <f t="shared" si="14"/>
        <v>1436.4063456000001</v>
      </c>
      <c r="M34" s="202">
        <f t="shared" si="15"/>
        <v>1580.0469801600002</v>
      </c>
      <c r="N34" s="198">
        <f>'Tariff Jul 2020'!AZ26</f>
        <v>0</v>
      </c>
      <c r="O34" s="198">
        <f>'Tariff Jul 2020'!BA26</f>
        <v>0</v>
      </c>
      <c r="P34" s="198">
        <f>'Tariff Jul 2020'!BB26</f>
        <v>0</v>
      </c>
      <c r="Q34" s="198">
        <f>'Tariff Jul 2020'!BC26</f>
        <v>0</v>
      </c>
      <c r="R34" s="203">
        <f>($F$6*'Tariff Jul 2020'!AT26/100)*4</f>
        <v>59.445679999999996</v>
      </c>
      <c r="S34" s="204" t="str">
        <f t="shared" si="16"/>
        <v>No discount</v>
      </c>
      <c r="T34" s="204" t="str">
        <f t="shared" si="17"/>
        <v>Exclusive</v>
      </c>
      <c r="U34" s="305">
        <f t="shared" si="18"/>
        <v>1436.4063456000001</v>
      </c>
      <c r="V34" s="284">
        <f t="shared" si="19"/>
        <v>1436.4063456000001</v>
      </c>
      <c r="W34" s="284">
        <f t="shared" si="20"/>
        <v>1376.9606656000001</v>
      </c>
      <c r="X34" s="284">
        <f t="shared" si="21"/>
        <v>1376.9606656000001</v>
      </c>
      <c r="Y34" s="286">
        <f t="shared" si="22"/>
        <v>1514.6567321600003</v>
      </c>
      <c r="Z34" s="286">
        <f t="shared" si="23"/>
        <v>1514.6567321600003</v>
      </c>
      <c r="AA34" s="205">
        <f>'Tariff Jul 2020'!AT26</f>
        <v>7</v>
      </c>
      <c r="AB34" s="206">
        <f>'Tariff Jul 2020'!BL26</f>
        <v>0</v>
      </c>
      <c r="AC34" s="206" t="str">
        <f>'Tariff Jul 2020'!BM26</f>
        <v>n</v>
      </c>
      <c r="AD34" s="207">
        <f>'Tariff Jul 2020'!G26</f>
        <v>42587</v>
      </c>
    </row>
    <row r="36" spans="1:30" ht="15" thickBot="1" x14ac:dyDescent="0.2"/>
    <row r="37" spans="1:30" x14ac:dyDescent="0.15">
      <c r="A37" s="266" t="s">
        <v>154</v>
      </c>
      <c r="B37" s="267"/>
      <c r="C37" s="269"/>
      <c r="D37" s="269"/>
      <c r="E37" s="269"/>
      <c r="F37" s="269"/>
      <c r="G37" s="270"/>
      <c r="H37" s="270"/>
      <c r="I37" s="267"/>
      <c r="J37" s="267"/>
      <c r="K37" s="270"/>
      <c r="L37" s="267"/>
      <c r="M37" s="267"/>
      <c r="N37" s="267"/>
      <c r="O37" s="267"/>
      <c r="P37" s="267"/>
      <c r="Q37" s="267"/>
      <c r="R37" s="267"/>
      <c r="S37" s="267"/>
      <c r="T37" s="267"/>
      <c r="U37" s="267"/>
      <c r="V37" s="267"/>
      <c r="W37" s="267"/>
      <c r="X37" s="267"/>
      <c r="Y37" s="267"/>
      <c r="Z37" s="267"/>
      <c r="AA37" s="267"/>
      <c r="AB37" s="267"/>
      <c r="AC37" s="267"/>
      <c r="AD37" s="268"/>
    </row>
    <row r="38" spans="1:30" ht="90" x14ac:dyDescent="0.15">
      <c r="A38" s="271" t="s">
        <v>231</v>
      </c>
      <c r="B38" s="272" t="s">
        <v>243</v>
      </c>
      <c r="C38" s="279" t="s">
        <v>244</v>
      </c>
      <c r="D38" s="279" t="s">
        <v>227</v>
      </c>
      <c r="E38" s="279" t="s">
        <v>357</v>
      </c>
      <c r="F38" s="279" t="s">
        <v>358</v>
      </c>
      <c r="G38" s="279" t="s">
        <v>329</v>
      </c>
      <c r="H38" s="273" t="s">
        <v>222</v>
      </c>
      <c r="I38" s="273" t="s">
        <v>223</v>
      </c>
      <c r="J38" s="273" t="s">
        <v>799</v>
      </c>
      <c r="K38" s="280" t="s">
        <v>246</v>
      </c>
      <c r="L38" s="280" t="s">
        <v>247</v>
      </c>
      <c r="M38" s="274" t="s">
        <v>636</v>
      </c>
      <c r="N38" s="275" t="s">
        <v>249</v>
      </c>
      <c r="O38" s="275" t="s">
        <v>250</v>
      </c>
      <c r="P38" s="275" t="s">
        <v>251</v>
      </c>
      <c r="Q38" s="275" t="s">
        <v>365</v>
      </c>
      <c r="R38" s="276" t="s">
        <v>373</v>
      </c>
      <c r="S38" s="281" t="s">
        <v>637</v>
      </c>
      <c r="T38" s="281" t="s">
        <v>638</v>
      </c>
      <c r="U38" s="282" t="s">
        <v>255</v>
      </c>
      <c r="V38" s="282" t="s">
        <v>224</v>
      </c>
      <c r="W38" s="282" t="s">
        <v>374</v>
      </c>
      <c r="X38" s="282" t="s">
        <v>375</v>
      </c>
      <c r="Y38" s="276" t="s">
        <v>376</v>
      </c>
      <c r="Z38" s="276" t="s">
        <v>436</v>
      </c>
      <c r="AA38" s="275" t="s">
        <v>155</v>
      </c>
      <c r="AB38" s="278" t="s">
        <v>225</v>
      </c>
      <c r="AC38" s="275" t="s">
        <v>226</v>
      </c>
      <c r="AD38" s="277" t="s">
        <v>221</v>
      </c>
    </row>
    <row r="39" spans="1:30" x14ac:dyDescent="0.15">
      <c r="A39" s="186" t="str">
        <f>'Tariff Jul 2020'!K27</f>
        <v>AGL</v>
      </c>
      <c r="B39" s="187" t="str">
        <f>'Tariff Jul 2020'!L27</f>
        <v>Solar Savers</v>
      </c>
      <c r="C39" s="208">
        <f>IF('Tariff Jul 2020'!BP27=0,91*'Tariff Jul 2020'!M27/100,(91*'Tariff Jul 2020'!M27/100)+'Tariff Jul 2020'!BP27/4)</f>
        <v>73.709999999999994</v>
      </c>
      <c r="D39" s="208">
        <f>IF('Tariff Jul 2020'!O27="",$H$5*'Tariff Jul 2020'!N27/100,IF($H$5&gt;='Tariff Jul 2020'!P27,('Tariff Jul 2020'!P27*'Tariff Jul 2020'!N27/100),($H$5*'Tariff Jul 2020'!N27/100)))</f>
        <v>296.40564567272736</v>
      </c>
      <c r="E39" s="208">
        <f>IF(AND('Tariff Jul 2020'!P27&gt;0,'Tariff Jul 2020'!R27&gt;0),IF($H$5&lt;'Tariff Jul 2020'!P27,0,IF($H$5&lt;=('Tariff Jul 2020'!R27+'Tariff Jul 2020'!P27),(($H$5-'Tariff Jul 2020'!P27)*'Tariff Jul 2020'!Q27/100),(('Tariff Jul 2020'!R27)*'Tariff Jul 2020'!Q27/100))),0)</f>
        <v>0</v>
      </c>
      <c r="F39" s="208">
        <f>IF(AND('Tariff Jul 2020'!Q27&gt;0,'Tariff Jul 2020'!S27&gt;0),IF($H$5&lt;('Tariff Jul 2020'!R27+'Tariff Jul 2020'!P27),0,IF($H$5&lt;=('Tariff Jul 2020'!T27+'Tariff Jul 2020'!R27+'Tariff Jul 2020'!P27),(($H$5-('Tariff Jul 2020'!R27+'Tariff Jul 2020'!P27))*'Tariff Jul 2020'!S27/100),('Tariff Jul 2020'!T27*'Tariff Jul 2020'!S27/100))),0)</f>
        <v>0</v>
      </c>
      <c r="G39" s="208">
        <f>IF('Tariff Jul 2020'!T27&gt;0,IF(($H$5&lt;'Tariff Jul 2020'!T27),(0),($H$5-'Tariff Jul 2020'!T27)*'Tariff Jul 2020'!U27/100),IF(AND('Tariff Jul 2020'!R27&gt;0,'Tariff Jul 2020'!T27=""),IF(($H$5&lt;'Tariff Jul 2020'!R27),(0),($H$5-'Tariff Jul 2020'!R27)*'Tariff Jul 2020'!S27/100),IF(AND('Tariff Jul 2020'!P27&gt;0,'Tariff Jul 2020'!R27=""),IF(($H$5&lt;'Tariff Jul 2020'!P27),(0),($H$5-'Tariff Jul 2020'!P27)*'Tariff Jul 2020'!Q27/100),0)))</f>
        <v>0</v>
      </c>
      <c r="H39" s="208">
        <f>($I$5)*'Tariff Jul 2020'!AE27/100</f>
        <v>40.592452218181826</v>
      </c>
      <c r="I39" s="208">
        <v>0</v>
      </c>
      <c r="J39" s="208">
        <f>SUM(C39:I39)</f>
        <v>410.70809789090919</v>
      </c>
      <c r="K39" s="283">
        <f>(J39-C39)*4</f>
        <v>1347.9923915636368</v>
      </c>
      <c r="L39" s="283">
        <f>J39*4</f>
        <v>1642.8323915636367</v>
      </c>
      <c r="M39" s="191">
        <f>L39*1.1</f>
        <v>1807.1156307200006</v>
      </c>
      <c r="N39" s="187">
        <f>'Tariff Jul 2020'!AZ27</f>
        <v>0</v>
      </c>
      <c r="O39" s="187">
        <f>'Tariff Jul 2020'!BA27</f>
        <v>0</v>
      </c>
      <c r="P39" s="187">
        <f>'Tariff Jul 2020'!BB27</f>
        <v>0</v>
      </c>
      <c r="Q39" s="187">
        <f>'Tariff Jul 2020'!BC27</f>
        <v>0</v>
      </c>
      <c r="R39" s="192">
        <f>($F$6*'Tariff Jul 2020'!AT27/100)*4</f>
        <v>152.86032</v>
      </c>
      <c r="S39" s="193" t="str">
        <f>IF(SUM(N39:Q39)=0,"No discount",IF(N39&gt;0,"Guaranteed off bill",IF(O39&gt;0,"Guaranteed off usage",IF(P39&gt;0,"Pay-on-time off bill","Pay-on-time off usage"))))</f>
        <v>No discount</v>
      </c>
      <c r="T39" s="193" t="str">
        <f>IF(OR(A39="Origin Energy",A39="Red Energy",A39="Powershop"),"Inclusive","Exclusive")</f>
        <v>Exclusive</v>
      </c>
      <c r="U39" s="304">
        <f>IF(AND(S39="Guaranteed off bill",T39="Inclusive"),((L39*1.1)-((L39*1.1)*N39/100))/1.1,IF(AND(S39="Guaranteed off usage",T39="Inclusive"),((L39*1.1)-((K39*1.1)*O39/100))/1.1,IF(AND(S39="Guaranteed off bill",T39="Exclusive"),L39-(L39*N39/100),IF(AND(S39="Guaranteed off usage",T39="Exclusive"),L39-(K39*O39/100),IF(T39="Inclusive",((L39*1.1))/1.1,L39)))))</f>
        <v>1642.8323915636367</v>
      </c>
      <c r="V39" s="283">
        <f>IF(AND(S39="Pay-on-time off bill",T39="Inclusive"),((U39*1.1)-((U39*1.1)*P39/100))/1.1,IF(AND(S39="Pay-on-time off usage",T39="Inclusive"),((U39*1.1)-((K39*1.1)*Q39/100))/1.1,IF(AND(S39="Pay-on-time off bill",T39="Exclusive"),U39-(U39*P39/100),IF(AND(S39="Pay-on-time off usage",T39="Exclusive"),U39-(K39*Q39/100),IF(T39="Inclusive",((U39*1.1))/1.1,U39)))))</f>
        <v>1642.8323915636367</v>
      </c>
      <c r="W39" s="283">
        <f t="shared" ref="W39:W54" si="24">U39-R39</f>
        <v>1489.9720715636367</v>
      </c>
      <c r="X39" s="283">
        <f t="shared" ref="X39:X54" si="25">V39-R39</f>
        <v>1489.9720715636367</v>
      </c>
      <c r="Y39" s="285">
        <f t="shared" ref="Y39:Z54" si="26">W39*1.1</f>
        <v>1638.9692787200006</v>
      </c>
      <c r="Z39" s="285">
        <f t="shared" si="26"/>
        <v>1638.9692787200006</v>
      </c>
      <c r="AA39" s="194">
        <f>'Tariff Jul 2020'!AT27</f>
        <v>18</v>
      </c>
      <c r="AB39" s="195">
        <f>'Tariff Jul 2020'!BL27</f>
        <v>0</v>
      </c>
      <c r="AC39" s="195" t="str">
        <f>'Tariff Jul 2020'!BM27</f>
        <v>n</v>
      </c>
      <c r="AD39" s="196">
        <f>'Tariff Jul 2020'!G27</f>
        <v>42551</v>
      </c>
    </row>
    <row r="40" spans="1:30" x14ac:dyDescent="0.15">
      <c r="A40" s="186" t="str">
        <f>'Tariff Jul 2020'!K28</f>
        <v>Alinta Energy</v>
      </c>
      <c r="B40" s="187" t="str">
        <f>'Tariff Jul 2020'!L28</f>
        <v>No fuss</v>
      </c>
      <c r="C40" s="208">
        <f>IF('Tariff Jul 2020'!BP28=0,91*'Tariff Jul 2020'!M28/100,(91*'Tariff Jul 2020'!M28/100)+'Tariff Jul 2020'!BP28/4)</f>
        <v>75.53</v>
      </c>
      <c r="D40" s="208">
        <f>IF('Tariff Jul 2020'!O28="",$H$5*'Tariff Jul 2020'!N28/100,IF($H$5&gt;='Tariff Jul 2020'!P28,('Tariff Jul 2020'!P28*'Tariff Jul 2020'!N28/100),($H$5*'Tariff Jul 2020'!N28/100)))</f>
        <v>90.463636363636354</v>
      </c>
      <c r="E40" s="208">
        <f>IF(AND('Tariff Jul 2020'!P28&gt;0,'Tariff Jul 2020'!R28&gt;0),IF($H$5&lt;'Tariff Jul 2020'!P28,0,IF($H$5&lt;=('Tariff Jul 2020'!R28+'Tariff Jul 2020'!P28),(($H$5-'Tariff Jul 2020'!P28)*'Tariff Jul 2020'!Q28/100),(('Tariff Jul 2020'!R28)*'Tariff Jul 2020'!Q28/100))),0)</f>
        <v>0</v>
      </c>
      <c r="F40" s="208">
        <f>IF(AND('Tariff Jul 2020'!Q28&gt;0,'Tariff Jul 2020'!S28&gt;0),IF($H$5&lt;('Tariff Jul 2020'!R28+'Tariff Jul 2020'!P28),0,IF($H$5&lt;=('Tariff Jul 2020'!T28+'Tariff Jul 2020'!R28+'Tariff Jul 2020'!P28),(($H$5-('Tariff Jul 2020'!R28+'Tariff Jul 2020'!P28))*'Tariff Jul 2020'!S28/100),('Tariff Jul 2020'!T28*'Tariff Jul 2020'!S28/100))),0)</f>
        <v>0</v>
      </c>
      <c r="G40" s="208">
        <f>IF('Tariff Jul 2020'!T28&gt;0,IF(($H$5&lt;'Tariff Jul 2020'!T28),(0),($H$5-'Tariff Jul 2020'!T28)*'Tariff Jul 2020'!U28/100),IF(AND('Tariff Jul 2020'!R28&gt;0,'Tariff Jul 2020'!T28=""),IF(($H$5&lt;'Tariff Jul 2020'!R28),(0),($H$5-'Tariff Jul 2020'!R28)*'Tariff Jul 2020'!S28/100),IF(AND('Tariff Jul 2020'!P28&gt;0,'Tariff Jul 2020'!R28=""),IF(($H$5&lt;'Tariff Jul 2020'!P28),(0),($H$5-'Tariff Jul 2020'!P28)*'Tariff Jul 2020'!Q28/100),0)))</f>
        <v>170.45532145454553</v>
      </c>
      <c r="H40" s="208">
        <f>($I$5)*'Tariff Jul 2020'!AE28/100</f>
        <v>33.545661236363642</v>
      </c>
      <c r="I40" s="208">
        <f>IF((I5&lt;'Tariff Jul 2020'!AF28),(0),(I5-'Tariff Jul 2020'!AF28)*'Tariff Jul 2020'!AG28/100)</f>
        <v>0</v>
      </c>
      <c r="J40" s="208">
        <f t="shared" ref="J40:J51" si="27">SUM(C40:I40)</f>
        <v>369.99461905454552</v>
      </c>
      <c r="K40" s="283">
        <f>(J40-C40)*4</f>
        <v>1177.8584762181822</v>
      </c>
      <c r="L40" s="283">
        <f t="shared" ref="L40:L54" si="28">J40*4</f>
        <v>1479.9784762181821</v>
      </c>
      <c r="M40" s="191">
        <f t="shared" ref="M40:M54" si="29">L40*1.1</f>
        <v>1627.9763238400005</v>
      </c>
      <c r="N40" s="187">
        <f>'Tariff Jul 2020'!AZ28</f>
        <v>0</v>
      </c>
      <c r="O40" s="187">
        <f>'Tariff Jul 2020'!BA28</f>
        <v>0</v>
      </c>
      <c r="P40" s="187">
        <f>'Tariff Jul 2020'!BB28</f>
        <v>0</v>
      </c>
      <c r="Q40" s="187">
        <f>'Tariff Jul 2020'!BC28</f>
        <v>0</v>
      </c>
      <c r="R40" s="192">
        <f>($F$6*'Tariff Jul 2020'!AT28/100)*4</f>
        <v>80.676279999999991</v>
      </c>
      <c r="S40" s="193" t="str">
        <f t="shared" ref="S40:S54" si="30">IF(SUM(N40:Q40)=0,"No discount",IF(N40&gt;0,"Guaranteed off bill",IF(O40&gt;0,"Guaranteed off usage",IF(P40&gt;0,"Pay-on-time off bill","Pay-on-time off usage"))))</f>
        <v>No discount</v>
      </c>
      <c r="T40" s="193" t="str">
        <f t="shared" ref="T40:T54" si="31">IF(OR(A40="Origin Energy",A40="Red Energy",A40="Powershop"),"Inclusive","Exclusive")</f>
        <v>Exclusive</v>
      </c>
      <c r="U40" s="304">
        <f t="shared" ref="U40:U54" si="32">IF(AND(S40="Guaranteed off bill",T40="Inclusive"),((L40*1.1)-((L40*1.1)*N40/100))/1.1,IF(AND(S40="Guaranteed off usage",T40="Inclusive"),((L40*1.1)-((K40*1.1)*O40/100))/1.1,IF(AND(S40="Guaranteed off bill",T40="Exclusive"),L40-(L40*N40/100),IF(AND(S40="Guaranteed off usage",T40="Exclusive"),L40-(K40*O40/100),IF(T40="Inclusive",((L40*1.1))/1.1,L40)))))</f>
        <v>1479.9784762181821</v>
      </c>
      <c r="V40" s="283">
        <f t="shared" ref="V40:V54" si="33">IF(AND(S40="Pay-on-time off bill",T40="Inclusive"),((U40*1.1)-((U40*1.1)*P40/100))/1.1,IF(AND(S40="Pay-on-time off usage",T40="Inclusive"),((U40*1.1)-((K40*1.1)*Q40/100))/1.1,IF(AND(S40="Pay-on-time off bill",T40="Exclusive"),U40-(U40*P40/100),IF(AND(S40="Pay-on-time off usage",T40="Exclusive"),U40-(K40*Q40/100),IF(T40="Inclusive",((U40*1.1))/1.1,U40)))))</f>
        <v>1479.9784762181821</v>
      </c>
      <c r="W40" s="283">
        <f t="shared" si="24"/>
        <v>1399.3021962181822</v>
      </c>
      <c r="X40" s="283">
        <f t="shared" si="25"/>
        <v>1399.3021962181822</v>
      </c>
      <c r="Y40" s="285">
        <f t="shared" si="26"/>
        <v>1539.2324158400006</v>
      </c>
      <c r="Z40" s="285">
        <f t="shared" si="26"/>
        <v>1539.2324158400006</v>
      </c>
      <c r="AA40" s="194">
        <f>'Tariff Jul 2020'!AT28</f>
        <v>9.5</v>
      </c>
      <c r="AB40" s="195">
        <f>'Tariff Jul 2020'!BL28</f>
        <v>0</v>
      </c>
      <c r="AC40" s="195" t="str">
        <f>'Tariff Jul 2020'!BM28</f>
        <v>n</v>
      </c>
      <c r="AD40" s="196">
        <f>'Tariff Jul 2020'!G28</f>
        <v>42567</v>
      </c>
    </row>
    <row r="41" spans="1:30" x14ac:dyDescent="0.15">
      <c r="A41" s="186" t="str">
        <f>'Tariff Jul 2020'!K29</f>
        <v>Click Energy</v>
      </c>
      <c r="B41" s="187" t="str">
        <f>'Tariff Jul 2020'!L29</f>
        <v>Flora Solar</v>
      </c>
      <c r="C41" s="208">
        <f>IF('Tariff Jul 2020'!BP29=0,91*'Tariff Jul 2020'!M29/100,(91*'Tariff Jul 2020'!M29/100)+'Tariff Jul 2020'!BP29/4)</f>
        <v>84.084000000000003</v>
      </c>
      <c r="D41" s="208">
        <f>IF('Tariff Jul 2020'!O29="",$H$5*'Tariff Jul 2020'!N29/100,IF($H$5&gt;='Tariff Jul 2020'!P29,('Tariff Jul 2020'!P29*'Tariff Jul 2020'!N29/100),($H$5*'Tariff Jul 2020'!N29/100)))</f>
        <v>268.07167360000005</v>
      </c>
      <c r="E41" s="208">
        <f>IF(AND('Tariff Jul 2020'!P29&gt;0,'Tariff Jul 2020'!R29&gt;0),IF($H$5&lt;'Tariff Jul 2020'!P29,0,IF($H$5&lt;=('Tariff Jul 2020'!R29+'Tariff Jul 2020'!P29),(($H$5-'Tariff Jul 2020'!P29)*'Tariff Jul 2020'!Q29/100),(('Tariff Jul 2020'!R29)*'Tariff Jul 2020'!Q29/100))),0)</f>
        <v>0</v>
      </c>
      <c r="F41" s="208">
        <f>IF(AND('Tariff Jul 2020'!Q29&gt;0,'Tariff Jul 2020'!S29&gt;0),IF($H$5&lt;('Tariff Jul 2020'!R29+'Tariff Jul 2020'!P29),0,IF($H$5&lt;=('Tariff Jul 2020'!T29+'Tariff Jul 2020'!R29+'Tariff Jul 2020'!P29),(($H$5-('Tariff Jul 2020'!R29+'Tariff Jul 2020'!P29))*'Tariff Jul 2020'!S29/100),('Tariff Jul 2020'!T29*'Tariff Jul 2020'!S29/100))),0)</f>
        <v>0</v>
      </c>
      <c r="G41" s="208">
        <f>IF('Tariff Jul 2020'!T29&gt;0,IF(($H$5&lt;'Tariff Jul 2020'!T29),(0),($H$5-'Tariff Jul 2020'!T29)*'Tariff Jul 2020'!U29/100),IF(AND('Tariff Jul 2020'!R29&gt;0,'Tariff Jul 2020'!T29=""),IF(($H$5&lt;'Tariff Jul 2020'!R29),(0),($H$5-'Tariff Jul 2020'!R29)*'Tariff Jul 2020'!S29/100),IF(AND('Tariff Jul 2020'!P29&gt;0,'Tariff Jul 2020'!R29=""),IF(($H$5&lt;'Tariff Jul 2020'!P29),(0),($H$5-'Tariff Jul 2020'!P29)*'Tariff Jul 2020'!Q29/100),0)))</f>
        <v>0</v>
      </c>
      <c r="H41" s="208">
        <f>($I$5)*'Tariff Jul 2020'!AE29/100</f>
        <v>34.55496723636363</v>
      </c>
      <c r="I41" s="208">
        <v>0</v>
      </c>
      <c r="J41" s="208">
        <f t="shared" si="27"/>
        <v>386.71064083636367</v>
      </c>
      <c r="K41" s="283">
        <f t="shared" ref="K41:K54" si="34">(J41-C41)*4</f>
        <v>1210.5065633454547</v>
      </c>
      <c r="L41" s="283">
        <f t="shared" si="28"/>
        <v>1546.8425633454547</v>
      </c>
      <c r="M41" s="191">
        <f t="shared" si="29"/>
        <v>1701.5268196800002</v>
      </c>
      <c r="N41" s="187">
        <f>'Tariff Jul 2020'!AZ29</f>
        <v>0</v>
      </c>
      <c r="O41" s="187">
        <f>'Tariff Jul 2020'!BA29</f>
        <v>0</v>
      </c>
      <c r="P41" s="187">
        <f>'Tariff Jul 2020'!BB29</f>
        <v>0</v>
      </c>
      <c r="Q41" s="187">
        <f>'Tariff Jul 2020'!BC29</f>
        <v>0</v>
      </c>
      <c r="R41" s="192">
        <f>($F$6*'Tariff Jul 2020'!AT29/100)*4</f>
        <v>144.36807999999999</v>
      </c>
      <c r="S41" s="193" t="str">
        <f t="shared" si="30"/>
        <v>No discount</v>
      </c>
      <c r="T41" s="193" t="str">
        <f t="shared" si="31"/>
        <v>Exclusive</v>
      </c>
      <c r="U41" s="304">
        <f t="shared" si="32"/>
        <v>1546.8425633454547</v>
      </c>
      <c r="V41" s="283">
        <f t="shared" si="33"/>
        <v>1546.8425633454547</v>
      </c>
      <c r="W41" s="283">
        <f t="shared" si="24"/>
        <v>1402.4744833454547</v>
      </c>
      <c r="X41" s="283">
        <f t="shared" si="25"/>
        <v>1402.4744833454547</v>
      </c>
      <c r="Y41" s="285">
        <f t="shared" si="26"/>
        <v>1542.7219316800004</v>
      </c>
      <c r="Z41" s="285">
        <f t="shared" si="26"/>
        <v>1542.7219316800004</v>
      </c>
      <c r="AA41" s="194">
        <f>'Tariff Jul 2020'!AT29</f>
        <v>17</v>
      </c>
      <c r="AB41" s="195">
        <f>'Tariff Jul 2020'!BL29</f>
        <v>0</v>
      </c>
      <c r="AC41" s="195" t="str">
        <f>'Tariff Jul 2020'!BM29</f>
        <v>n</v>
      </c>
      <c r="AD41" s="196">
        <f>'Tariff Jul 2020'!G29</f>
        <v>42551</v>
      </c>
    </row>
    <row r="42" spans="1:30" x14ac:dyDescent="0.15">
      <c r="A42" s="186" t="str">
        <f>'Tariff Jul 2020'!K30</f>
        <v>Commander</v>
      </c>
      <c r="B42" s="187" t="str">
        <f>'Tariff Jul 2020'!L30</f>
        <v>Market offer</v>
      </c>
      <c r="C42" s="208">
        <f>IF('Tariff Jul 2020'!BP30=0,91*'Tariff Jul 2020'!M30/100,(91*'Tariff Jul 2020'!M30/100)+'Tariff Jul 2020'!BP30/4)</f>
        <v>80.808000000000007</v>
      </c>
      <c r="D42" s="208">
        <f>IF('Tariff Jul 2020'!O30="",$H$5*'Tariff Jul 2020'!N30/100,IF($H$5&gt;='Tariff Jul 2020'!P30,('Tariff Jul 2020'!P30*'Tariff Jul 2020'!N30/100),($H$5*'Tariff Jul 2020'!N30/100)))</f>
        <v>261.68551927272728</v>
      </c>
      <c r="E42" s="208">
        <f>IF(AND('Tariff Jul 2020'!P30&gt;0,'Tariff Jul 2020'!R30&gt;0),IF($H$5&lt;'Tariff Jul 2020'!P30,0,IF($H$5&lt;=('Tariff Jul 2020'!R30+'Tariff Jul 2020'!P30),(($H$5-'Tariff Jul 2020'!P30)*'Tariff Jul 2020'!Q30/100),(('Tariff Jul 2020'!R30)*'Tariff Jul 2020'!Q30/100))),0)</f>
        <v>0</v>
      </c>
      <c r="F42" s="208">
        <f>IF(AND('Tariff Jul 2020'!Q30&gt;0,'Tariff Jul 2020'!S30&gt;0),IF($H$5&lt;('Tariff Jul 2020'!R30+'Tariff Jul 2020'!P30),0,IF($H$5&lt;=('Tariff Jul 2020'!T30+'Tariff Jul 2020'!R30+'Tariff Jul 2020'!P30),(($H$5-('Tariff Jul 2020'!R30+'Tariff Jul 2020'!P30))*'Tariff Jul 2020'!S30/100),('Tariff Jul 2020'!T30*'Tariff Jul 2020'!S30/100))),0)</f>
        <v>0</v>
      </c>
      <c r="G42" s="208">
        <f>IF('Tariff Jul 2020'!T30&gt;0,IF(($H$5&lt;'Tariff Jul 2020'!T30),(0),($H$5-'Tariff Jul 2020'!T30)*'Tariff Jul 2020'!U30/100),IF(AND('Tariff Jul 2020'!R30&gt;0,'Tariff Jul 2020'!T30=""),IF(($H$5&lt;'Tariff Jul 2020'!R30),(0),($H$5-'Tariff Jul 2020'!R30)*'Tariff Jul 2020'!S30/100),IF(AND('Tariff Jul 2020'!P30&gt;0,'Tariff Jul 2020'!R30=""),IF(($H$5&lt;'Tariff Jul 2020'!P30),(0),($H$5-'Tariff Jul 2020'!P30)*'Tariff Jul 2020'!Q30/100),0)))</f>
        <v>0</v>
      </c>
      <c r="H42" s="208">
        <f>($I$5)*'Tariff Jul 2020'!AE30/100</f>
        <v>36.481824145454546</v>
      </c>
      <c r="I42" s="208">
        <f>IF((I7&lt;'Tariff Jul 2020'!AF30),(0),(I7-'Tariff Jul 2020'!AF30)*'Tariff Jul 2020'!AG30/100)</f>
        <v>0</v>
      </c>
      <c r="J42" s="208">
        <f t="shared" si="27"/>
        <v>378.97534341818181</v>
      </c>
      <c r="K42" s="283">
        <f t="shared" si="34"/>
        <v>1192.6693736727273</v>
      </c>
      <c r="L42" s="283">
        <f t="shared" si="28"/>
        <v>1515.9013736727272</v>
      </c>
      <c r="M42" s="191">
        <f t="shared" si="29"/>
        <v>1667.49151104</v>
      </c>
      <c r="N42" s="187">
        <f>'Tariff Jul 2020'!AZ30</f>
        <v>0</v>
      </c>
      <c r="O42" s="187">
        <f>'Tariff Jul 2020'!BA30</f>
        <v>0</v>
      </c>
      <c r="P42" s="187">
        <f>'Tariff Jul 2020'!BB30</f>
        <v>0</v>
      </c>
      <c r="Q42" s="187">
        <f>'Tariff Jul 2020'!BC30</f>
        <v>0</v>
      </c>
      <c r="R42" s="192">
        <f>($F$6*'Tariff Jul 2020'!AT30/100)*4</f>
        <v>98.509983999999989</v>
      </c>
      <c r="S42" s="193" t="str">
        <f t="shared" si="30"/>
        <v>No discount</v>
      </c>
      <c r="T42" s="193" t="str">
        <f t="shared" si="31"/>
        <v>Exclusive</v>
      </c>
      <c r="U42" s="304">
        <f t="shared" si="32"/>
        <v>1515.9013736727272</v>
      </c>
      <c r="V42" s="283">
        <f t="shared" si="33"/>
        <v>1515.9013736727272</v>
      </c>
      <c r="W42" s="283">
        <f t="shared" si="24"/>
        <v>1417.3913896727272</v>
      </c>
      <c r="X42" s="283">
        <f t="shared" si="25"/>
        <v>1417.3913896727272</v>
      </c>
      <c r="Y42" s="285">
        <f t="shared" si="26"/>
        <v>1559.13052864</v>
      </c>
      <c r="Z42" s="285">
        <f t="shared" si="26"/>
        <v>1559.13052864</v>
      </c>
      <c r="AA42" s="194">
        <f>'Tariff Jul 2020'!AT30</f>
        <v>11.6</v>
      </c>
      <c r="AB42" s="195">
        <f>'Tariff Jul 2020'!BL30</f>
        <v>0</v>
      </c>
      <c r="AC42" s="195" t="str">
        <f>'Tariff Jul 2020'!BM30</f>
        <v>n</v>
      </c>
      <c r="AD42" s="196">
        <f>'Tariff Jul 2020'!G30</f>
        <v>42551</v>
      </c>
    </row>
    <row r="43" spans="1:30" x14ac:dyDescent="0.15">
      <c r="A43" s="186" t="str">
        <f>'Tariff Jul 2020'!K31</f>
        <v>Diamond Energy</v>
      </c>
      <c r="B43" s="187" t="str">
        <f>'Tariff Jul 2020'!L31</f>
        <v>Renewable Saver POT</v>
      </c>
      <c r="C43" s="208">
        <f>IF('Tariff Jul 2020'!BP31=0,91*'Tariff Jul 2020'!M31/100,(91*'Tariff Jul 2020'!M31/100)+'Tariff Jul 2020'!BP31/4)</f>
        <v>79.124499999999998</v>
      </c>
      <c r="D43" s="208">
        <f>IF('Tariff Jul 2020'!O31="",$H$5*'Tariff Jul 2020'!N31/100,IF($H$5&gt;='Tariff Jul 2020'!P31,('Tariff Jul 2020'!P31*'Tariff Jul 2020'!N31/100),($H$5*'Tariff Jul 2020'!N31/100)))</f>
        <v>99.78</v>
      </c>
      <c r="E43" s="208">
        <f>IF(AND('Tariff Jul 2020'!P31&gt;0,'Tariff Jul 2020'!R31&gt;0),IF($H$5&lt;'Tariff Jul 2020'!P31,0,IF($H$5&lt;=('Tariff Jul 2020'!R31+'Tariff Jul 2020'!P31),(($H$5-'Tariff Jul 2020'!P31)*'Tariff Jul 2020'!Q31/100),(('Tariff Jul 2020'!R31)*'Tariff Jul 2020'!Q31/100))),0)</f>
        <v>182.12193872000003</v>
      </c>
      <c r="F43" s="208">
        <f>IF(AND('Tariff Jul 2020'!Q31&gt;0,'Tariff Jul 2020'!S31&gt;0),IF($H$5&lt;('Tariff Jul 2020'!R31+'Tariff Jul 2020'!P31),0,IF($H$5&lt;=('Tariff Jul 2020'!T31+'Tariff Jul 2020'!R31+'Tariff Jul 2020'!P31),(($H$5-('Tariff Jul 2020'!R31+'Tariff Jul 2020'!P31))*'Tariff Jul 2020'!S31/100),('Tariff Jul 2020'!T31*'Tariff Jul 2020'!S31/100))),0)</f>
        <v>0</v>
      </c>
      <c r="G43" s="208">
        <f>IF('Tariff Jul 2020'!T31&gt;0,IF(($H$5&lt;'Tariff Jul 2020'!T31),(0),($H$5-'Tariff Jul 2020'!T31)*'Tariff Jul 2020'!U31/100),IF(AND('Tariff Jul 2020'!R31&gt;0,'Tariff Jul 2020'!T31=""),IF(($H$5&lt;'Tariff Jul 2020'!R31),(0),($H$5-'Tariff Jul 2020'!R31)*'Tariff Jul 2020'!S31/100),IF(AND('Tariff Jul 2020'!P31&gt;0,'Tariff Jul 2020'!R31=""),IF(($H$5&lt;'Tariff Jul 2020'!P31),(0),($H$5-'Tariff Jul 2020'!P31)*'Tariff Jul 2020'!Q31/100),0)))</f>
        <v>0</v>
      </c>
      <c r="H43" s="208">
        <f>($I$5)*'Tariff Jul 2020'!AE31/100</f>
        <v>40.280484909090909</v>
      </c>
      <c r="I43" s="208">
        <v>0</v>
      </c>
      <c r="J43" s="208">
        <f t="shared" si="27"/>
        <v>401.30692362909087</v>
      </c>
      <c r="K43" s="283">
        <f t="shared" si="34"/>
        <v>1288.7296945163635</v>
      </c>
      <c r="L43" s="283">
        <f t="shared" si="28"/>
        <v>1605.2276945163635</v>
      </c>
      <c r="M43" s="191">
        <f t="shared" si="29"/>
        <v>1765.7504639680001</v>
      </c>
      <c r="N43" s="187">
        <f>'Tariff Jul 2020'!AZ31</f>
        <v>0</v>
      </c>
      <c r="O43" s="187">
        <f>'Tariff Jul 2020'!BA31</f>
        <v>0</v>
      </c>
      <c r="P43" s="187">
        <f>'Tariff Jul 2020'!BB31</f>
        <v>7</v>
      </c>
      <c r="Q43" s="187">
        <f>'Tariff Jul 2020'!BC31</f>
        <v>0</v>
      </c>
      <c r="R43" s="192">
        <f>($F$6*'Tariff Jul 2020'!AT31/100)*4</f>
        <v>101.90687999999999</v>
      </c>
      <c r="S43" s="193" t="str">
        <f t="shared" si="30"/>
        <v>Pay-on-time off bill</v>
      </c>
      <c r="T43" s="193" t="str">
        <f t="shared" si="31"/>
        <v>Exclusive</v>
      </c>
      <c r="U43" s="304">
        <f t="shared" si="32"/>
        <v>1605.2276945163635</v>
      </c>
      <c r="V43" s="283">
        <f t="shared" si="33"/>
        <v>1492.861755900218</v>
      </c>
      <c r="W43" s="283">
        <f t="shared" si="24"/>
        <v>1503.3208145163635</v>
      </c>
      <c r="X43" s="283">
        <f t="shared" si="25"/>
        <v>1390.954875900218</v>
      </c>
      <c r="Y43" s="285">
        <f t="shared" si="26"/>
        <v>1653.6528959679999</v>
      </c>
      <c r="Z43" s="285">
        <f t="shared" si="26"/>
        <v>1530.05036349024</v>
      </c>
      <c r="AA43" s="194">
        <f>'Tariff Jul 2020'!AT31</f>
        <v>12</v>
      </c>
      <c r="AB43" s="195">
        <f>'Tariff Jul 2020'!BL31</f>
        <v>0</v>
      </c>
      <c r="AC43" s="195" t="str">
        <f>'Tariff Jul 2020'!BM31</f>
        <v>n</v>
      </c>
      <c r="AD43" s="196">
        <f>'Tariff Jul 2020'!G31</f>
        <v>42494</v>
      </c>
    </row>
    <row r="44" spans="1:30" x14ac:dyDescent="0.15">
      <c r="A44" s="186" t="str">
        <f>'Tariff Jul 2020'!K32</f>
        <v>Dodo Power &amp; Gas</v>
      </c>
      <c r="B44" s="187" t="str">
        <f>'Tariff Jul 2020'!L32</f>
        <v>Market offer</v>
      </c>
      <c r="C44" s="208">
        <f>IF('Tariff Jul 2020'!BP32=0,91*'Tariff Jul 2020'!M32/100,(91*'Tariff Jul 2020'!M32/100)+'Tariff Jul 2020'!BP32/4)</f>
        <v>80.808000000000007</v>
      </c>
      <c r="D44" s="208">
        <f>IF('Tariff Jul 2020'!O32="",$H$5*'Tariff Jul 2020'!N32/100,IF($H$5&gt;='Tariff Jul 2020'!P32,('Tariff Jul 2020'!P32*'Tariff Jul 2020'!N32/100),($H$5*'Tariff Jul 2020'!N32/100)))</f>
        <v>261.68551927272728</v>
      </c>
      <c r="E44" s="208">
        <f>IF(AND('Tariff Jul 2020'!P32&gt;0,'Tariff Jul 2020'!R32&gt;0),IF($H$5&lt;'Tariff Jul 2020'!P32,0,IF($H$5&lt;=('Tariff Jul 2020'!R32+'Tariff Jul 2020'!P32),(($H$5-'Tariff Jul 2020'!P32)*'Tariff Jul 2020'!Q32/100),(('Tariff Jul 2020'!R32)*'Tariff Jul 2020'!Q32/100))),0)</f>
        <v>0</v>
      </c>
      <c r="F44" s="208">
        <f>IF(AND('Tariff Jul 2020'!Q32&gt;0,'Tariff Jul 2020'!S32&gt;0),IF($H$5&lt;('Tariff Jul 2020'!R32+'Tariff Jul 2020'!P32),0,IF($H$5&lt;=('Tariff Jul 2020'!T32+'Tariff Jul 2020'!R32+'Tariff Jul 2020'!P32),(($H$5-('Tariff Jul 2020'!R32+'Tariff Jul 2020'!P32))*'Tariff Jul 2020'!S32/100),('Tariff Jul 2020'!T32*'Tariff Jul 2020'!S32/100))),0)</f>
        <v>0</v>
      </c>
      <c r="G44" s="208">
        <f>IF('Tariff Jul 2020'!T32&gt;0,IF(($H$5&lt;'Tariff Jul 2020'!T32),(0),($H$5-'Tariff Jul 2020'!T32)*'Tariff Jul 2020'!U32/100),IF(AND('Tariff Jul 2020'!R32&gt;0,'Tariff Jul 2020'!T32=""),IF(($H$5&lt;'Tariff Jul 2020'!R32),(0),($H$5-'Tariff Jul 2020'!R32)*'Tariff Jul 2020'!S32/100),IF(AND('Tariff Jul 2020'!P32&gt;0,'Tariff Jul 2020'!R32=""),IF(($H$5&lt;'Tariff Jul 2020'!P32),(0),($H$5-'Tariff Jul 2020'!P32)*'Tariff Jul 2020'!Q32/100),0)))</f>
        <v>0</v>
      </c>
      <c r="H44" s="208">
        <f>($I$5)*'Tariff Jul 2020'!AE32/100</f>
        <v>36.481824145454546</v>
      </c>
      <c r="I44" s="208">
        <v>0</v>
      </c>
      <c r="J44" s="208">
        <f t="shared" si="27"/>
        <v>378.97534341818181</v>
      </c>
      <c r="K44" s="283">
        <f t="shared" si="34"/>
        <v>1192.6693736727273</v>
      </c>
      <c r="L44" s="283">
        <f t="shared" si="28"/>
        <v>1515.9013736727272</v>
      </c>
      <c r="M44" s="191">
        <f t="shared" si="29"/>
        <v>1667.49151104</v>
      </c>
      <c r="N44" s="187">
        <f>'Tariff Jul 2020'!AZ32</f>
        <v>0</v>
      </c>
      <c r="O44" s="187">
        <f>'Tariff Jul 2020'!BA32</f>
        <v>0</v>
      </c>
      <c r="P44" s="187">
        <f>'Tariff Jul 2020'!BB32</f>
        <v>0</v>
      </c>
      <c r="Q44" s="187">
        <f>'Tariff Jul 2020'!BC32</f>
        <v>0</v>
      </c>
      <c r="R44" s="192">
        <f>($F$6*'Tariff Jul 2020'!AT32/100)*4</f>
        <v>98.509983999999989</v>
      </c>
      <c r="S44" s="193" t="str">
        <f t="shared" si="30"/>
        <v>No discount</v>
      </c>
      <c r="T44" s="193" t="str">
        <f t="shared" si="31"/>
        <v>Exclusive</v>
      </c>
      <c r="U44" s="304">
        <f t="shared" si="32"/>
        <v>1515.9013736727272</v>
      </c>
      <c r="V44" s="283">
        <f t="shared" si="33"/>
        <v>1515.9013736727272</v>
      </c>
      <c r="W44" s="283">
        <f t="shared" si="24"/>
        <v>1417.3913896727272</v>
      </c>
      <c r="X44" s="283">
        <f t="shared" si="25"/>
        <v>1417.3913896727272</v>
      </c>
      <c r="Y44" s="285">
        <f t="shared" si="26"/>
        <v>1559.13052864</v>
      </c>
      <c r="Z44" s="285">
        <f t="shared" si="26"/>
        <v>1559.13052864</v>
      </c>
      <c r="AA44" s="194">
        <f>'Tariff Jul 2020'!AT32</f>
        <v>11.6</v>
      </c>
      <c r="AB44" s="195">
        <f>'Tariff Jul 2020'!BL32</f>
        <v>0</v>
      </c>
      <c r="AC44" s="195" t="str">
        <f>'Tariff Jul 2020'!BM32</f>
        <v>n</v>
      </c>
      <c r="AD44" s="196">
        <f>'Tariff Jul 2020'!G32</f>
        <v>42551</v>
      </c>
    </row>
    <row r="45" spans="1:30" x14ac:dyDescent="0.15">
      <c r="A45" s="186" t="str">
        <f>'Tariff Jul 2020'!K33</f>
        <v>EnergyAustralia</v>
      </c>
      <c r="B45" s="187" t="str">
        <f>'Tariff Jul 2020'!L33</f>
        <v>Total Plan Home</v>
      </c>
      <c r="C45" s="208">
        <f>IF('Tariff Jul 2020'!BP33=0,91*'Tariff Jul 2020'!M33/100,(91*'Tariff Jul 2020'!M33/100)+'Tariff Jul 2020'!BP33/4)</f>
        <v>70.97999999999999</v>
      </c>
      <c r="D45" s="208">
        <f>IF('Tariff Jul 2020'!O33="",$H$5*'Tariff Jul 2020'!N33/100,IF($H$5&gt;='Tariff Jul 2020'!P33,('Tariff Jul 2020'!P33*'Tariff Jul 2020'!N33/100),($H$5*'Tariff Jul 2020'!N33/100)))</f>
        <v>278.71526414545457</v>
      </c>
      <c r="E45" s="208">
        <f>IF(AND('Tariff Jul 2020'!P33&gt;0,'Tariff Jul 2020'!R33&gt;0),IF($H$5&lt;'Tariff Jul 2020'!P33,0,IF($H$5&lt;=('Tariff Jul 2020'!R33+'Tariff Jul 2020'!P33),(($H$5-'Tariff Jul 2020'!P33)*'Tariff Jul 2020'!Q33/100),(('Tariff Jul 2020'!R33)*'Tariff Jul 2020'!Q33/100))),0)</f>
        <v>0</v>
      </c>
      <c r="F45" s="208">
        <f>IF(AND('Tariff Jul 2020'!Q33&gt;0,'Tariff Jul 2020'!S33&gt;0),IF($H$5&lt;('Tariff Jul 2020'!R33+'Tariff Jul 2020'!P33),0,IF($H$5&lt;=('Tariff Jul 2020'!T33+'Tariff Jul 2020'!R33+'Tariff Jul 2020'!P33),(($H$5-('Tariff Jul 2020'!R33+'Tariff Jul 2020'!P33))*'Tariff Jul 2020'!S33/100),('Tariff Jul 2020'!T33*'Tariff Jul 2020'!S33/100))),0)</f>
        <v>0</v>
      </c>
      <c r="G45" s="208">
        <f>IF('Tariff Jul 2020'!T33&gt;0,IF(($H$5&lt;'Tariff Jul 2020'!T33),(0),($H$5-'Tariff Jul 2020'!T33)*'Tariff Jul 2020'!U33/100),IF(AND('Tariff Jul 2020'!R33&gt;0,'Tariff Jul 2020'!T33=""),IF(($H$5&lt;'Tariff Jul 2020'!R33),(0),($H$5-'Tariff Jul 2020'!R33)*'Tariff Jul 2020'!S33/100),IF(AND('Tariff Jul 2020'!P33&gt;0,'Tariff Jul 2020'!R33=""),IF(($H$5&lt;'Tariff Jul 2020'!P33),(0),($H$5-'Tariff Jul 2020'!P33)*'Tariff Jul 2020'!Q33/100),0)))</f>
        <v>0</v>
      </c>
      <c r="H45" s="208">
        <f>($I$5)*'Tariff Jul 2020'!AE33/100</f>
        <v>34.261350945454552</v>
      </c>
      <c r="I45" s="208">
        <v>0</v>
      </c>
      <c r="J45" s="208">
        <f t="shared" si="27"/>
        <v>383.95661509090905</v>
      </c>
      <c r="K45" s="283">
        <f t="shared" si="34"/>
        <v>1251.9064603636361</v>
      </c>
      <c r="L45" s="283">
        <f t="shared" si="28"/>
        <v>1535.8264603636362</v>
      </c>
      <c r="M45" s="191">
        <f t="shared" si="29"/>
        <v>1689.4091063999999</v>
      </c>
      <c r="N45" s="187">
        <f>'Tariff Jul 2020'!AZ33</f>
        <v>6</v>
      </c>
      <c r="O45" s="187">
        <f>'Tariff Jul 2020'!BA33</f>
        <v>0</v>
      </c>
      <c r="P45" s="187">
        <f>'Tariff Jul 2020'!BB33</f>
        <v>0</v>
      </c>
      <c r="Q45" s="187">
        <f>'Tariff Jul 2020'!BC33</f>
        <v>0</v>
      </c>
      <c r="R45" s="192">
        <f>($F$6*'Tariff Jul 2020'!AT33/100)*4</f>
        <v>97.660759999999996</v>
      </c>
      <c r="S45" s="193" t="str">
        <f t="shared" si="30"/>
        <v>Guaranteed off bill</v>
      </c>
      <c r="T45" s="193" t="str">
        <f t="shared" si="31"/>
        <v>Exclusive</v>
      </c>
      <c r="U45" s="304">
        <f t="shared" si="32"/>
        <v>1443.676872741818</v>
      </c>
      <c r="V45" s="283">
        <f t="shared" si="33"/>
        <v>1443.676872741818</v>
      </c>
      <c r="W45" s="283">
        <f t="shared" si="24"/>
        <v>1346.016112741818</v>
      </c>
      <c r="X45" s="283">
        <f t="shared" si="25"/>
        <v>1346.016112741818</v>
      </c>
      <c r="Y45" s="285">
        <f t="shared" si="26"/>
        <v>1480.617724016</v>
      </c>
      <c r="Z45" s="285">
        <f t="shared" si="26"/>
        <v>1480.617724016</v>
      </c>
      <c r="AA45" s="194">
        <f>'Tariff Jul 2020'!AT33</f>
        <v>11.5</v>
      </c>
      <c r="AB45" s="195">
        <f>'Tariff Jul 2020'!BL33</f>
        <v>0</v>
      </c>
      <c r="AC45" s="195" t="str">
        <f>'Tariff Jul 2020'!BM33</f>
        <v>n</v>
      </c>
      <c r="AD45" s="196">
        <f>'Tariff Jul 2020'!G33</f>
        <v>42551</v>
      </c>
    </row>
    <row r="46" spans="1:30" x14ac:dyDescent="0.15">
      <c r="A46" s="186" t="str">
        <f>'Tariff Jul 2020'!K34</f>
        <v>Lumo Energy</v>
      </c>
      <c r="B46" s="187" t="str">
        <f>'Tariff Jul 2020'!L34</f>
        <v>Plus</v>
      </c>
      <c r="C46" s="208">
        <f>IF('Tariff Jul 2020'!BP34=0,91*'Tariff Jul 2020'!M34/100,(91*'Tariff Jul 2020'!M34/100)+'Tariff Jul 2020'!BP34/4)</f>
        <v>75.124636363636355</v>
      </c>
      <c r="D46" s="208">
        <f>IF('Tariff Jul 2020'!O34="",$H$5*'Tariff Jul 2020'!N34/100,IF($H$5&gt;='Tariff Jul 2020'!P34,('Tariff Jul 2020'!P34*'Tariff Jul 2020'!N34/100),($H$5*'Tariff Jul 2020'!N34/100)))</f>
        <v>249.94086763636361</v>
      </c>
      <c r="E46" s="208">
        <f>IF(AND('Tariff Jul 2020'!P34&gt;0,'Tariff Jul 2020'!R34&gt;0),IF($H$5&lt;'Tariff Jul 2020'!P34,0,IF($H$5&lt;=('Tariff Jul 2020'!R34+'Tariff Jul 2020'!P34),(($H$5-'Tariff Jul 2020'!P34)*'Tariff Jul 2020'!Q34/100),(('Tariff Jul 2020'!R34)*'Tariff Jul 2020'!Q34/100))),0)</f>
        <v>0</v>
      </c>
      <c r="F46" s="208">
        <f>IF(AND('Tariff Jul 2020'!Q34&gt;0,'Tariff Jul 2020'!S34&gt;0),IF($H$5&lt;('Tariff Jul 2020'!R34+'Tariff Jul 2020'!P34),0,IF($H$5&lt;=('Tariff Jul 2020'!T34+'Tariff Jul 2020'!R34+'Tariff Jul 2020'!P34),(($H$5-('Tariff Jul 2020'!R34+'Tariff Jul 2020'!P34))*'Tariff Jul 2020'!S34/100),('Tariff Jul 2020'!T34*'Tariff Jul 2020'!S34/100))),0)</f>
        <v>0</v>
      </c>
      <c r="G46" s="208">
        <f>IF('Tariff Jul 2020'!T34&gt;0,IF(($H$5&lt;'Tariff Jul 2020'!T34),(0),($H$5-'Tariff Jul 2020'!T34)*'Tariff Jul 2020'!U34/100),IF(AND('Tariff Jul 2020'!R34&gt;0,'Tariff Jul 2020'!T34=""),IF(($H$5&lt;'Tariff Jul 2020'!R34),(0),($H$5-'Tariff Jul 2020'!R34)*'Tariff Jul 2020'!S34/100),IF(AND('Tariff Jul 2020'!P34&gt;0,'Tariff Jul 2020'!R34=""),IF(($H$5&lt;'Tariff Jul 2020'!P34),(0),($H$5-'Tariff Jul 2020'!P34)*'Tariff Jul 2020'!Q34/100),0)))</f>
        <v>0</v>
      </c>
      <c r="H46" s="208">
        <f>($I$5)*'Tariff Jul 2020'!AE34/100</f>
        <v>37.711342363636362</v>
      </c>
      <c r="I46" s="208">
        <v>0</v>
      </c>
      <c r="J46" s="208">
        <f t="shared" si="27"/>
        <v>362.77684636363631</v>
      </c>
      <c r="K46" s="283">
        <f t="shared" si="34"/>
        <v>1150.6088399999999</v>
      </c>
      <c r="L46" s="283">
        <f t="shared" si="28"/>
        <v>1451.1073854545452</v>
      </c>
      <c r="M46" s="191">
        <f t="shared" si="29"/>
        <v>1596.218124</v>
      </c>
      <c r="N46" s="187">
        <f>'Tariff Jul 2020'!AZ34</f>
        <v>0</v>
      </c>
      <c r="O46" s="187">
        <f>'Tariff Jul 2020'!BA34</f>
        <v>0</v>
      </c>
      <c r="P46" s="187">
        <f>'Tariff Jul 2020'!BB34</f>
        <v>0</v>
      </c>
      <c r="Q46" s="187">
        <f>'Tariff Jul 2020'!BC34</f>
        <v>0</v>
      </c>
      <c r="R46" s="192">
        <f>($F$6*'Tariff Jul 2020'!AT34/100)*4</f>
        <v>127.38359999999999</v>
      </c>
      <c r="S46" s="193" t="str">
        <f t="shared" si="30"/>
        <v>No discount</v>
      </c>
      <c r="T46" s="193" t="str">
        <f t="shared" si="31"/>
        <v>Exclusive</v>
      </c>
      <c r="U46" s="304">
        <f t="shared" si="32"/>
        <v>1451.1073854545452</v>
      </c>
      <c r="V46" s="283">
        <f t="shared" si="33"/>
        <v>1451.1073854545452</v>
      </c>
      <c r="W46" s="283">
        <f t="shared" si="24"/>
        <v>1323.7237854545454</v>
      </c>
      <c r="X46" s="283">
        <f t="shared" si="25"/>
        <v>1323.7237854545454</v>
      </c>
      <c r="Y46" s="285">
        <f t="shared" si="26"/>
        <v>1456.096164</v>
      </c>
      <c r="Z46" s="285">
        <f t="shared" si="26"/>
        <v>1456.096164</v>
      </c>
      <c r="AA46" s="194">
        <f>'Tariff Jul 2020'!AT34</f>
        <v>15</v>
      </c>
      <c r="AB46" s="195">
        <f>'Tariff Jul 2020'!BL34</f>
        <v>0</v>
      </c>
      <c r="AC46" s="195" t="str">
        <f>'Tariff Jul 2020'!BM34</f>
        <v>n</v>
      </c>
      <c r="AD46" s="196">
        <f>'Tariff Jul 2020'!G34</f>
        <v>42551</v>
      </c>
    </row>
    <row r="47" spans="1:30" x14ac:dyDescent="0.15">
      <c r="A47" s="186" t="str">
        <f>'Tariff Jul 2020'!K35</f>
        <v>Momentum Energy</v>
      </c>
      <c r="B47" s="187" t="str">
        <f>'Tariff Jul 2020'!L35</f>
        <v>SmilePower Flexi</v>
      </c>
      <c r="C47" s="208">
        <f>IF('Tariff Jul 2020'!BP35=0,91*'Tariff Jul 2020'!M35/100,(91*'Tariff Jul 2020'!M35/100)+'Tariff Jul 2020'!BP35/4)</f>
        <v>88.840818181818179</v>
      </c>
      <c r="D47" s="208">
        <f>IF('Tariff Jul 2020'!O35="",$H$5*'Tariff Jul 2020'!N35/100,IF($H$5&gt;='Tariff Jul 2020'!P35,('Tariff Jul 2020'!P35*'Tariff Jul 2020'!N35/100),($H$5*'Tariff Jul 2020'!N35/100)))</f>
        <v>268.51209803636362</v>
      </c>
      <c r="E47" s="208">
        <f>IF(AND('Tariff Jul 2020'!P35&gt;0,'Tariff Jul 2020'!R35&gt;0),IF($H$5&lt;'Tariff Jul 2020'!P35,0,IF($H$5&lt;=('Tariff Jul 2020'!R35+'Tariff Jul 2020'!P35),(($H$5-'Tariff Jul 2020'!P35)*'Tariff Jul 2020'!Q35/100),(('Tariff Jul 2020'!R35)*'Tariff Jul 2020'!Q35/100))),0)</f>
        <v>0</v>
      </c>
      <c r="F47" s="208">
        <f>IF(AND('Tariff Jul 2020'!Q35&gt;0,'Tariff Jul 2020'!S35&gt;0),IF($H$5&lt;('Tariff Jul 2020'!R35+'Tariff Jul 2020'!P35),0,IF($H$5&lt;=('Tariff Jul 2020'!T35+'Tariff Jul 2020'!R35+'Tariff Jul 2020'!P35),(($H$5-('Tariff Jul 2020'!R35+'Tariff Jul 2020'!P35))*'Tariff Jul 2020'!S35/100),('Tariff Jul 2020'!T35*'Tariff Jul 2020'!S35/100))),0)</f>
        <v>0</v>
      </c>
      <c r="G47" s="208">
        <f>IF('Tariff Jul 2020'!T35&gt;0,IF(($H$5&lt;'Tariff Jul 2020'!T35),(0),($H$5-'Tariff Jul 2020'!T35)*'Tariff Jul 2020'!U35/100),IF(AND('Tariff Jul 2020'!R35&gt;0,'Tariff Jul 2020'!T35=""),IF(($H$5&lt;'Tariff Jul 2020'!R35),(0),($H$5-'Tariff Jul 2020'!R35)*'Tariff Jul 2020'!S35/100),IF(AND('Tariff Jul 2020'!P35&gt;0,'Tariff Jul 2020'!R35=""),IF(($H$5&lt;'Tariff Jul 2020'!P35),(0),($H$5-'Tariff Jul 2020'!P35)*'Tariff Jul 2020'!Q35/100),0)))</f>
        <v>0</v>
      </c>
      <c r="H47" s="208">
        <f>($I$5)*'Tariff Jul 2020'!AE35/100</f>
        <v>27.636633381818182</v>
      </c>
      <c r="I47" s="208">
        <v>0</v>
      </c>
      <c r="J47" s="208">
        <f t="shared" si="27"/>
        <v>384.98954959999998</v>
      </c>
      <c r="K47" s="283">
        <f t="shared" si="34"/>
        <v>1184.5949256727272</v>
      </c>
      <c r="L47" s="283">
        <f t="shared" si="28"/>
        <v>1539.9581983999999</v>
      </c>
      <c r="M47" s="191">
        <f t="shared" si="29"/>
        <v>1693.9540182400001</v>
      </c>
      <c r="N47" s="187">
        <f>'Tariff Jul 2020'!AZ35</f>
        <v>0</v>
      </c>
      <c r="O47" s="187">
        <f>'Tariff Jul 2020'!BA35</f>
        <v>0</v>
      </c>
      <c r="P47" s="187">
        <f>'Tariff Jul 2020'!BB35</f>
        <v>0</v>
      </c>
      <c r="Q47" s="187">
        <f>'Tariff Jul 2020'!BC35</f>
        <v>0</v>
      </c>
      <c r="R47" s="192">
        <f>($F$6*'Tariff Jul 2020'!AT35/100)*4</f>
        <v>57.747231999999997</v>
      </c>
      <c r="S47" s="193" t="str">
        <f t="shared" si="30"/>
        <v>No discount</v>
      </c>
      <c r="T47" s="193" t="str">
        <f t="shared" si="31"/>
        <v>Exclusive</v>
      </c>
      <c r="U47" s="304">
        <f t="shared" si="32"/>
        <v>1539.9581983999999</v>
      </c>
      <c r="V47" s="283">
        <f t="shared" si="33"/>
        <v>1539.9581983999999</v>
      </c>
      <c r="W47" s="283">
        <f t="shared" si="24"/>
        <v>1482.2109664</v>
      </c>
      <c r="X47" s="283">
        <f t="shared" si="25"/>
        <v>1482.2109664</v>
      </c>
      <c r="Y47" s="285">
        <f t="shared" si="26"/>
        <v>1630.43206304</v>
      </c>
      <c r="Z47" s="285">
        <f t="shared" si="26"/>
        <v>1630.43206304</v>
      </c>
      <c r="AA47" s="194">
        <f>'Tariff Jul 2020'!AT35</f>
        <v>6.8</v>
      </c>
      <c r="AB47" s="195">
        <f>'Tariff Jul 2020'!BL35</f>
        <v>0</v>
      </c>
      <c r="AC47" s="195" t="str">
        <f>'Tariff Jul 2020'!BM35</f>
        <v>n</v>
      </c>
      <c r="AD47" s="196">
        <f>'Tariff Jul 2020'!G35</f>
        <v>42551</v>
      </c>
    </row>
    <row r="48" spans="1:30" x14ac:dyDescent="0.15">
      <c r="A48" s="186" t="str">
        <f>'Tariff Jul 2020'!K36</f>
        <v>Origin Energy</v>
      </c>
      <c r="B48" s="187" t="str">
        <f>'Tariff Jul 2020'!L36</f>
        <v>Solar Boost</v>
      </c>
      <c r="C48" s="208">
        <f>IF('Tariff Jul 2020'!BP36=0,91*'Tariff Jul 2020'!M36/100,(91*'Tariff Jul 2020'!M36/100)+'Tariff Jul 2020'!BP36/4)</f>
        <v>70.905545454545447</v>
      </c>
      <c r="D48" s="208">
        <f>IF('Tariff Jul 2020'!O36="",$H$5*'Tariff Jul 2020'!N36/100,IF($H$5&gt;='Tariff Jul 2020'!P36,('Tariff Jul 2020'!P36*'Tariff Jul 2020'!N36/100),($H$5*'Tariff Jul 2020'!N36/100)))</f>
        <v>278.78866821818178</v>
      </c>
      <c r="E48" s="208">
        <f>IF(AND('Tariff Jul 2020'!P36&gt;0,'Tariff Jul 2020'!R36&gt;0),IF($H$5&lt;'Tariff Jul 2020'!P36,0,IF($H$5&lt;=('Tariff Jul 2020'!R36+'Tariff Jul 2020'!P36),(($H$5-'Tariff Jul 2020'!P36)*'Tariff Jul 2020'!Q36/100),(('Tariff Jul 2020'!R36)*'Tariff Jul 2020'!Q36/100))),0)</f>
        <v>0</v>
      </c>
      <c r="F48" s="208">
        <f>IF(AND('Tariff Jul 2020'!Q36&gt;0,'Tariff Jul 2020'!S36&gt;0),IF($H$5&lt;('Tariff Jul 2020'!R36+'Tariff Jul 2020'!P36),0,IF($H$5&lt;=('Tariff Jul 2020'!T36+'Tariff Jul 2020'!R36+'Tariff Jul 2020'!P36),(($H$5-('Tariff Jul 2020'!R36+'Tariff Jul 2020'!P36))*'Tariff Jul 2020'!S36/100),('Tariff Jul 2020'!T36*'Tariff Jul 2020'!S36/100))),0)</f>
        <v>0</v>
      </c>
      <c r="G48" s="208">
        <f>IF('Tariff Jul 2020'!T36&gt;0,IF(($H$5&lt;'Tariff Jul 2020'!T36),(0),($H$5-'Tariff Jul 2020'!T36)*'Tariff Jul 2020'!U36/100),IF(AND('Tariff Jul 2020'!R36&gt;0,'Tariff Jul 2020'!T36=""),IF(($H$5&lt;'Tariff Jul 2020'!R36),(0),($H$5-'Tariff Jul 2020'!R36)*'Tariff Jul 2020'!S36/100),IF(AND('Tariff Jul 2020'!P36&gt;0,'Tariff Jul 2020'!R36=""),IF(($H$5&lt;'Tariff Jul 2020'!P36),(0),($H$5-'Tariff Jul 2020'!P36)*'Tariff Jul 2020'!Q36/100),0)))</f>
        <v>0</v>
      </c>
      <c r="H48" s="208">
        <f>($I$5)*'Tariff Jul 2020'!AE36/100</f>
        <v>33.747522436363646</v>
      </c>
      <c r="I48" s="208">
        <v>0</v>
      </c>
      <c r="J48" s="208">
        <f t="shared" si="27"/>
        <v>383.44173610909087</v>
      </c>
      <c r="K48" s="283">
        <f t="shared" si="34"/>
        <v>1250.1447626181816</v>
      </c>
      <c r="L48" s="283">
        <f t="shared" si="28"/>
        <v>1533.7669444363635</v>
      </c>
      <c r="M48" s="191">
        <f t="shared" si="29"/>
        <v>1687.14363888</v>
      </c>
      <c r="N48" s="187">
        <f>'Tariff Jul 2020'!AZ36</f>
        <v>0</v>
      </c>
      <c r="O48" s="187">
        <f>'Tariff Jul 2020'!BA36</f>
        <v>0</v>
      </c>
      <c r="P48" s="187">
        <f>'Tariff Jul 2020'!BB36</f>
        <v>0</v>
      </c>
      <c r="Q48" s="187">
        <f>'Tariff Jul 2020'!BC36</f>
        <v>0</v>
      </c>
      <c r="R48" s="192">
        <f>($F$6*'Tariff Jul 2020'!AT36/100)*4</f>
        <v>110.39911999999998</v>
      </c>
      <c r="S48" s="193" t="str">
        <f t="shared" si="30"/>
        <v>No discount</v>
      </c>
      <c r="T48" s="193" t="str">
        <f t="shared" si="31"/>
        <v>Inclusive</v>
      </c>
      <c r="U48" s="304">
        <f t="shared" si="32"/>
        <v>1533.7669444363635</v>
      </c>
      <c r="V48" s="283">
        <f t="shared" si="33"/>
        <v>1533.7669444363635</v>
      </c>
      <c r="W48" s="283">
        <f t="shared" si="24"/>
        <v>1423.3678244363634</v>
      </c>
      <c r="X48" s="283">
        <f t="shared" si="25"/>
        <v>1423.3678244363634</v>
      </c>
      <c r="Y48" s="285">
        <f t="shared" si="26"/>
        <v>1565.7046068799998</v>
      </c>
      <c r="Z48" s="285">
        <f t="shared" si="26"/>
        <v>1565.7046068799998</v>
      </c>
      <c r="AA48" s="194">
        <f>'Tariff Jul 2020'!AT36</f>
        <v>13</v>
      </c>
      <c r="AB48" s="195">
        <f>'Tariff Jul 2020'!BL36</f>
        <v>0</v>
      </c>
      <c r="AC48" s="195" t="str">
        <f>'Tariff Jul 2020'!BM36</f>
        <v>n</v>
      </c>
      <c r="AD48" s="196">
        <f>'Tariff Jul 2020'!G36</f>
        <v>42551</v>
      </c>
    </row>
    <row r="49" spans="1:30" x14ac:dyDescent="0.15">
      <c r="A49" s="186" t="str">
        <f>'Tariff Jul 2020'!K37</f>
        <v>Powerdirect</v>
      </c>
      <c r="B49" s="187" t="str">
        <f>'Tariff Jul 2020'!L37</f>
        <v>Rate Saver</v>
      </c>
      <c r="C49" s="208">
        <f>IF('Tariff Jul 2020'!BP37=0,91*'Tariff Jul 2020'!M37/100,(91*'Tariff Jul 2020'!M37/100)+'Tariff Jul 2020'!BP37/4)</f>
        <v>65.098090909090899</v>
      </c>
      <c r="D49" s="208">
        <f>IF('Tariff Jul 2020'!O37="",$H$5*'Tariff Jul 2020'!N37/100,IF($H$5&gt;='Tariff Jul 2020'!P37,('Tariff Jul 2020'!P37*'Tariff Jul 2020'!N37/100),($H$5*'Tariff Jul 2020'!N37/100)))</f>
        <v>246.41747214545455</v>
      </c>
      <c r="E49" s="208">
        <f>IF(AND('Tariff Jul 2020'!P37&gt;0,'Tariff Jul 2020'!R37&gt;0),IF($H$5&lt;'Tariff Jul 2020'!P37,0,IF($H$5&lt;=('Tariff Jul 2020'!R37+'Tariff Jul 2020'!P37),(($H$5-'Tariff Jul 2020'!P37)*'Tariff Jul 2020'!Q37/100),(('Tariff Jul 2020'!R37)*'Tariff Jul 2020'!Q37/100))),0)</f>
        <v>0</v>
      </c>
      <c r="F49" s="208">
        <f>IF(AND('Tariff Jul 2020'!Q37&gt;0,'Tariff Jul 2020'!S37&gt;0),IF($H$5&lt;('Tariff Jul 2020'!R37+'Tariff Jul 2020'!P37),0,IF($H$5&lt;=('Tariff Jul 2020'!T37+'Tariff Jul 2020'!R37+'Tariff Jul 2020'!P37),(($H$5-('Tariff Jul 2020'!R37+'Tariff Jul 2020'!P37))*'Tariff Jul 2020'!S37/100),('Tariff Jul 2020'!T37*'Tariff Jul 2020'!S37/100))),0)</f>
        <v>0</v>
      </c>
      <c r="G49" s="208">
        <f>IF('Tariff Jul 2020'!T37&gt;0,IF(($H$5&lt;'Tariff Jul 2020'!T37),(0),($H$5-'Tariff Jul 2020'!T37)*'Tariff Jul 2020'!U37/100),IF(AND('Tariff Jul 2020'!R37&gt;0,'Tariff Jul 2020'!T37=""),IF(($H$5&lt;'Tariff Jul 2020'!R37),(0),($H$5-'Tariff Jul 2020'!R37)*'Tariff Jul 2020'!S37/100),IF(AND('Tariff Jul 2020'!P37&gt;0,'Tariff Jul 2020'!R37=""),IF(($H$5&lt;'Tariff Jul 2020'!P37),(0),($H$5-'Tariff Jul 2020'!P37)*'Tariff Jul 2020'!Q37/100),0)))</f>
        <v>0</v>
      </c>
      <c r="H49" s="208">
        <f>($I$5)*'Tariff Jul 2020'!AE37/100</f>
        <v>30.517743236363636</v>
      </c>
      <c r="I49" s="208">
        <v>0</v>
      </c>
      <c r="J49" s="208">
        <f t="shared" si="27"/>
        <v>342.03330629090908</v>
      </c>
      <c r="K49" s="283">
        <f t="shared" si="34"/>
        <v>1107.7408615272727</v>
      </c>
      <c r="L49" s="283">
        <f t="shared" si="28"/>
        <v>1368.1332251636363</v>
      </c>
      <c r="M49" s="191">
        <f t="shared" si="29"/>
        <v>1504.9465476800001</v>
      </c>
      <c r="N49" s="187">
        <f>'Tariff Jul 2020'!AZ37</f>
        <v>0</v>
      </c>
      <c r="O49" s="187">
        <f>'Tariff Jul 2020'!BA37</f>
        <v>0</v>
      </c>
      <c r="P49" s="187">
        <f>'Tariff Jul 2020'!BB37</f>
        <v>0</v>
      </c>
      <c r="Q49" s="187">
        <f>'Tariff Jul 2020'!BC37</f>
        <v>0</v>
      </c>
      <c r="R49" s="192">
        <f>($F$6*'Tariff Jul 2020'!AT37/100)*4</f>
        <v>105.303776</v>
      </c>
      <c r="S49" s="193" t="str">
        <f t="shared" si="30"/>
        <v>No discount</v>
      </c>
      <c r="T49" s="193" t="str">
        <f t="shared" si="31"/>
        <v>Exclusive</v>
      </c>
      <c r="U49" s="304">
        <f t="shared" si="32"/>
        <v>1368.1332251636363</v>
      </c>
      <c r="V49" s="283">
        <f t="shared" si="33"/>
        <v>1368.1332251636363</v>
      </c>
      <c r="W49" s="283">
        <f t="shared" si="24"/>
        <v>1262.8294491636364</v>
      </c>
      <c r="X49" s="283">
        <f t="shared" si="25"/>
        <v>1262.8294491636364</v>
      </c>
      <c r="Y49" s="285">
        <f t="shared" si="26"/>
        <v>1389.1123940800001</v>
      </c>
      <c r="Z49" s="285">
        <f t="shared" si="26"/>
        <v>1389.1123940800001</v>
      </c>
      <c r="AA49" s="194">
        <f>'Tariff Jul 2020'!AT37</f>
        <v>12.4</v>
      </c>
      <c r="AB49" s="195">
        <f>'Tariff Jul 2020'!BL37</f>
        <v>0</v>
      </c>
      <c r="AC49" s="195" t="str">
        <f>'Tariff Jul 2020'!BM37</f>
        <v>n</v>
      </c>
      <c r="AD49" s="196">
        <f>'Tariff Jul 2020'!G37</f>
        <v>42551</v>
      </c>
    </row>
    <row r="50" spans="1:30" x14ac:dyDescent="0.15">
      <c r="A50" s="186" t="str">
        <f>'Tariff Jul 2020'!K38</f>
        <v>Red Energy</v>
      </c>
      <c r="B50" s="187" t="str">
        <f>'Tariff Jul 2020'!L38</f>
        <v>Living Energy Saver</v>
      </c>
      <c r="C50" s="208">
        <f>IF('Tariff Jul 2020'!BP38=0,91*'Tariff Jul 2020'!M38/100,(91*'Tariff Jul 2020'!M38/100)+'Tariff Jul 2020'!BP38/4)</f>
        <v>97.37</v>
      </c>
      <c r="D50" s="208">
        <f>IF('Tariff Jul 2020'!O38="",$H$5*'Tariff Jul 2020'!N38/100,IF($H$5&gt;='Tariff Jul 2020'!P38,('Tariff Jul 2020'!P38*'Tariff Jul 2020'!N38/100),($H$5*'Tariff Jul 2020'!N38/100)))</f>
        <v>256.6206382545455</v>
      </c>
      <c r="E50" s="208">
        <f>IF(AND('Tariff Jul 2020'!P38&gt;0,'Tariff Jul 2020'!R38&gt;0),IF($H$5&lt;'Tariff Jul 2020'!P38,0,IF($H$5&lt;=('Tariff Jul 2020'!R38+'Tariff Jul 2020'!P38),(($H$5-'Tariff Jul 2020'!P38)*'Tariff Jul 2020'!Q38/100),(('Tariff Jul 2020'!R38)*'Tariff Jul 2020'!Q38/100))),0)</f>
        <v>0</v>
      </c>
      <c r="F50" s="208">
        <f>IF(AND('Tariff Jul 2020'!Q38&gt;0,'Tariff Jul 2020'!S38&gt;0),IF($H$5&lt;('Tariff Jul 2020'!R38+'Tariff Jul 2020'!P38),0,IF($H$5&lt;=('Tariff Jul 2020'!T38+'Tariff Jul 2020'!R38+'Tariff Jul 2020'!P38),(($H$5-('Tariff Jul 2020'!R38+'Tariff Jul 2020'!P38))*'Tariff Jul 2020'!S38/100),('Tariff Jul 2020'!T38*'Tariff Jul 2020'!S38/100))),0)</f>
        <v>0</v>
      </c>
      <c r="G50" s="208">
        <f>IF('Tariff Jul 2020'!T38&gt;0,IF(($H$5&lt;'Tariff Jul 2020'!T38),(0),($H$5-'Tariff Jul 2020'!T38)*'Tariff Jul 2020'!U38/100),IF(AND('Tariff Jul 2020'!R38&gt;0,'Tariff Jul 2020'!T38=""),IF(($H$5&lt;'Tariff Jul 2020'!R38),(0),($H$5-'Tariff Jul 2020'!R38)*'Tariff Jul 2020'!S38/100),IF(AND('Tariff Jul 2020'!P38&gt;0,'Tariff Jul 2020'!R38=""),IF(($H$5&lt;'Tariff Jul 2020'!P38),(0),($H$5-'Tariff Jul 2020'!P38)*'Tariff Jul 2020'!Q38/100),0)))</f>
        <v>0</v>
      </c>
      <c r="H50" s="208">
        <f>($I$5)*'Tariff Jul 2020'!AE38/100</f>
        <v>35.233954909090912</v>
      </c>
      <c r="I50" s="208">
        <v>0</v>
      </c>
      <c r="J50" s="208">
        <f t="shared" si="27"/>
        <v>389.22459316363643</v>
      </c>
      <c r="K50" s="283">
        <f t="shared" si="34"/>
        <v>1167.4183726545457</v>
      </c>
      <c r="L50" s="283">
        <f t="shared" si="28"/>
        <v>1556.8983726545457</v>
      </c>
      <c r="M50" s="191">
        <f t="shared" si="29"/>
        <v>1712.5882099200005</v>
      </c>
      <c r="N50" s="187">
        <f>'Tariff Jul 2020'!AZ38</f>
        <v>0</v>
      </c>
      <c r="O50" s="187">
        <f>'Tariff Jul 2020'!BA38</f>
        <v>0</v>
      </c>
      <c r="P50" s="187">
        <f>'Tariff Jul 2020'!BB38</f>
        <v>0</v>
      </c>
      <c r="Q50" s="187">
        <f>'Tariff Jul 2020'!BC38</f>
        <v>0</v>
      </c>
      <c r="R50" s="192">
        <f>($F$6*'Tariff Jul 2020'!AT38/100)*4</f>
        <v>120.58980799999998</v>
      </c>
      <c r="S50" s="193" t="str">
        <f t="shared" si="30"/>
        <v>No discount</v>
      </c>
      <c r="T50" s="193" t="str">
        <f t="shared" si="31"/>
        <v>Inclusive</v>
      </c>
      <c r="U50" s="304">
        <f t="shared" si="32"/>
        <v>1556.8983726545457</v>
      </c>
      <c r="V50" s="283">
        <f t="shared" si="33"/>
        <v>1556.8983726545457</v>
      </c>
      <c r="W50" s="283">
        <f t="shared" si="24"/>
        <v>1436.3085646545458</v>
      </c>
      <c r="X50" s="283">
        <f t="shared" si="25"/>
        <v>1436.3085646545458</v>
      </c>
      <c r="Y50" s="285">
        <f t="shared" si="26"/>
        <v>1579.9394211200004</v>
      </c>
      <c r="Z50" s="285">
        <f t="shared" si="26"/>
        <v>1579.9394211200004</v>
      </c>
      <c r="AA50" s="194">
        <f>'Tariff Jul 2020'!AT38</f>
        <v>14.2</v>
      </c>
      <c r="AB50" s="195">
        <f>'Tariff Jul 2020'!BL38</f>
        <v>0</v>
      </c>
      <c r="AC50" s="195" t="str">
        <f>'Tariff Jul 2020'!BM38</f>
        <v>n</v>
      </c>
      <c r="AD50" s="196">
        <f>'Tariff Jul 2020'!G38</f>
        <v>42551</v>
      </c>
    </row>
    <row r="51" spans="1:30" x14ac:dyDescent="0.15">
      <c r="A51" s="186" t="str">
        <f>'Tariff Jul 2020'!K39</f>
        <v>Energy Locals</v>
      </c>
      <c r="B51" s="187" t="str">
        <f>'Tariff Jul 2020'!L39</f>
        <v>Local Saver</v>
      </c>
      <c r="C51" s="208">
        <f>IF('Tariff Jul 2020'!BP39=0,91*'Tariff Jul 2020'!M39/100,(91*'Tariff Jul 2020'!M39/100)+'Tariff Jul 2020'!BP39/4)</f>
        <v>110.03749999999999</v>
      </c>
      <c r="D51" s="208">
        <f>IF('Tariff Jul 2020'!O39="",$H$5*'Tariff Jul 2020'!N39/100,IF($H$5&gt;='Tariff Jul 2020'!P39,('Tariff Jul 2020'!P39*'Tariff Jul 2020'!N39/100),($H$5*'Tariff Jul 2020'!N39/100)))</f>
        <v>220.19019696000004</v>
      </c>
      <c r="E51" s="208">
        <f>IF(AND('Tariff Jul 2020'!P39&gt;0,'Tariff Jul 2020'!R39&gt;0),IF($H$5&lt;'Tariff Jul 2020'!P39,0,IF($H$5&lt;=('Tariff Jul 2020'!R39+'Tariff Jul 2020'!P39),(($H$5-'Tariff Jul 2020'!P39)*'Tariff Jul 2020'!Q39/100),(('Tariff Jul 2020'!R39)*'Tariff Jul 2020'!Q39/100))),0)</f>
        <v>0</v>
      </c>
      <c r="F51" s="208">
        <f>IF(AND('Tariff Jul 2020'!Q39&gt;0,'Tariff Jul 2020'!S39&gt;0),IF($H$5&lt;('Tariff Jul 2020'!R39+'Tariff Jul 2020'!P39),0,IF($H$5&lt;=('Tariff Jul 2020'!T39+'Tariff Jul 2020'!R39+'Tariff Jul 2020'!P39),(($H$5-('Tariff Jul 2020'!R39+'Tariff Jul 2020'!P39))*'Tariff Jul 2020'!S39/100),('Tariff Jul 2020'!T39*'Tariff Jul 2020'!S39/100))),0)</f>
        <v>0</v>
      </c>
      <c r="G51" s="208">
        <f>IF('Tariff Jul 2020'!T39&gt;0,IF(($H$5&lt;'Tariff Jul 2020'!T39),(0),($H$5-'Tariff Jul 2020'!T39)*'Tariff Jul 2020'!U39/100),IF(AND('Tariff Jul 2020'!R39&gt;0,'Tariff Jul 2020'!T39=""),IF(($H$5&lt;'Tariff Jul 2020'!R39),(0),($H$5-'Tariff Jul 2020'!R39)*'Tariff Jul 2020'!S39/100),IF(AND('Tariff Jul 2020'!P39&gt;0,'Tariff Jul 2020'!R39=""),IF(($H$5&lt;'Tariff Jul 2020'!P39),(0),($H$5-'Tariff Jul 2020'!P39)*'Tariff Jul 2020'!Q39/100),0)))</f>
        <v>0</v>
      </c>
      <c r="H51" s="208">
        <f>($I$5)*'Tariff Jul 2020'!AE39/100</f>
        <v>36.698366160000006</v>
      </c>
      <c r="I51" s="208">
        <v>0</v>
      </c>
      <c r="J51" s="208">
        <f t="shared" si="27"/>
        <v>366.92606311999998</v>
      </c>
      <c r="K51" s="283">
        <f t="shared" si="34"/>
        <v>1027.5542524799998</v>
      </c>
      <c r="L51" s="283">
        <f t="shared" si="28"/>
        <v>1467.7042524799999</v>
      </c>
      <c r="M51" s="191">
        <f t="shared" si="29"/>
        <v>1614.474677728</v>
      </c>
      <c r="N51" s="187">
        <f>'Tariff Jul 2020'!AZ39</f>
        <v>0</v>
      </c>
      <c r="O51" s="187">
        <f>'Tariff Jul 2020'!BA39</f>
        <v>0</v>
      </c>
      <c r="P51" s="187">
        <f>'Tariff Jul 2020'!BB39</f>
        <v>0</v>
      </c>
      <c r="Q51" s="187">
        <f>'Tariff Jul 2020'!BC39</f>
        <v>0</v>
      </c>
      <c r="R51" s="192">
        <f>($F$6*'Tariff Jul 2020'!AT39/100)*4</f>
        <v>83.903331199999997</v>
      </c>
      <c r="S51" s="193" t="str">
        <f t="shared" si="30"/>
        <v>No discount</v>
      </c>
      <c r="T51" s="193" t="str">
        <f t="shared" si="31"/>
        <v>Exclusive</v>
      </c>
      <c r="U51" s="304">
        <f t="shared" si="32"/>
        <v>1467.7042524799999</v>
      </c>
      <c r="V51" s="283">
        <f t="shared" si="33"/>
        <v>1467.7042524799999</v>
      </c>
      <c r="W51" s="283">
        <f t="shared" si="24"/>
        <v>1383.80092128</v>
      </c>
      <c r="X51" s="283">
        <f t="shared" si="25"/>
        <v>1383.80092128</v>
      </c>
      <c r="Y51" s="285">
        <f t="shared" si="26"/>
        <v>1522.1810134080001</v>
      </c>
      <c r="Z51" s="285">
        <f t="shared" si="26"/>
        <v>1522.1810134080001</v>
      </c>
      <c r="AA51" s="194">
        <f>'Tariff Jul 2020'!AT39</f>
        <v>9.8800000000000008</v>
      </c>
      <c r="AB51" s="195">
        <f>'Tariff Jul 2020'!BL39</f>
        <v>0</v>
      </c>
      <c r="AC51" s="195" t="str">
        <f>'Tariff Jul 2020'!BM39</f>
        <v>n</v>
      </c>
      <c r="AD51" s="196">
        <f>'Tariff Jul 2020'!G39</f>
        <v>42593</v>
      </c>
    </row>
    <row r="52" spans="1:30" x14ac:dyDescent="0.15">
      <c r="A52" s="186" t="str">
        <f>'Tariff Jul 2020'!K40</f>
        <v>Simply Energy</v>
      </c>
      <c r="B52" s="187" t="str">
        <f>'Tariff Jul 2020'!L40</f>
        <v>Saver</v>
      </c>
      <c r="C52" s="208">
        <f>IF('Tariff Jul 2020'!BP40=0,91*'Tariff Jul 2020'!M40/100,(91*'Tariff Jul 2020'!M40/100)+'Tariff Jul 2020'!BP40/4)</f>
        <v>88.27</v>
      </c>
      <c r="D52" s="208">
        <f>IF('Tariff Jul 2020'!O40="",$H$5*'Tariff Jul 2020'!N40/100,IF($H$5&gt;='Tariff Jul 2020'!P40,('Tariff Jul 2020'!P40*'Tariff Jul 2020'!N40/100),($H$5*'Tariff Jul 2020'!N40/100)))</f>
        <v>264.69508625454552</v>
      </c>
      <c r="E52" s="208">
        <f>IF(AND('Tariff Jul 2020'!P40&gt;0,'Tariff Jul 2020'!R40&gt;0),IF($H$5&lt;'Tariff Jul 2020'!P40,0,IF($H$5&lt;=('Tariff Jul 2020'!R40+'Tariff Jul 2020'!P40),(($H$5-'Tariff Jul 2020'!P40)*'Tariff Jul 2020'!Q40/100),(('Tariff Jul 2020'!R40)*'Tariff Jul 2020'!Q40/100))),0)</f>
        <v>0</v>
      </c>
      <c r="F52" s="208">
        <f>IF(AND('Tariff Jul 2020'!Q40&gt;0,'Tariff Jul 2020'!S40&gt;0),IF($H$5&lt;('Tariff Jul 2020'!R40+'Tariff Jul 2020'!P40),0,IF($H$5&lt;=('Tariff Jul 2020'!T40+'Tariff Jul 2020'!R40+'Tariff Jul 2020'!P40),(($H$5-('Tariff Jul 2020'!R40+'Tariff Jul 2020'!P40))*'Tariff Jul 2020'!S40/100),('Tariff Jul 2020'!T40*'Tariff Jul 2020'!S40/100))),0)</f>
        <v>0</v>
      </c>
      <c r="G52" s="208">
        <f>IF('Tariff Jul 2020'!T40&gt;0,IF(($H$5&lt;'Tariff Jul 2020'!T40),(0),($H$5-'Tariff Jul 2020'!T40)*'Tariff Jul 2020'!U40/100),IF(AND('Tariff Jul 2020'!R40&gt;0,'Tariff Jul 2020'!T40=""),IF(($H$5&lt;'Tariff Jul 2020'!R40),(0),($H$5-'Tariff Jul 2020'!R40)*'Tariff Jul 2020'!S40/100),IF(AND('Tariff Jul 2020'!P40&gt;0,'Tariff Jul 2020'!R40=""),IF(($H$5&lt;'Tariff Jul 2020'!P40),(0),($H$5-'Tariff Jul 2020'!P40)*'Tariff Jul 2020'!Q40/100),0)))</f>
        <v>0</v>
      </c>
      <c r="H52" s="208">
        <f>($I$5)*'Tariff Jul 2020'!AE40/100</f>
        <v>34.665073345454545</v>
      </c>
      <c r="I52" s="208">
        <v>0</v>
      </c>
      <c r="J52" s="208">
        <f t="shared" ref="J52:J54" si="35">SUM(C52:I52)</f>
        <v>387.63015960000007</v>
      </c>
      <c r="K52" s="283">
        <f t="shared" si="34"/>
        <v>1197.4406384000004</v>
      </c>
      <c r="L52" s="283">
        <f t="shared" si="28"/>
        <v>1550.5206384000003</v>
      </c>
      <c r="M52" s="191">
        <f t="shared" si="29"/>
        <v>1705.5727022400004</v>
      </c>
      <c r="N52" s="187">
        <f>'Tariff Jul 2020'!AZ40</f>
        <v>0</v>
      </c>
      <c r="O52" s="187">
        <f>'Tariff Jul 2020'!BA40</f>
        <v>8</v>
      </c>
      <c r="P52" s="187">
        <f>'Tariff Jul 2020'!BB40</f>
        <v>0</v>
      </c>
      <c r="Q52" s="187">
        <f>'Tariff Jul 2020'!BC40</f>
        <v>0</v>
      </c>
      <c r="R52" s="192">
        <f>($F$6*'Tariff Jul 2020'!AT40/100)*4</f>
        <v>127.38359999999999</v>
      </c>
      <c r="S52" s="193" t="str">
        <f t="shared" si="30"/>
        <v>Guaranteed off usage</v>
      </c>
      <c r="T52" s="193" t="str">
        <f t="shared" si="31"/>
        <v>Exclusive</v>
      </c>
      <c r="U52" s="304">
        <f t="shared" si="32"/>
        <v>1454.7253873280004</v>
      </c>
      <c r="V52" s="283">
        <f t="shared" si="33"/>
        <v>1454.7253873280004</v>
      </c>
      <c r="W52" s="283">
        <f t="shared" si="24"/>
        <v>1327.3417873280005</v>
      </c>
      <c r="X52" s="283">
        <f t="shared" si="25"/>
        <v>1327.3417873280005</v>
      </c>
      <c r="Y52" s="285">
        <f t="shared" si="26"/>
        <v>1460.0759660608007</v>
      </c>
      <c r="Z52" s="285">
        <f t="shared" si="26"/>
        <v>1460.0759660608007</v>
      </c>
      <c r="AA52" s="194">
        <f>'Tariff Jul 2020'!AT40</f>
        <v>15</v>
      </c>
      <c r="AB52" s="195">
        <f>'Tariff Jul 2020'!BL40</f>
        <v>0</v>
      </c>
      <c r="AC52" s="195" t="str">
        <f>'Tariff Jul 2020'!BM40</f>
        <v>n</v>
      </c>
      <c r="AD52" s="196">
        <f>'Tariff Jul 2020'!G40</f>
        <v>42551</v>
      </c>
    </row>
    <row r="53" spans="1:30" x14ac:dyDescent="0.15">
      <c r="A53" s="186" t="str">
        <f>'Tariff Jul 2020'!K41</f>
        <v>Amaysim</v>
      </c>
      <c r="B53" s="187" t="str">
        <f>'Tariff Jul 2020'!L41</f>
        <v>Post-paid Solar</v>
      </c>
      <c r="C53" s="208">
        <f>IF('Tariff Jul 2020'!BP41=0,91*'Tariff Jul 2020'!M41/100,(91*'Tariff Jul 2020'!M41/100)+'Tariff Jul 2020'!BP41/4)</f>
        <v>84.084000000000003</v>
      </c>
      <c r="D53" s="208">
        <f>IF('Tariff Jul 2020'!O41="",$H$5*'Tariff Jul 2020'!N41/100,IF($H$5&gt;='Tariff Jul 2020'!P41,('Tariff Jul 2020'!P41*'Tariff Jul 2020'!N41/100),($H$5*'Tariff Jul 2020'!N41/100)))</f>
        <v>268.07167360000005</v>
      </c>
      <c r="E53" s="208">
        <f>IF(AND('Tariff Jul 2020'!P41&gt;0,'Tariff Jul 2020'!R41&gt;0),IF($H$5&lt;'Tariff Jul 2020'!P41,0,IF($H$5&lt;=('Tariff Jul 2020'!R41+'Tariff Jul 2020'!P41),(($H$5-'Tariff Jul 2020'!P41)*'Tariff Jul 2020'!Q41/100),(('Tariff Jul 2020'!R41)*'Tariff Jul 2020'!Q41/100))),0)</f>
        <v>0</v>
      </c>
      <c r="F53" s="208">
        <f>IF(AND('Tariff Jul 2020'!Q41&gt;0,'Tariff Jul 2020'!S41&gt;0),IF($H$5&lt;('Tariff Jul 2020'!R41+'Tariff Jul 2020'!P41),0,IF($H$5&lt;=('Tariff Jul 2020'!T41+'Tariff Jul 2020'!R41+'Tariff Jul 2020'!P41),(($H$5-('Tariff Jul 2020'!R41+'Tariff Jul 2020'!P41))*'Tariff Jul 2020'!S41/100),('Tariff Jul 2020'!T41*'Tariff Jul 2020'!S41/100))),0)</f>
        <v>0</v>
      </c>
      <c r="G53" s="208">
        <f>IF('Tariff Jul 2020'!T41&gt;0,IF(($H$5&lt;'Tariff Jul 2020'!T41),(0),($H$5-'Tariff Jul 2020'!T41)*'Tariff Jul 2020'!U41/100),IF(AND('Tariff Jul 2020'!R41&gt;0,'Tariff Jul 2020'!T41=""),IF(($H$5&lt;'Tariff Jul 2020'!R41),(0),($H$5-'Tariff Jul 2020'!R41)*'Tariff Jul 2020'!S41/100),IF(AND('Tariff Jul 2020'!P41&gt;0,'Tariff Jul 2020'!R41=""),IF(($H$5&lt;'Tariff Jul 2020'!P41),(0),($H$5-'Tariff Jul 2020'!P41)*'Tariff Jul 2020'!Q41/100),0)))</f>
        <v>0</v>
      </c>
      <c r="H53" s="208">
        <f>($I$5)*'Tariff Jul 2020'!AE41/100</f>
        <v>34.55496723636363</v>
      </c>
      <c r="I53" s="208">
        <v>0</v>
      </c>
      <c r="J53" s="208">
        <f t="shared" si="35"/>
        <v>386.71064083636367</v>
      </c>
      <c r="K53" s="283">
        <f t="shared" si="34"/>
        <v>1210.5065633454547</v>
      </c>
      <c r="L53" s="283">
        <f t="shared" si="28"/>
        <v>1546.8425633454547</v>
      </c>
      <c r="M53" s="191">
        <f t="shared" si="29"/>
        <v>1701.5268196800002</v>
      </c>
      <c r="N53" s="187">
        <f>'Tariff Jul 2020'!AZ41</f>
        <v>0</v>
      </c>
      <c r="O53" s="187">
        <f>'Tariff Jul 2020'!BA41</f>
        <v>0</v>
      </c>
      <c r="P53" s="187">
        <f>'Tariff Jul 2020'!BB41</f>
        <v>0</v>
      </c>
      <c r="Q53" s="187">
        <f>'Tariff Jul 2020'!BC41</f>
        <v>0</v>
      </c>
      <c r="R53" s="192">
        <f>($F$6*'Tariff Jul 2020'!AT41/100)*4</f>
        <v>135.87583999999998</v>
      </c>
      <c r="S53" s="193" t="str">
        <f t="shared" si="30"/>
        <v>No discount</v>
      </c>
      <c r="T53" s="193" t="str">
        <f t="shared" si="31"/>
        <v>Exclusive</v>
      </c>
      <c r="U53" s="304">
        <f t="shared" si="32"/>
        <v>1546.8425633454547</v>
      </c>
      <c r="V53" s="283">
        <f t="shared" si="33"/>
        <v>1546.8425633454547</v>
      </c>
      <c r="W53" s="283">
        <f t="shared" si="24"/>
        <v>1410.9667233454547</v>
      </c>
      <c r="X53" s="283">
        <f t="shared" si="25"/>
        <v>1410.9667233454547</v>
      </c>
      <c r="Y53" s="285">
        <f t="shared" si="26"/>
        <v>1552.0633956800004</v>
      </c>
      <c r="Z53" s="285">
        <f t="shared" si="26"/>
        <v>1552.0633956800004</v>
      </c>
      <c r="AA53" s="194">
        <f>'Tariff Jul 2020'!AT41</f>
        <v>16</v>
      </c>
      <c r="AB53" s="195">
        <f>'Tariff Jul 2020'!BL41</f>
        <v>0</v>
      </c>
      <c r="AC53" s="195" t="str">
        <f>'Tariff Jul 2020'!BM41</f>
        <v>n</v>
      </c>
      <c r="AD53" s="196">
        <f>'Tariff Jul 2020'!G41</f>
        <v>42551</v>
      </c>
    </row>
    <row r="54" spans="1:30" x14ac:dyDescent="0.15">
      <c r="A54" s="186" t="str">
        <f>'Tariff Jul 2020'!K42</f>
        <v>Powershop</v>
      </c>
      <c r="B54" s="187" t="str">
        <f>'Tariff Jul 2020'!L42</f>
        <v>Shopper with Mega Pack</v>
      </c>
      <c r="C54" s="208">
        <f>IF('Tariff Jul 2020'!BP42=0,91*'Tariff Jul 2020'!M42/100,(91*'Tariff Jul 2020'!M42/100)+'Tariff Jul 2020'!BP42/4)</f>
        <v>94.300818181818158</v>
      </c>
      <c r="D54" s="208">
        <f>IF('Tariff Jul 2020'!O42="",$H$5*'Tariff Jul 2020'!N42/100,IF($H$5&gt;='Tariff Jul 2020'!P42,('Tariff Jul 2020'!P42*'Tariff Jul 2020'!N42/100),($H$5*'Tariff Jul 2020'!N42/100)))</f>
        <v>215.80797381818181</v>
      </c>
      <c r="E54" s="208">
        <f>IF(AND('Tariff Jul 2020'!P42&gt;0,'Tariff Jul 2020'!R42&gt;0),IF($H$5&lt;'Tariff Jul 2020'!P42,0,IF($H$5&lt;=('Tariff Jul 2020'!R42+'Tariff Jul 2020'!P42),(($H$5-'Tariff Jul 2020'!P42)*'Tariff Jul 2020'!Q42/100),(('Tariff Jul 2020'!R42)*'Tariff Jul 2020'!Q42/100))),0)</f>
        <v>0</v>
      </c>
      <c r="F54" s="208">
        <f>IF(AND('Tariff Jul 2020'!Q42&gt;0,'Tariff Jul 2020'!S42&gt;0),IF($H$5&lt;('Tariff Jul 2020'!R42+'Tariff Jul 2020'!P42),0,IF($H$5&lt;=('Tariff Jul 2020'!T42+'Tariff Jul 2020'!R42+'Tariff Jul 2020'!P42),(($H$5-('Tariff Jul 2020'!R42+'Tariff Jul 2020'!P42))*'Tariff Jul 2020'!S42/100),('Tariff Jul 2020'!T42*'Tariff Jul 2020'!S42/100))),0)</f>
        <v>0</v>
      </c>
      <c r="G54" s="208">
        <f>IF('Tariff Jul 2020'!T42&gt;0,IF(($H$5&lt;'Tariff Jul 2020'!T42),(0),($H$5-'Tariff Jul 2020'!T42)*'Tariff Jul 2020'!U42/100),IF(AND('Tariff Jul 2020'!R42&gt;0,'Tariff Jul 2020'!T42=""),IF(($H$5&lt;'Tariff Jul 2020'!R42),(0),($H$5-'Tariff Jul 2020'!R42)*'Tariff Jul 2020'!S42/100),IF(AND('Tariff Jul 2020'!P42&gt;0,'Tariff Jul 2020'!R42=""),IF(($H$5&lt;'Tariff Jul 2020'!P42),(0),($H$5-'Tariff Jul 2020'!P42)*'Tariff Jul 2020'!Q42/100),0)))</f>
        <v>0</v>
      </c>
      <c r="H54" s="208">
        <f>($I$5)*'Tariff Jul 2020'!AE42/100</f>
        <v>33.123587818181825</v>
      </c>
      <c r="I54" s="208">
        <v>0</v>
      </c>
      <c r="J54" s="208">
        <f t="shared" si="35"/>
        <v>343.23237981818181</v>
      </c>
      <c r="K54" s="283">
        <f t="shared" si="34"/>
        <v>995.72624654545461</v>
      </c>
      <c r="L54" s="283">
        <f t="shared" si="28"/>
        <v>1372.9295192727272</v>
      </c>
      <c r="M54" s="191">
        <f t="shared" si="29"/>
        <v>1510.2224712000002</v>
      </c>
      <c r="N54" s="187">
        <f>'Tariff Jul 2020'!AZ42</f>
        <v>0</v>
      </c>
      <c r="O54" s="187">
        <f>'Tariff Jul 2020'!BA42</f>
        <v>0</v>
      </c>
      <c r="P54" s="187">
        <f>'Tariff Jul 2020'!BB42</f>
        <v>6</v>
      </c>
      <c r="Q54" s="187">
        <f>'Tariff Jul 2020'!BC42</f>
        <v>0</v>
      </c>
      <c r="R54" s="192">
        <f>($F$6*'Tariff Jul 2020'!AT42/100)*4</f>
        <v>63.691799999999994</v>
      </c>
      <c r="S54" s="193" t="str">
        <f t="shared" si="30"/>
        <v>Pay-on-time off bill</v>
      </c>
      <c r="T54" s="193" t="str">
        <f t="shared" si="31"/>
        <v>Inclusive</v>
      </c>
      <c r="U54" s="304">
        <f t="shared" si="32"/>
        <v>1372.9295192727272</v>
      </c>
      <c r="V54" s="283">
        <f t="shared" si="33"/>
        <v>1290.5537481163637</v>
      </c>
      <c r="W54" s="283">
        <f t="shared" si="24"/>
        <v>1309.2377192727272</v>
      </c>
      <c r="X54" s="283">
        <f t="shared" si="25"/>
        <v>1226.8619481163637</v>
      </c>
      <c r="Y54" s="285">
        <f t="shared" si="26"/>
        <v>1440.1614912</v>
      </c>
      <c r="Z54" s="285">
        <f t="shared" si="26"/>
        <v>1349.5481429280001</v>
      </c>
      <c r="AA54" s="194">
        <f>'Tariff Jul 2020'!AT42</f>
        <v>7.5</v>
      </c>
      <c r="AB54" s="195">
        <f>'Tariff Jul 2020'!BL42</f>
        <v>0</v>
      </c>
      <c r="AC54" s="195" t="str">
        <f>'Tariff Jul 2020'!BM42</f>
        <v>n</v>
      </c>
      <c r="AD54" s="196">
        <f>'Tariff Jul 2020'!G42</f>
        <v>42551</v>
      </c>
    </row>
    <row r="55" spans="1:30" x14ac:dyDescent="0.15">
      <c r="A55" s="186" t="str">
        <f>'Tariff Jul 2020'!K43</f>
        <v>Amber Electric</v>
      </c>
      <c r="B55" s="187" t="str">
        <f>'Tariff Jul 2020'!L43</f>
        <v>Market offer</v>
      </c>
      <c r="C55" s="208">
        <f>IF('Tariff Jul 2020'!BP43=0,91*'Tariff Jul 2020'!M43/100,(91*'Tariff Jul 2020'!M43/100)+'Tariff Jul 2020'!BP43/4)</f>
        <v>98.064909090909097</v>
      </c>
      <c r="D55" s="208">
        <f>IF('Tariff Jul 2020'!O43="",$H$5*'Tariff Jul 2020'!N43/100,IF($H$5&gt;='Tariff Jul 2020'!P43,('Tariff Jul 2020'!P43*'Tariff Jul 2020'!N43/100),($H$5*'Tariff Jul 2020'!N43/100)))</f>
        <v>276.80675825454551</v>
      </c>
      <c r="E55" s="208">
        <f>IF(AND('Tariff Jul 2020'!P43&gt;0,'Tariff Jul 2020'!R43&gt;0),IF($H$5&lt;'Tariff Jul 2020'!P43,0,IF($H$5&lt;=('Tariff Jul 2020'!R43+'Tariff Jul 2020'!P43),(($H$5-'Tariff Jul 2020'!P43)*'Tariff Jul 2020'!Q43/100),(('Tariff Jul 2020'!R43)*'Tariff Jul 2020'!Q43/100))),0)</f>
        <v>0</v>
      </c>
      <c r="F55" s="208">
        <f>IF(AND('Tariff Jul 2020'!Q43&gt;0,'Tariff Jul 2020'!S43&gt;0),IF($H$5&lt;('Tariff Jul 2020'!R43+'Tariff Jul 2020'!P43),0,IF($H$5&lt;=('Tariff Jul 2020'!T43+'Tariff Jul 2020'!R43+'Tariff Jul 2020'!P43),(($H$5-('Tariff Jul 2020'!R43+'Tariff Jul 2020'!P43))*'Tariff Jul 2020'!S43/100),('Tariff Jul 2020'!T43*'Tariff Jul 2020'!S43/100))),0)</f>
        <v>0</v>
      </c>
      <c r="G55" s="208">
        <f>IF('Tariff Jul 2020'!T43&gt;0,IF(($H$5&lt;'Tariff Jul 2020'!T43),(0),($H$5-'Tariff Jul 2020'!T43)*'Tariff Jul 2020'!U43/100),IF(AND('Tariff Jul 2020'!R43&gt;0,'Tariff Jul 2020'!T43=""),IF(($H$5&lt;'Tariff Jul 2020'!R43),(0),($H$5-'Tariff Jul 2020'!R43)*'Tariff Jul 2020'!S43/100),IF(AND('Tariff Jul 2020'!P43&gt;0,'Tariff Jul 2020'!R43=""),IF(($H$5&lt;'Tariff Jul 2020'!P43),(0),($H$5-'Tariff Jul 2020'!P43)*'Tariff Jul 2020'!Q43/100),0)))</f>
        <v>0</v>
      </c>
      <c r="H55" s="208">
        <f>($I$5)*'Tariff Jul 2020'!AE43/100</f>
        <v>41.142982763636375</v>
      </c>
      <c r="I55" s="208">
        <v>1</v>
      </c>
      <c r="J55" s="208">
        <f t="shared" ref="J55:J62" si="36">SUM(C55:I55)</f>
        <v>417.01465010909101</v>
      </c>
      <c r="K55" s="283">
        <f t="shared" ref="K55:K62" si="37">(J55-C55)*4</f>
        <v>1275.7989640727276</v>
      </c>
      <c r="L55" s="283">
        <f t="shared" ref="L55:L62" si="38">J55*4</f>
        <v>1668.058600436364</v>
      </c>
      <c r="M55" s="191">
        <f t="shared" ref="M55:M62" si="39">L55*1.1</f>
        <v>1834.8644604800006</v>
      </c>
      <c r="N55" s="187">
        <f>'Tariff Jul 2020'!AZ43</f>
        <v>0</v>
      </c>
      <c r="O55" s="187">
        <f>'Tariff Jul 2020'!BA43</f>
        <v>0</v>
      </c>
      <c r="P55" s="187">
        <f>'Tariff Jul 2020'!BB43</f>
        <v>0</v>
      </c>
      <c r="Q55" s="187">
        <f>'Tariff Jul 2020'!BC43</f>
        <v>0</v>
      </c>
      <c r="R55" s="192">
        <f>($F$6*'Tariff Jul 2020'!AT43/100)*4</f>
        <v>67.937919999999991</v>
      </c>
      <c r="S55" s="193" t="str">
        <f t="shared" ref="S55:S62" si="40">IF(SUM(N55:Q55)=0,"No discount",IF(N55&gt;0,"Guaranteed off bill",IF(O55&gt;0,"Guaranteed off usage",IF(P55&gt;0,"Pay-on-time off bill","Pay-on-time off usage"))))</f>
        <v>No discount</v>
      </c>
      <c r="T55" s="193" t="str">
        <f t="shared" ref="T55:T62" si="41">IF(OR(A55="Origin Energy",A55="Red Energy",A55="Powershop"),"Inclusive","Exclusive")</f>
        <v>Exclusive</v>
      </c>
      <c r="U55" s="304">
        <f t="shared" ref="U55:U62" si="42">IF(AND(S55="Guaranteed off bill",T55="Inclusive"),((L55*1.1)-((L55*1.1)*N55/100))/1.1,IF(AND(S55="Guaranteed off usage",T55="Inclusive"),((L55*1.1)-((K55*1.1)*O55/100))/1.1,IF(AND(S55="Guaranteed off bill",T55="Exclusive"),L55-(L55*N55/100),IF(AND(S55="Guaranteed off usage",T55="Exclusive"),L55-(K55*O55/100),IF(T55="Inclusive",((L55*1.1))/1.1,L55)))))</f>
        <v>1668.058600436364</v>
      </c>
      <c r="V55" s="283">
        <f t="shared" ref="V55:V62" si="43">IF(AND(S55="Pay-on-time off bill",T55="Inclusive"),((U55*1.1)-((U55*1.1)*P55/100))/1.1,IF(AND(S55="Pay-on-time off usage",T55="Inclusive"),((U55*1.1)-((K55*1.1)*Q55/100))/1.1,IF(AND(S55="Pay-on-time off bill",T55="Exclusive"),U55-(U55*P55/100),IF(AND(S55="Pay-on-time off usage",T55="Exclusive"),U55-(K55*Q55/100),IF(T55="Inclusive",((U55*1.1))/1.1,U55)))))</f>
        <v>1668.058600436364</v>
      </c>
      <c r="W55" s="283">
        <f t="shared" ref="W55:W62" si="44">U55-R55</f>
        <v>1600.120680436364</v>
      </c>
      <c r="X55" s="283">
        <f t="shared" ref="X55:X62" si="45">V55-R55</f>
        <v>1600.120680436364</v>
      </c>
      <c r="Y55" s="285">
        <f t="shared" ref="Y55:Y62" si="46">W55*1.1</f>
        <v>1760.1327484800006</v>
      </c>
      <c r="Z55" s="285">
        <f t="shared" ref="Z55:Z62" si="47">X55*1.1</f>
        <v>1760.1327484800006</v>
      </c>
      <c r="AA55" s="194">
        <f>'Tariff Jul 2020'!AT43</f>
        <v>8</v>
      </c>
      <c r="AB55" s="195">
        <f>'Tariff Jul 2020'!BL43</f>
        <v>0</v>
      </c>
      <c r="AC55" s="195" t="str">
        <f>'Tariff Jul 2020'!BM43</f>
        <v>n</v>
      </c>
      <c r="AD55" s="196">
        <f>'Tariff Jul 2020'!G43</f>
        <v>42476</v>
      </c>
    </row>
    <row r="56" spans="1:30" x14ac:dyDescent="0.15">
      <c r="A56" s="186" t="str">
        <f>'Tariff Jul 2020'!K44</f>
        <v>DC Power Co</v>
      </c>
      <c r="B56" s="187" t="str">
        <f>'Tariff Jul 2020'!L44</f>
        <v>Market offer</v>
      </c>
      <c r="C56" s="208">
        <f>IF('Tariff Jul 2020'!BP44=0,91*'Tariff Jul 2020'!M44/100,(91*'Tariff Jul 2020'!M44/100)+'Tariff Jul 2020'!BP44/4)</f>
        <v>117.83154545454545</v>
      </c>
      <c r="D56" s="208">
        <f>IF('Tariff Jul 2020'!O44="",$H$5*'Tariff Jul 2020'!N44/100,IF($H$5&gt;='Tariff Jul 2020'!P44,('Tariff Jul 2020'!P44*'Tariff Jul 2020'!N44/100),($H$5*'Tariff Jul 2020'!N44/100)))</f>
        <v>244.06854181818181</v>
      </c>
      <c r="E56" s="208">
        <f>IF(AND('Tariff Jul 2020'!P44&gt;0,'Tariff Jul 2020'!R44&gt;0),IF($H$5&lt;'Tariff Jul 2020'!P44,0,IF($H$5&lt;=('Tariff Jul 2020'!R44+'Tariff Jul 2020'!P44),(($H$5-'Tariff Jul 2020'!P44)*'Tariff Jul 2020'!Q44/100),(('Tariff Jul 2020'!R44)*'Tariff Jul 2020'!Q44/100))),0)</f>
        <v>0</v>
      </c>
      <c r="F56" s="208">
        <f>IF(AND('Tariff Jul 2020'!Q44&gt;0,'Tariff Jul 2020'!S44&gt;0),IF($H$5&lt;('Tariff Jul 2020'!R44+'Tariff Jul 2020'!P44),0,IF($H$5&lt;=('Tariff Jul 2020'!T44+'Tariff Jul 2020'!R44+'Tariff Jul 2020'!P44),(($H$5-('Tariff Jul 2020'!R44+'Tariff Jul 2020'!P44))*'Tariff Jul 2020'!S44/100),('Tariff Jul 2020'!T44*'Tariff Jul 2020'!S44/100))),0)</f>
        <v>0</v>
      </c>
      <c r="G56" s="208">
        <f>IF('Tariff Jul 2020'!T44&gt;0,IF(($H$5&lt;'Tariff Jul 2020'!T44),(0),($H$5-'Tariff Jul 2020'!T44)*'Tariff Jul 2020'!U44/100),IF(AND('Tariff Jul 2020'!R44&gt;0,'Tariff Jul 2020'!T44=""),IF(($H$5&lt;'Tariff Jul 2020'!R44),(0),($H$5-'Tariff Jul 2020'!R44)*'Tariff Jul 2020'!S44/100),IF(AND('Tariff Jul 2020'!P44&gt;0,'Tariff Jul 2020'!R44=""),IF(($H$5&lt;'Tariff Jul 2020'!P44),(0),($H$5-'Tariff Jul 2020'!P44)*'Tariff Jul 2020'!Q44/100),0)))</f>
        <v>0</v>
      </c>
      <c r="H56" s="208">
        <f>($I$5)*'Tariff Jul 2020'!AE44/100</f>
        <v>46.666639236363643</v>
      </c>
      <c r="I56" s="208">
        <v>2</v>
      </c>
      <c r="J56" s="208">
        <f t="shared" si="36"/>
        <v>410.56672650909093</v>
      </c>
      <c r="K56" s="283">
        <f t="shared" si="37"/>
        <v>1170.9407242181819</v>
      </c>
      <c r="L56" s="283">
        <f t="shared" si="38"/>
        <v>1642.2669060363637</v>
      </c>
      <c r="M56" s="191">
        <f t="shared" si="39"/>
        <v>1806.4935966400003</v>
      </c>
      <c r="N56" s="187">
        <f>'Tariff Jul 2020'!AZ44</f>
        <v>0</v>
      </c>
      <c r="O56" s="187">
        <f>'Tariff Jul 2020'!BA44</f>
        <v>0</v>
      </c>
      <c r="P56" s="187">
        <f>'Tariff Jul 2020'!BB44</f>
        <v>0</v>
      </c>
      <c r="Q56" s="187">
        <f>'Tariff Jul 2020'!BC44</f>
        <v>0</v>
      </c>
      <c r="R56" s="192">
        <f>($F$6*'Tariff Jul 2020'!AT44/100)*4</f>
        <v>127.38359999999999</v>
      </c>
      <c r="S56" s="193" t="str">
        <f t="shared" si="40"/>
        <v>No discount</v>
      </c>
      <c r="T56" s="193" t="str">
        <f t="shared" si="41"/>
        <v>Exclusive</v>
      </c>
      <c r="U56" s="304">
        <f t="shared" si="42"/>
        <v>1642.2669060363637</v>
      </c>
      <c r="V56" s="283">
        <f t="shared" si="43"/>
        <v>1642.2669060363637</v>
      </c>
      <c r="W56" s="283">
        <f t="shared" si="44"/>
        <v>1514.8833060363638</v>
      </c>
      <c r="X56" s="283">
        <f t="shared" si="45"/>
        <v>1514.8833060363638</v>
      </c>
      <c r="Y56" s="285">
        <f t="shared" si="46"/>
        <v>1666.3716366400004</v>
      </c>
      <c r="Z56" s="285">
        <f t="shared" si="47"/>
        <v>1666.3716366400004</v>
      </c>
      <c r="AA56" s="194">
        <f>'Tariff Jul 2020'!AT44</f>
        <v>15</v>
      </c>
      <c r="AB56" s="195">
        <f>'Tariff Jul 2020'!BL44</f>
        <v>0</v>
      </c>
      <c r="AC56" s="195" t="str">
        <f>'Tariff Jul 2020'!BM44</f>
        <v>n</v>
      </c>
      <c r="AD56" s="196">
        <f>'Tariff Jul 2020'!G44</f>
        <v>42413</v>
      </c>
    </row>
    <row r="57" spans="1:30" x14ac:dyDescent="0.15">
      <c r="A57" s="186" t="str">
        <f>'Tariff Jul 2020'!K45</f>
        <v>Discover Energy</v>
      </c>
      <c r="B57" s="187" t="str">
        <f>'Tariff Jul 2020'!L45</f>
        <v>Solar Boost</v>
      </c>
      <c r="C57" s="208">
        <f>IF('Tariff Jul 2020'!BP45=0,91*'Tariff Jul 2020'!M45/100,(91*'Tariff Jul 2020'!M45/100)+'Tariff Jul 2020'!BP45/4)</f>
        <v>86.044636363636357</v>
      </c>
      <c r="D57" s="208">
        <f>IF('Tariff Jul 2020'!O45="",$H$5*'Tariff Jul 2020'!N45/100,IF($H$5&gt;='Tariff Jul 2020'!P45,('Tariff Jul 2020'!P45*'Tariff Jul 2020'!N45/100),($H$5*'Tariff Jul 2020'!N45/100)))</f>
        <v>266.45678399999997</v>
      </c>
      <c r="E57" s="208">
        <f>IF(AND('Tariff Jul 2020'!P45&gt;0,'Tariff Jul 2020'!R45&gt;0),IF($H$5&lt;'Tariff Jul 2020'!P45,0,IF($H$5&lt;=('Tariff Jul 2020'!R45+'Tariff Jul 2020'!P45),(($H$5-'Tariff Jul 2020'!P45)*'Tariff Jul 2020'!Q45/100),(('Tariff Jul 2020'!R45)*'Tariff Jul 2020'!Q45/100))),0)</f>
        <v>0</v>
      </c>
      <c r="F57" s="208">
        <f>IF(AND('Tariff Jul 2020'!Q45&gt;0,'Tariff Jul 2020'!S45&gt;0),IF($H$5&lt;('Tariff Jul 2020'!R45+'Tariff Jul 2020'!P45),0,IF($H$5&lt;=('Tariff Jul 2020'!T45+'Tariff Jul 2020'!R45+'Tariff Jul 2020'!P45),(($H$5-('Tariff Jul 2020'!R45+'Tariff Jul 2020'!P45))*'Tariff Jul 2020'!S45/100),('Tariff Jul 2020'!T45*'Tariff Jul 2020'!S45/100))),0)</f>
        <v>0</v>
      </c>
      <c r="G57" s="208">
        <f>IF('Tariff Jul 2020'!T45&gt;0,IF(($H$5&lt;'Tariff Jul 2020'!T45),(0),($H$5-'Tariff Jul 2020'!T45)*'Tariff Jul 2020'!U45/100),IF(AND('Tariff Jul 2020'!R45&gt;0,'Tariff Jul 2020'!T45=""),IF(($H$5&lt;'Tariff Jul 2020'!R45),(0),($H$5-'Tariff Jul 2020'!R45)*'Tariff Jul 2020'!S45/100),IF(AND('Tariff Jul 2020'!P45&gt;0,'Tariff Jul 2020'!R45=""),IF(($H$5&lt;'Tariff Jul 2020'!P45),(0),($H$5-'Tariff Jul 2020'!P45)*'Tariff Jul 2020'!Q45/100),0)))</f>
        <v>0</v>
      </c>
      <c r="H57" s="208">
        <f>($I$5)*'Tariff Jul 2020'!AE45/100</f>
        <v>34.646722327272727</v>
      </c>
      <c r="I57" s="208">
        <v>3</v>
      </c>
      <c r="J57" s="208">
        <f t="shared" si="36"/>
        <v>390.14814269090903</v>
      </c>
      <c r="K57" s="283">
        <f t="shared" si="37"/>
        <v>1216.4140253090907</v>
      </c>
      <c r="L57" s="283">
        <f t="shared" si="38"/>
        <v>1560.5925707636361</v>
      </c>
      <c r="M57" s="191">
        <f t="shared" si="39"/>
        <v>1716.6518278399999</v>
      </c>
      <c r="N57" s="187">
        <f>'Tariff Jul 2020'!AZ45</f>
        <v>0</v>
      </c>
      <c r="O57" s="187">
        <f>'Tariff Jul 2020'!BA45</f>
        <v>0</v>
      </c>
      <c r="P57" s="187">
        <f>'Tariff Jul 2020'!BB45</f>
        <v>0</v>
      </c>
      <c r="Q57" s="187">
        <f>'Tariff Jul 2020'!BC45</f>
        <v>0</v>
      </c>
      <c r="R57" s="192">
        <f>($F$6*'Tariff Jul 2020'!AT45/100)*4</f>
        <v>97.660759999999996</v>
      </c>
      <c r="S57" s="193" t="str">
        <f t="shared" si="40"/>
        <v>No discount</v>
      </c>
      <c r="T57" s="193" t="str">
        <f t="shared" si="41"/>
        <v>Exclusive</v>
      </c>
      <c r="U57" s="304">
        <f t="shared" si="42"/>
        <v>1560.5925707636361</v>
      </c>
      <c r="V57" s="283">
        <f t="shared" si="43"/>
        <v>1560.5925707636361</v>
      </c>
      <c r="W57" s="283">
        <f t="shared" si="44"/>
        <v>1462.9318107636361</v>
      </c>
      <c r="X57" s="283">
        <f t="shared" si="45"/>
        <v>1462.9318107636361</v>
      </c>
      <c r="Y57" s="285">
        <f t="shared" si="46"/>
        <v>1609.2249918399998</v>
      </c>
      <c r="Z57" s="285">
        <f t="shared" si="47"/>
        <v>1609.2249918399998</v>
      </c>
      <c r="AA57" s="194">
        <f>'Tariff Jul 2020'!AT45</f>
        <v>11.5</v>
      </c>
      <c r="AB57" s="195">
        <f>'Tariff Jul 2020'!BL45</f>
        <v>0</v>
      </c>
      <c r="AC57" s="195" t="str">
        <f>'Tariff Jul 2020'!BM45</f>
        <v>n</v>
      </c>
      <c r="AD57" s="196">
        <f>'Tariff Jul 2020'!G45</f>
        <v>42551</v>
      </c>
    </row>
    <row r="58" spans="1:30" x14ac:dyDescent="0.15">
      <c r="A58" s="186" t="str">
        <f>'Tariff Jul 2020'!K46</f>
        <v>Future X Power</v>
      </c>
      <c r="B58" s="187" t="str">
        <f>'Tariff Jul 2020'!L46</f>
        <v>Flexi Saver</v>
      </c>
      <c r="C58" s="208">
        <f>IF('Tariff Jul 2020'!BP46=0,91*'Tariff Jul 2020'!M46/100,(91*'Tariff Jul 2020'!M46/100)+'Tariff Jul 2020'!BP46/4)</f>
        <v>78.077999999999989</v>
      </c>
      <c r="D58" s="208">
        <f>IF('Tariff Jul 2020'!O46="",$H$5*'Tariff Jul 2020'!N46/100,IF($H$5&gt;='Tariff Jul 2020'!P46,('Tariff Jul 2020'!P46*'Tariff Jul 2020'!N46/100),($H$5*'Tariff Jul 2020'!N46/100)))</f>
        <v>228.13985803636362</v>
      </c>
      <c r="E58" s="208">
        <f>IF(AND('Tariff Jul 2020'!P46&gt;0,'Tariff Jul 2020'!R46&gt;0),IF($H$5&lt;'Tariff Jul 2020'!P46,0,IF($H$5&lt;=('Tariff Jul 2020'!R46+'Tariff Jul 2020'!P46),(($H$5-'Tariff Jul 2020'!P46)*'Tariff Jul 2020'!Q46/100),(('Tariff Jul 2020'!R46)*'Tariff Jul 2020'!Q46/100))),0)</f>
        <v>0</v>
      </c>
      <c r="F58" s="208">
        <f>IF(AND('Tariff Jul 2020'!Q46&gt;0,'Tariff Jul 2020'!S46&gt;0),IF($H$5&lt;('Tariff Jul 2020'!R46+'Tariff Jul 2020'!P46),0,IF($H$5&lt;=('Tariff Jul 2020'!T46+'Tariff Jul 2020'!R46+'Tariff Jul 2020'!P46),(($H$5-('Tariff Jul 2020'!R46+'Tariff Jul 2020'!P46))*'Tariff Jul 2020'!S46/100),('Tariff Jul 2020'!T46*'Tariff Jul 2020'!S46/100))),0)</f>
        <v>0</v>
      </c>
      <c r="G58" s="208">
        <f>IF('Tariff Jul 2020'!T46&gt;0,IF(($H$5&lt;'Tariff Jul 2020'!T46),(0),($H$5-'Tariff Jul 2020'!T46)*'Tariff Jul 2020'!U46/100),IF(AND('Tariff Jul 2020'!R46&gt;0,'Tariff Jul 2020'!T46=""),IF(($H$5&lt;'Tariff Jul 2020'!R46),(0),($H$5-'Tariff Jul 2020'!R46)*'Tariff Jul 2020'!S46/100),IF(AND('Tariff Jul 2020'!P46&gt;0,'Tariff Jul 2020'!R46=""),IF(($H$5&lt;'Tariff Jul 2020'!P46),(0),($H$5-'Tariff Jul 2020'!P46)*'Tariff Jul 2020'!Q46/100),0)))</f>
        <v>0</v>
      </c>
      <c r="H58" s="208">
        <f>($I$5)*'Tariff Jul 2020'!AE46/100</f>
        <v>31.527049236363638</v>
      </c>
      <c r="I58" s="208">
        <v>4</v>
      </c>
      <c r="J58" s="208">
        <f t="shared" si="36"/>
        <v>341.74490727272723</v>
      </c>
      <c r="K58" s="283">
        <f t="shared" si="37"/>
        <v>1054.667629090909</v>
      </c>
      <c r="L58" s="283">
        <f t="shared" si="38"/>
        <v>1366.9796290909089</v>
      </c>
      <c r="M58" s="191">
        <f t="shared" si="39"/>
        <v>1503.677592</v>
      </c>
      <c r="N58" s="187">
        <f>'Tariff Jul 2020'!AZ46</f>
        <v>0</v>
      </c>
      <c r="O58" s="187">
        <f>'Tariff Jul 2020'!BA46</f>
        <v>0</v>
      </c>
      <c r="P58" s="187">
        <f>'Tariff Jul 2020'!BB46</f>
        <v>0</v>
      </c>
      <c r="Q58" s="187">
        <f>'Tariff Jul 2020'!BC46</f>
        <v>0</v>
      </c>
      <c r="R58" s="192">
        <f>($F$6*'Tariff Jul 2020'!AT46/100)*4</f>
        <v>33.968959999999996</v>
      </c>
      <c r="S58" s="193" t="str">
        <f t="shared" si="40"/>
        <v>No discount</v>
      </c>
      <c r="T58" s="193" t="str">
        <f t="shared" si="41"/>
        <v>Exclusive</v>
      </c>
      <c r="U58" s="304">
        <f t="shared" si="42"/>
        <v>1366.9796290909089</v>
      </c>
      <c r="V58" s="283">
        <f t="shared" si="43"/>
        <v>1366.9796290909089</v>
      </c>
      <c r="W58" s="283">
        <f t="shared" si="44"/>
        <v>1333.010669090909</v>
      </c>
      <c r="X58" s="283">
        <f t="shared" si="45"/>
        <v>1333.010669090909</v>
      </c>
      <c r="Y58" s="285">
        <f t="shared" si="46"/>
        <v>1466.3117360000001</v>
      </c>
      <c r="Z58" s="285">
        <f t="shared" si="47"/>
        <v>1466.3117360000001</v>
      </c>
      <c r="AA58" s="194">
        <f>'Tariff Jul 2020'!AT46</f>
        <v>4</v>
      </c>
      <c r="AB58" s="195">
        <f>'Tariff Jul 2020'!BL46</f>
        <v>0</v>
      </c>
      <c r="AC58" s="195" t="str">
        <f>'Tariff Jul 2020'!BM46</f>
        <v>n</v>
      </c>
      <c r="AD58" s="196">
        <f>'Tariff Jul 2020'!G46</f>
        <v>42587</v>
      </c>
    </row>
    <row r="59" spans="1:30" x14ac:dyDescent="0.15">
      <c r="A59" s="186" t="str">
        <f>'Tariff Jul 2020'!K47</f>
        <v>GloBird Energy</v>
      </c>
      <c r="B59" s="187" t="str">
        <f>'Tariff Jul 2020'!L47</f>
        <v>GloSave</v>
      </c>
      <c r="C59" s="208">
        <f>IF('Tariff Jul 2020'!BP47=0,91*'Tariff Jul 2020'!M47/100,(91*'Tariff Jul 2020'!M47/100)+'Tariff Jul 2020'!BP47/4)</f>
        <v>90.999999999999986</v>
      </c>
      <c r="D59" s="208">
        <f>IF('Tariff Jul 2020'!O47="",$H$5*'Tariff Jul 2020'!N47/100,IF($H$5&gt;='Tariff Jul 2020'!P47,('Tariff Jul 2020'!P47*'Tariff Jul 2020'!N47/100),($H$5*'Tariff Jul 2020'!N47/100)))</f>
        <v>207.51331360000003</v>
      </c>
      <c r="E59" s="208">
        <f>IF(AND('Tariff Jul 2020'!P47&gt;0,'Tariff Jul 2020'!R47&gt;0),IF($H$5&lt;'Tariff Jul 2020'!P47,0,IF($H$5&lt;=('Tariff Jul 2020'!R47+'Tariff Jul 2020'!P47),(($H$5-'Tariff Jul 2020'!P47)*'Tariff Jul 2020'!Q47/100),(('Tariff Jul 2020'!R47)*'Tariff Jul 2020'!Q47/100))),0)</f>
        <v>0</v>
      </c>
      <c r="F59" s="208">
        <f>IF(AND('Tariff Jul 2020'!Q47&gt;0,'Tariff Jul 2020'!S47&gt;0),IF($H$5&lt;('Tariff Jul 2020'!R47+'Tariff Jul 2020'!P47),0,IF($H$5&lt;=('Tariff Jul 2020'!T47+'Tariff Jul 2020'!R47+'Tariff Jul 2020'!P47),(($H$5-('Tariff Jul 2020'!R47+'Tariff Jul 2020'!P47))*'Tariff Jul 2020'!S47/100),('Tariff Jul 2020'!T47*'Tariff Jul 2020'!S47/100))),0)</f>
        <v>0</v>
      </c>
      <c r="G59" s="208">
        <f>IF('Tariff Jul 2020'!T47&gt;0,IF(($H$5&lt;'Tariff Jul 2020'!T47),(0),($H$5-'Tariff Jul 2020'!T47)*'Tariff Jul 2020'!U47/100),IF(AND('Tariff Jul 2020'!R47&gt;0,'Tariff Jul 2020'!T47=""),IF(($H$5&lt;'Tariff Jul 2020'!R47),(0),($H$5-'Tariff Jul 2020'!R47)*'Tariff Jul 2020'!S47/100),IF(AND('Tariff Jul 2020'!P47&gt;0,'Tariff Jul 2020'!R47=""),IF(($H$5&lt;'Tariff Jul 2020'!P47),(0),($H$5-'Tariff Jul 2020'!P47)*'Tariff Jul 2020'!Q47/100),0)))</f>
        <v>0</v>
      </c>
      <c r="H59" s="208">
        <f>($I$5)*'Tariff Jul 2020'!AE47/100</f>
        <v>38.353628</v>
      </c>
      <c r="I59" s="208">
        <v>5</v>
      </c>
      <c r="J59" s="208">
        <f t="shared" si="36"/>
        <v>341.86694160000002</v>
      </c>
      <c r="K59" s="283">
        <f t="shared" si="37"/>
        <v>1003.4677664000001</v>
      </c>
      <c r="L59" s="283">
        <f t="shared" si="38"/>
        <v>1367.4677664000001</v>
      </c>
      <c r="M59" s="191">
        <f t="shared" si="39"/>
        <v>1504.2145430400003</v>
      </c>
      <c r="N59" s="187">
        <f>'Tariff Jul 2020'!AZ47</f>
        <v>0</v>
      </c>
      <c r="O59" s="187">
        <f>'Tariff Jul 2020'!BA47</f>
        <v>0</v>
      </c>
      <c r="P59" s="187">
        <f>'Tariff Jul 2020'!BB47</f>
        <v>7</v>
      </c>
      <c r="Q59" s="187">
        <f>'Tariff Jul 2020'!BC47</f>
        <v>0</v>
      </c>
      <c r="R59" s="192">
        <f>($F$6*'Tariff Jul 2020'!AT47/100)*4</f>
        <v>25.476719999999997</v>
      </c>
      <c r="S59" s="193" t="str">
        <f t="shared" si="40"/>
        <v>Pay-on-time off bill</v>
      </c>
      <c r="T59" s="193" t="str">
        <f t="shared" si="41"/>
        <v>Exclusive</v>
      </c>
      <c r="U59" s="304">
        <f t="shared" si="42"/>
        <v>1367.4677664000001</v>
      </c>
      <c r="V59" s="283">
        <f t="shared" si="43"/>
        <v>1271.7450227520001</v>
      </c>
      <c r="W59" s="283">
        <f t="shared" si="44"/>
        <v>1341.9910464000002</v>
      </c>
      <c r="X59" s="283">
        <f t="shared" si="45"/>
        <v>1246.2683027520002</v>
      </c>
      <c r="Y59" s="285">
        <f t="shared" si="46"/>
        <v>1476.1901510400003</v>
      </c>
      <c r="Z59" s="285">
        <f t="shared" si="47"/>
        <v>1370.8951330272002</v>
      </c>
      <c r="AA59" s="194">
        <f>'Tariff Jul 2020'!AT47</f>
        <v>3</v>
      </c>
      <c r="AB59" s="195">
        <f>'Tariff Jul 2020'!BL47</f>
        <v>0</v>
      </c>
      <c r="AC59" s="195" t="str">
        <f>'Tariff Jul 2020'!BM47</f>
        <v>n</v>
      </c>
      <c r="AD59" s="196">
        <f>'Tariff Jul 2020'!G47</f>
        <v>42571</v>
      </c>
    </row>
    <row r="60" spans="1:30" x14ac:dyDescent="0.15">
      <c r="A60" s="186" t="str">
        <f>'Tariff Jul 2020'!K48</f>
        <v>Kogan Energy</v>
      </c>
      <c r="B60" s="187" t="str">
        <f>'Tariff Jul 2020'!L48</f>
        <v>Market offer</v>
      </c>
      <c r="C60" s="208">
        <f>IF('Tariff Jul 2020'!BP48=0,91*'Tariff Jul 2020'!M48/100,(91*'Tariff Jul 2020'!M48/100)+'Tariff Jul 2020'!BP48/4)</f>
        <v>96.939818181818197</v>
      </c>
      <c r="D60" s="208">
        <f>IF('Tariff Jul 2020'!O48="",$H$5*'Tariff Jul 2020'!N48/100,IF($H$5&gt;='Tariff Jul 2020'!P48,('Tariff Jul 2020'!P48*'Tariff Jul 2020'!N48/100),($H$5*'Tariff Jul 2020'!N48/100)))</f>
        <v>192.09845832727274</v>
      </c>
      <c r="E60" s="208">
        <f>IF(AND('Tariff Jul 2020'!P48&gt;0,'Tariff Jul 2020'!R48&gt;0),IF($H$5&lt;'Tariff Jul 2020'!P48,0,IF($H$5&lt;=('Tariff Jul 2020'!R48+'Tariff Jul 2020'!P48),(($H$5-'Tariff Jul 2020'!P48)*'Tariff Jul 2020'!Q48/100),(('Tariff Jul 2020'!R48)*'Tariff Jul 2020'!Q48/100))),0)</f>
        <v>0</v>
      </c>
      <c r="F60" s="208">
        <f>IF(AND('Tariff Jul 2020'!Q48&gt;0,'Tariff Jul 2020'!S48&gt;0),IF($H$5&lt;('Tariff Jul 2020'!R48+'Tariff Jul 2020'!P48),0,IF($H$5&lt;=('Tariff Jul 2020'!T48+'Tariff Jul 2020'!R48+'Tariff Jul 2020'!P48),(($H$5-('Tariff Jul 2020'!R48+'Tariff Jul 2020'!P48))*'Tariff Jul 2020'!S48/100),('Tariff Jul 2020'!T48*'Tariff Jul 2020'!S48/100))),0)</f>
        <v>0</v>
      </c>
      <c r="G60" s="208">
        <f>IF('Tariff Jul 2020'!T48&gt;0,IF(($H$5&lt;'Tariff Jul 2020'!T48),(0),($H$5-'Tariff Jul 2020'!T48)*'Tariff Jul 2020'!U48/100),IF(AND('Tariff Jul 2020'!R48&gt;0,'Tariff Jul 2020'!T48=""),IF(($H$5&lt;'Tariff Jul 2020'!R48),(0),($H$5-'Tariff Jul 2020'!R48)*'Tariff Jul 2020'!S48/100),IF(AND('Tariff Jul 2020'!P48&gt;0,'Tariff Jul 2020'!R48=""),IF(($H$5&lt;'Tariff Jul 2020'!P48),(0),($H$5-'Tariff Jul 2020'!P48)*'Tariff Jul 2020'!Q48/100),0)))</f>
        <v>0</v>
      </c>
      <c r="H60" s="208">
        <f>($I$5)*'Tariff Jul 2020'!AE48/100</f>
        <v>35.784485454545454</v>
      </c>
      <c r="I60" s="208">
        <v>6</v>
      </c>
      <c r="J60" s="208">
        <f t="shared" si="36"/>
        <v>330.82276196363637</v>
      </c>
      <c r="K60" s="283">
        <f t="shared" si="37"/>
        <v>935.53177512727268</v>
      </c>
      <c r="L60" s="283">
        <f t="shared" si="38"/>
        <v>1323.2910478545455</v>
      </c>
      <c r="M60" s="191">
        <f t="shared" si="39"/>
        <v>1455.6201526400002</v>
      </c>
      <c r="N60" s="187">
        <f>'Tariff Jul 2020'!AZ48</f>
        <v>0</v>
      </c>
      <c r="O60" s="187">
        <f>'Tariff Jul 2020'!BA48</f>
        <v>0</v>
      </c>
      <c r="P60" s="187">
        <f>'Tariff Jul 2020'!BB48</f>
        <v>0</v>
      </c>
      <c r="Q60" s="187">
        <f>'Tariff Jul 2020'!BC48</f>
        <v>0</v>
      </c>
      <c r="R60" s="192">
        <f>($F$6*'Tariff Jul 2020'!AT48/100)*4</f>
        <v>34.903106399999999</v>
      </c>
      <c r="S60" s="193" t="str">
        <f t="shared" si="40"/>
        <v>No discount</v>
      </c>
      <c r="T60" s="193" t="str">
        <f t="shared" si="41"/>
        <v>Exclusive</v>
      </c>
      <c r="U60" s="304">
        <f t="shared" si="42"/>
        <v>1323.2910478545455</v>
      </c>
      <c r="V60" s="283">
        <f t="shared" si="43"/>
        <v>1323.2910478545455</v>
      </c>
      <c r="W60" s="283">
        <f t="shared" si="44"/>
        <v>1288.3879414545454</v>
      </c>
      <c r="X60" s="283">
        <f t="shared" si="45"/>
        <v>1288.3879414545454</v>
      </c>
      <c r="Y60" s="285">
        <f t="shared" si="46"/>
        <v>1417.2267356</v>
      </c>
      <c r="Z60" s="285">
        <f t="shared" si="47"/>
        <v>1417.2267356</v>
      </c>
      <c r="AA60" s="194">
        <f>'Tariff Jul 2020'!AT48</f>
        <v>4.1100000000000003</v>
      </c>
      <c r="AB60" s="195">
        <f>'Tariff Jul 2020'!BL48</f>
        <v>0</v>
      </c>
      <c r="AC60" s="195" t="str">
        <f>'Tariff Jul 2020'!BM48</f>
        <v>n</v>
      </c>
      <c r="AD60" s="196">
        <f>'Tariff Jul 2020'!G48</f>
        <v>42551</v>
      </c>
    </row>
    <row r="61" spans="1:30" x14ac:dyDescent="0.15">
      <c r="A61" s="186" t="str">
        <f>'Tariff Jul 2020'!K49</f>
        <v>OVO Energy</v>
      </c>
      <c r="B61" s="187" t="str">
        <f>'Tariff Jul 2020'!L49</f>
        <v>The One Plan</v>
      </c>
      <c r="C61" s="208">
        <f>IF('Tariff Jul 2020'!BP49=0,91*'Tariff Jul 2020'!M49/100,(91*'Tariff Jul 2020'!M49/100)+'Tariff Jul 2020'!BP49/4)</f>
        <v>90.999999999999986</v>
      </c>
      <c r="D61" s="208">
        <f>IF('Tariff Jul 2020'!O49="",$H$5*'Tariff Jul 2020'!N49/100,IF($H$5&gt;='Tariff Jul 2020'!P49,('Tariff Jul 2020'!P49*'Tariff Jul 2020'!N49/100),($H$5*'Tariff Jul 2020'!N49/100)))</f>
        <v>222.04732000000001</v>
      </c>
      <c r="E61" s="208">
        <f>IF(AND('Tariff Jul 2020'!P49&gt;0,'Tariff Jul 2020'!R49&gt;0),IF($H$5&lt;'Tariff Jul 2020'!P49,0,IF($H$5&lt;=('Tariff Jul 2020'!R49+'Tariff Jul 2020'!P49),(($H$5-'Tariff Jul 2020'!P49)*'Tariff Jul 2020'!Q49/100),(('Tariff Jul 2020'!R49)*'Tariff Jul 2020'!Q49/100))),0)</f>
        <v>0</v>
      </c>
      <c r="F61" s="208">
        <f>IF(AND('Tariff Jul 2020'!Q49&gt;0,'Tariff Jul 2020'!S49&gt;0),IF($H$5&lt;('Tariff Jul 2020'!R49+'Tariff Jul 2020'!P49),0,IF($H$5&lt;=('Tariff Jul 2020'!T49+'Tariff Jul 2020'!R49+'Tariff Jul 2020'!P49),(($H$5-('Tariff Jul 2020'!R49+'Tariff Jul 2020'!P49))*'Tariff Jul 2020'!S49/100),('Tariff Jul 2020'!T49*'Tariff Jul 2020'!S49/100))),0)</f>
        <v>0</v>
      </c>
      <c r="G61" s="208">
        <f>IF('Tariff Jul 2020'!T49&gt;0,IF(($H$5&lt;'Tariff Jul 2020'!T49),(0),($H$5-'Tariff Jul 2020'!T49)*'Tariff Jul 2020'!U49/100),IF(AND('Tariff Jul 2020'!R49&gt;0,'Tariff Jul 2020'!T49=""),IF(($H$5&lt;'Tariff Jul 2020'!R49),(0),($H$5-'Tariff Jul 2020'!R49)*'Tariff Jul 2020'!S49/100),IF(AND('Tariff Jul 2020'!P49&gt;0,'Tariff Jul 2020'!R49=""),IF(($H$5&lt;'Tariff Jul 2020'!P49),(0),($H$5-'Tariff Jul 2020'!P49)*'Tariff Jul 2020'!Q49/100),0)))</f>
        <v>0</v>
      </c>
      <c r="H61" s="208">
        <f>($I$5)*'Tariff Jul 2020'!AE49/100</f>
        <v>38.096713745454551</v>
      </c>
      <c r="I61" s="208">
        <v>7</v>
      </c>
      <c r="J61" s="208">
        <f t="shared" si="36"/>
        <v>358.14403374545458</v>
      </c>
      <c r="K61" s="283">
        <f t="shared" si="37"/>
        <v>1068.5761349818183</v>
      </c>
      <c r="L61" s="283">
        <f t="shared" si="38"/>
        <v>1432.5761349818183</v>
      </c>
      <c r="M61" s="191">
        <f t="shared" si="39"/>
        <v>1575.8337484800002</v>
      </c>
      <c r="N61" s="187">
        <f>'Tariff Jul 2020'!AZ49</f>
        <v>0</v>
      </c>
      <c r="O61" s="187">
        <f>'Tariff Jul 2020'!BA49</f>
        <v>0</v>
      </c>
      <c r="P61" s="187">
        <f>'Tariff Jul 2020'!BB49</f>
        <v>0</v>
      </c>
      <c r="Q61" s="187">
        <f>'Tariff Jul 2020'!BC49</f>
        <v>0</v>
      </c>
      <c r="R61" s="192">
        <f>($F$6*'Tariff Jul 2020'!AT49/100)*4</f>
        <v>67.937919999999991</v>
      </c>
      <c r="S61" s="193" t="str">
        <f t="shared" si="40"/>
        <v>No discount</v>
      </c>
      <c r="T61" s="193" t="str">
        <f t="shared" si="41"/>
        <v>Exclusive</v>
      </c>
      <c r="U61" s="304">
        <f t="shared" si="42"/>
        <v>1432.5761349818183</v>
      </c>
      <c r="V61" s="283">
        <f t="shared" si="43"/>
        <v>1432.5761349818183</v>
      </c>
      <c r="W61" s="283">
        <f t="shared" si="44"/>
        <v>1364.6382149818182</v>
      </c>
      <c r="X61" s="283">
        <f t="shared" si="45"/>
        <v>1364.6382149818182</v>
      </c>
      <c r="Y61" s="285">
        <f t="shared" si="46"/>
        <v>1501.1020364800002</v>
      </c>
      <c r="Z61" s="285">
        <f t="shared" si="47"/>
        <v>1501.1020364800002</v>
      </c>
      <c r="AA61" s="194">
        <f>'Tariff Jul 2020'!AT49</f>
        <v>8</v>
      </c>
      <c r="AB61" s="195">
        <f>'Tariff Jul 2020'!BL49</f>
        <v>0</v>
      </c>
      <c r="AC61" s="195" t="str">
        <f>'Tariff Jul 2020'!BM49</f>
        <v>n</v>
      </c>
      <c r="AD61" s="196">
        <f>'Tariff Jul 2020'!G49</f>
        <v>42551</v>
      </c>
    </row>
    <row r="62" spans="1:30" ht="15" thickBot="1" x14ac:dyDescent="0.2">
      <c r="A62" s="197" t="str">
        <f>'Tariff Jul 2020'!K50</f>
        <v>ReAmped Energy</v>
      </c>
      <c r="B62" s="198" t="str">
        <f>'Tariff Jul 2020'!L50</f>
        <v>Classic</v>
      </c>
      <c r="C62" s="209">
        <f>IF('Tariff Jul 2020'!BP50=0,91*'Tariff Jul 2020'!M50/100,(91*'Tariff Jul 2020'!M50/100)+'Tariff Jul 2020'!BP50/4)</f>
        <v>59.5595</v>
      </c>
      <c r="D62" s="209">
        <f>IF('Tariff Jul 2020'!O50="",$H$5*'Tariff Jul 2020'!N50/100,IF($H$5&gt;='Tariff Jul 2020'!P50,('Tariff Jul 2020'!P50*'Tariff Jul 2020'!N50/100),($H$5*'Tariff Jul 2020'!N50/100)))</f>
        <v>237.71174912000004</v>
      </c>
      <c r="E62" s="209">
        <f>IF(AND('Tariff Jul 2020'!P50&gt;0,'Tariff Jul 2020'!R50&gt;0),IF($H$5&lt;'Tariff Jul 2020'!P50,0,IF($H$5&lt;=('Tariff Jul 2020'!R50+'Tariff Jul 2020'!P50),(($H$5-'Tariff Jul 2020'!P50)*'Tariff Jul 2020'!Q50/100),(('Tariff Jul 2020'!R50)*'Tariff Jul 2020'!Q50/100))),0)</f>
        <v>0</v>
      </c>
      <c r="F62" s="209">
        <f>IF(AND('Tariff Jul 2020'!Q50&gt;0,'Tariff Jul 2020'!S50&gt;0),IF($H$5&lt;('Tariff Jul 2020'!R50+'Tariff Jul 2020'!P50),0,IF($H$5&lt;=('Tariff Jul 2020'!T50+'Tariff Jul 2020'!R50+'Tariff Jul 2020'!P50),(($H$5-('Tariff Jul 2020'!R50+'Tariff Jul 2020'!P50))*'Tariff Jul 2020'!S50/100),('Tariff Jul 2020'!T50*'Tariff Jul 2020'!S50/100))),0)</f>
        <v>0</v>
      </c>
      <c r="G62" s="209">
        <f>IF('Tariff Jul 2020'!T50&gt;0,IF(($H$5&lt;'Tariff Jul 2020'!T50),(0),($H$5-'Tariff Jul 2020'!T50)*'Tariff Jul 2020'!U50/100),IF(AND('Tariff Jul 2020'!R50&gt;0,'Tariff Jul 2020'!T50=""),IF(($H$5&lt;'Tariff Jul 2020'!R50),(0),($H$5-'Tariff Jul 2020'!R50)*'Tariff Jul 2020'!S50/100),IF(AND('Tariff Jul 2020'!P50&gt;0,'Tariff Jul 2020'!R50=""),IF(($H$5&lt;'Tariff Jul 2020'!P50),(0),($H$5-'Tariff Jul 2020'!P50)*'Tariff Jul 2020'!Q50/100),0)))</f>
        <v>0</v>
      </c>
      <c r="H62" s="209">
        <f>($I$5)*'Tariff Jul 2020'!AE50/100</f>
        <v>30.359924480000004</v>
      </c>
      <c r="I62" s="209">
        <v>8</v>
      </c>
      <c r="J62" s="209">
        <f t="shared" si="36"/>
        <v>335.63117360000007</v>
      </c>
      <c r="K62" s="284">
        <f t="shared" si="37"/>
        <v>1104.2866944000002</v>
      </c>
      <c r="L62" s="284">
        <f t="shared" si="38"/>
        <v>1342.5246944000003</v>
      </c>
      <c r="M62" s="202">
        <f t="shared" si="39"/>
        <v>1476.7771638400004</v>
      </c>
      <c r="N62" s="198">
        <f>'Tariff Jul 2020'!AZ50</f>
        <v>0</v>
      </c>
      <c r="O62" s="198">
        <f>'Tariff Jul 2020'!BA50</f>
        <v>0</v>
      </c>
      <c r="P62" s="198">
        <f>'Tariff Jul 2020'!BB50</f>
        <v>0</v>
      </c>
      <c r="Q62" s="198">
        <f>'Tariff Jul 2020'!BC50</f>
        <v>0</v>
      </c>
      <c r="R62" s="203">
        <f>($F$6*'Tariff Jul 2020'!AT50/100)*4</f>
        <v>59.445679999999996</v>
      </c>
      <c r="S62" s="204" t="str">
        <f t="shared" si="40"/>
        <v>No discount</v>
      </c>
      <c r="T62" s="204" t="str">
        <f t="shared" si="41"/>
        <v>Exclusive</v>
      </c>
      <c r="U62" s="305">
        <f t="shared" si="42"/>
        <v>1342.5246944000003</v>
      </c>
      <c r="V62" s="284">
        <f t="shared" si="43"/>
        <v>1342.5246944000003</v>
      </c>
      <c r="W62" s="284">
        <f t="shared" si="44"/>
        <v>1283.0790144000002</v>
      </c>
      <c r="X62" s="284">
        <f t="shared" si="45"/>
        <v>1283.0790144000002</v>
      </c>
      <c r="Y62" s="286">
        <f t="shared" si="46"/>
        <v>1411.3869158400005</v>
      </c>
      <c r="Z62" s="286">
        <f t="shared" si="47"/>
        <v>1411.3869158400005</v>
      </c>
      <c r="AA62" s="205">
        <f>'Tariff Jul 2020'!AT50</f>
        <v>7</v>
      </c>
      <c r="AB62" s="206">
        <f>'Tariff Jul 2020'!BL50</f>
        <v>0</v>
      </c>
      <c r="AC62" s="206" t="str">
        <f>'Tariff Jul 2020'!BM50</f>
        <v>n</v>
      </c>
      <c r="AD62" s="207">
        <f>'Tariff Jul 2020'!G50</f>
        <v>42587</v>
      </c>
    </row>
  </sheetData>
  <sheetProtection algorithmName="SHA-512" hashValue="HkP0y+Q3I7b93ecwc+HrTWnvFx/Idu1F89UsA1ihbIddAMCle7mCKCiiCDT1yCYjwQpDkWBtaVgpnWGpf005IA==" saltValue="c+B5POqf7CKL1LAQR3iF9w==" spinCount="100000" sheet="1" objects="1" scenarios="1"/>
  <dataValidations count="2">
    <dataValidation type="decimal" showInputMessage="1" showErrorMessage="1" errorTitle="Incorrect entry" error="Enter 1.5 or 3.0 only" sqref="C4" xr:uid="{D0F41FF9-02E8-784B-9C88-D35948DEE06C}">
      <formula1>1.5</formula1>
      <formula2>3</formula2>
    </dataValidation>
    <dataValidation type="whole" showInputMessage="1" showErrorMessage="1" errorTitle="Incorrect number" error="Please enter quarterly consumption between 700-4000kWh" sqref="C5" xr:uid="{52878BCD-67E1-8545-82EC-B0F63CB08C4F}">
      <formula1>700</formula1>
      <formula2>4000</formula2>
    </dataValidation>
  </dataValidations>
  <pageMargins left="0.75" right="0.75" top="1" bottom="1" header="0.5" footer="0.5"/>
  <pageSetup paperSize="10" orientation="portrait" horizontalDpi="4294967292" verticalDpi="4294967292"/>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F9899285DAFD4ABF6B899D562AD66C" ma:contentTypeVersion="17" ma:contentTypeDescription="Create a new document." ma:contentTypeScope="" ma:versionID="2251dce4c867e78d82bc97011e6d0463">
  <xsd:schema xmlns:xsd="http://www.w3.org/2001/XMLSchema" xmlns:xs="http://www.w3.org/2001/XMLSchema" xmlns:p="http://schemas.microsoft.com/office/2006/metadata/properties" xmlns:ns2="83334834-c131-4d61-bee2-353962f65d11" xmlns:ns3="73800343-357b-4820-8319-133562b4fa54" xmlns:ns4="73d85984-15f2-4ae1-928a-e67d5ef2c9c8" targetNamespace="http://schemas.microsoft.com/office/2006/metadata/properties" ma:root="true" ma:fieldsID="f1ce11c3d15de5cda018eb57dd48e231" ns2:_="" ns3:_="" ns4:_="">
    <xsd:import namespace="83334834-c131-4d61-bee2-353962f65d11"/>
    <xsd:import namespace="73800343-357b-4820-8319-133562b4fa54"/>
    <xsd:import namespace="73d85984-15f2-4ae1-928a-e67d5ef2c9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34834-c131-4d61-bee2-353962f65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51486fa-06af-4849-81d2-167f8f4bc90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800343-357b-4820-8319-133562b4fa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d85984-15f2-4ae1-928a-e67d5ef2c9c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e3ab515-3da6-47f0-b5b5-3f25682334a0}" ma:internalName="TaxCatchAll" ma:showField="CatchAllData" ma:web="73800343-357b-4820-8319-133562b4fa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FD084B-8A20-46CE-B1C5-A112B4B1211B}"/>
</file>

<file path=customXml/itemProps2.xml><?xml version="1.0" encoding="utf-8"?>
<ds:datastoreItem xmlns:ds="http://schemas.openxmlformats.org/officeDocument/2006/customXml" ds:itemID="{77B6C9B6-9234-405F-8837-81A813D9D661}"/>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25</vt:i4>
      </vt:variant>
    </vt:vector>
  </HeadingPairs>
  <TitlesOfParts>
    <vt:vector size="25" baseType="lpstr">
      <vt:lpstr>Summary</vt:lpstr>
      <vt:lpstr>Adelaide Bills Jul'23</vt:lpstr>
      <vt:lpstr>Non-Metro Bills Jul'23</vt:lpstr>
      <vt:lpstr>Adelaide Bills Jul'22</vt:lpstr>
      <vt:lpstr>Non-Metro Bills Jul'22</vt:lpstr>
      <vt:lpstr>Adelaide Bills Jul'21</vt:lpstr>
      <vt:lpstr>Non-Metro Bills Jul'21</vt:lpstr>
      <vt:lpstr>Adelaide Bills Jul'20</vt:lpstr>
      <vt:lpstr>Non-Metro Bills Jul'20</vt:lpstr>
      <vt:lpstr>Adelaide Bills Jul'19</vt:lpstr>
      <vt:lpstr>Non-Metro Bills Jul'19</vt:lpstr>
      <vt:lpstr>Adelaide Bills Jul'18</vt:lpstr>
      <vt:lpstr>Non-Metro Bills Jul'18</vt:lpstr>
      <vt:lpstr>Adelaide Bills Jul'17</vt:lpstr>
      <vt:lpstr>Non-Metro Bills Jul'17</vt:lpstr>
      <vt:lpstr>Adelaide Bills Jul'16</vt:lpstr>
      <vt:lpstr>Non-Metro Bills Jul'16</vt:lpstr>
      <vt:lpstr>Tariff Jul 2023</vt:lpstr>
      <vt:lpstr>Tariff Jul 2022</vt:lpstr>
      <vt:lpstr>Tariff Jul 2021</vt:lpstr>
      <vt:lpstr>Tariff Jul 2020</vt:lpstr>
      <vt:lpstr>Tariff Jul 2019</vt:lpstr>
      <vt:lpstr>Tariff Jul 2018</vt:lpstr>
      <vt:lpstr>Tariff Jul 2017</vt:lpstr>
      <vt:lpstr>Tariff Jul 2016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Johnston</dc:creator>
  <cp:lastModifiedBy>May Mauseth</cp:lastModifiedBy>
  <dcterms:created xsi:type="dcterms:W3CDTF">2012-06-21T04:33:53Z</dcterms:created>
  <dcterms:modified xsi:type="dcterms:W3CDTF">2023-09-04T03:47:50Z</dcterms:modified>
</cp:coreProperties>
</file>