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ACT/ACT Workbooks/Locked Workbooks/"/>
    </mc:Choice>
  </mc:AlternateContent>
  <xr:revisionPtr revIDLastSave="0" documentId="13_ncr:1_{B8CD1F39-FC7F-984D-8D5D-B82F35187328}" xr6:coauthVersionLast="47" xr6:coauthVersionMax="47" xr10:uidLastSave="{00000000-0000-0000-0000-000000000000}"/>
  <workbookProtection workbookAlgorithmName="SHA-512" workbookHashValue="C+8lM1kq5cd81UIfcVH8oBxxp5kyGXypfCCkwq2ucssv/goKtBdLkKGmBzx/+NUODPcZChIC9fkWNAUX/ZScoQ==" workbookSaltValue="RYS8u6a/kjB9zwO+7gKlfg==" workbookSpinCount="100000" lockStructure="1"/>
  <bookViews>
    <workbookView xWindow="3700" yWindow="3920" windowWidth="38400" windowHeight="19580" tabRatio="500" activeTab="1" xr2:uid="{00000000-000D-0000-FFFF-FFFF00000000}"/>
  </bookViews>
  <sheets>
    <sheet name="Summary" sheetId="1" r:id="rId1"/>
    <sheet name="Bills 2023" sheetId="23" r:id="rId2"/>
    <sheet name="Bills 2022" sheetId="21" r:id="rId3"/>
    <sheet name="Bills 2021" sheetId="19" r:id="rId4"/>
    <sheet name="Bills 2020" sheetId="17" r:id="rId5"/>
    <sheet name="Bills 2019" sheetId="15" r:id="rId6"/>
    <sheet name="Bills 2018" sheetId="13" r:id="rId7"/>
    <sheet name="Bills 2017" sheetId="11" r:id="rId8"/>
    <sheet name="Bills 2016" sheetId="9" r:id="rId9"/>
    <sheet name="Bills 2015" sheetId="6" r:id="rId10"/>
    <sheet name="Bills 2014" sheetId="4" r:id="rId11"/>
    <sheet name="Bills 2013" sheetId="2" r:id="rId12"/>
    <sheet name="Tariffs 2023" sheetId="22" state="hidden" r:id="rId13"/>
    <sheet name="Tariffs 2022" sheetId="20" state="hidden" r:id="rId14"/>
    <sheet name="Tariffs 2021" sheetId="18" state="hidden" r:id="rId15"/>
    <sheet name="Tariffs 2020" sheetId="16" state="hidden" r:id="rId16"/>
    <sheet name="Tariffs 2019" sheetId="14" state="hidden" r:id="rId17"/>
    <sheet name="Tariffs 2018" sheetId="12" state="hidden" r:id="rId18"/>
    <sheet name="Tariffs 2017" sheetId="10" state="hidden" r:id="rId19"/>
    <sheet name="Tariffs 2016" sheetId="8" state="hidden" r:id="rId20"/>
    <sheet name="Tariffs 2015" sheetId="7" state="hidden" r:id="rId21"/>
    <sheet name="Tariffs 2014" sheetId="5" state="hidden" r:id="rId22"/>
    <sheet name="Tariffs 2013" sheetId="3" state="hidden" r:id="rId2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1" i="23" l="1"/>
  <c r="V11" i="23"/>
  <c r="O11" i="23"/>
  <c r="N11" i="23"/>
  <c r="M11" i="23"/>
  <c r="L11" i="23"/>
  <c r="G11" i="23"/>
  <c r="F11" i="23"/>
  <c r="E11" i="23"/>
  <c r="D11" i="23"/>
  <c r="C11" i="23"/>
  <c r="B11" i="23"/>
  <c r="A11" i="23"/>
  <c r="Q11" i="23" s="1"/>
  <c r="W10" i="23"/>
  <c r="V10" i="23"/>
  <c r="O10" i="23"/>
  <c r="P10" i="23" s="1"/>
  <c r="N10" i="23"/>
  <c r="M10" i="23"/>
  <c r="L10" i="23"/>
  <c r="G10" i="23"/>
  <c r="F10" i="23"/>
  <c r="E10" i="23"/>
  <c r="D10" i="23"/>
  <c r="C10" i="23"/>
  <c r="B10" i="23"/>
  <c r="A10" i="23"/>
  <c r="Q10" i="23" s="1"/>
  <c r="W9" i="23"/>
  <c r="V9" i="23"/>
  <c r="O9" i="23"/>
  <c r="N9" i="23"/>
  <c r="M9" i="23"/>
  <c r="L9" i="23"/>
  <c r="G9" i="23"/>
  <c r="F9" i="23"/>
  <c r="E9" i="23"/>
  <c r="D9" i="23"/>
  <c r="C9" i="23"/>
  <c r="B9" i="23"/>
  <c r="A9" i="23"/>
  <c r="Q9" i="23" s="1"/>
  <c r="W8" i="23"/>
  <c r="V8" i="23"/>
  <c r="O8" i="23"/>
  <c r="N8" i="23"/>
  <c r="M8" i="23"/>
  <c r="L8" i="23"/>
  <c r="G8" i="23"/>
  <c r="F8" i="23"/>
  <c r="E8" i="23"/>
  <c r="D8" i="23"/>
  <c r="C8" i="23"/>
  <c r="B8" i="23"/>
  <c r="A8" i="23"/>
  <c r="Q8" i="23" s="1"/>
  <c r="W11" i="21"/>
  <c r="V11" i="21"/>
  <c r="O11" i="21"/>
  <c r="N11" i="21"/>
  <c r="M11" i="21"/>
  <c r="L11" i="21"/>
  <c r="G11" i="21"/>
  <c r="F11" i="21"/>
  <c r="E11" i="21"/>
  <c r="D11" i="21"/>
  <c r="C11" i="21"/>
  <c r="B11" i="21"/>
  <c r="A11" i="21"/>
  <c r="Q11" i="21" s="1"/>
  <c r="W10" i="21"/>
  <c r="V10" i="21"/>
  <c r="O10" i="21"/>
  <c r="P10" i="21" s="1"/>
  <c r="N10" i="21"/>
  <c r="M10" i="21"/>
  <c r="L10" i="21"/>
  <c r="G10" i="21"/>
  <c r="F10" i="21"/>
  <c r="E10" i="21"/>
  <c r="D10" i="21"/>
  <c r="C10" i="21"/>
  <c r="B10" i="21"/>
  <c r="A10" i="21"/>
  <c r="W9" i="21"/>
  <c r="V9" i="21"/>
  <c r="O9" i="21"/>
  <c r="N9" i="21"/>
  <c r="M9" i="21"/>
  <c r="L9" i="21"/>
  <c r="P9" i="21" s="1"/>
  <c r="G9" i="21"/>
  <c r="F9" i="21"/>
  <c r="E9" i="21"/>
  <c r="D9" i="21"/>
  <c r="C9" i="21"/>
  <c r="H9" i="21" s="1"/>
  <c r="B9" i="21"/>
  <c r="A9" i="21"/>
  <c r="Q9" i="21" s="1"/>
  <c r="W8" i="21"/>
  <c r="V8" i="21"/>
  <c r="O8" i="21"/>
  <c r="N8" i="21"/>
  <c r="M8" i="21"/>
  <c r="L8" i="21"/>
  <c r="P8" i="21" s="1"/>
  <c r="G8" i="21"/>
  <c r="F8" i="21"/>
  <c r="E8" i="21"/>
  <c r="D8" i="21"/>
  <c r="C8" i="21"/>
  <c r="B8" i="21"/>
  <c r="A8" i="21"/>
  <c r="Q8" i="21" s="1"/>
  <c r="P11" i="21"/>
  <c r="Q10" i="21"/>
  <c r="A11" i="19"/>
  <c r="B11" i="19"/>
  <c r="C11" i="19"/>
  <c r="D11" i="19"/>
  <c r="E11" i="19"/>
  <c r="F11" i="19"/>
  <c r="G11" i="19"/>
  <c r="L11" i="19"/>
  <c r="M11" i="19"/>
  <c r="N11" i="19"/>
  <c r="O11" i="19"/>
  <c r="Q11" i="19"/>
  <c r="V11" i="19"/>
  <c r="W11" i="19"/>
  <c r="A8" i="19"/>
  <c r="Q8" i="19" s="1"/>
  <c r="W10" i="19"/>
  <c r="W9" i="19"/>
  <c r="W8" i="19"/>
  <c r="V10" i="19"/>
  <c r="V9" i="19"/>
  <c r="V8" i="19"/>
  <c r="O10" i="19"/>
  <c r="O9" i="19"/>
  <c r="O8" i="19"/>
  <c r="N10" i="19"/>
  <c r="N9" i="19"/>
  <c r="N8" i="19"/>
  <c r="M10" i="19"/>
  <c r="M9" i="19"/>
  <c r="P9" i="19" s="1"/>
  <c r="M8" i="19"/>
  <c r="P8" i="19" s="1"/>
  <c r="L10" i="19"/>
  <c r="P10" i="19" s="1"/>
  <c r="L9" i="19"/>
  <c r="L8" i="19"/>
  <c r="G10" i="19"/>
  <c r="G9" i="19"/>
  <c r="G8" i="19"/>
  <c r="F10" i="19"/>
  <c r="F9" i="19"/>
  <c r="F8" i="19"/>
  <c r="E10" i="19"/>
  <c r="E9" i="19"/>
  <c r="E8" i="19"/>
  <c r="D10" i="19"/>
  <c r="D9" i="19"/>
  <c r="D8" i="19"/>
  <c r="C10" i="19"/>
  <c r="C9" i="19"/>
  <c r="C8" i="19"/>
  <c r="B10" i="19"/>
  <c r="B9" i="19"/>
  <c r="B8" i="19"/>
  <c r="A10" i="19"/>
  <c r="A9" i="19"/>
  <c r="Q9" i="19" s="1"/>
  <c r="Q10" i="19"/>
  <c r="W10" i="17"/>
  <c r="V10" i="17"/>
  <c r="O10" i="17"/>
  <c r="P10" i="17" s="1"/>
  <c r="N10" i="17"/>
  <c r="M10" i="17"/>
  <c r="L10" i="17"/>
  <c r="G10" i="17"/>
  <c r="F10" i="17"/>
  <c r="E10" i="17"/>
  <c r="D10" i="17"/>
  <c r="C10" i="17"/>
  <c r="B10" i="17"/>
  <c r="A10" i="17"/>
  <c r="W9" i="17"/>
  <c r="V9" i="17"/>
  <c r="O9" i="17"/>
  <c r="N9" i="17"/>
  <c r="M9" i="17"/>
  <c r="L9" i="17"/>
  <c r="G9" i="17"/>
  <c r="F9" i="17"/>
  <c r="E9" i="17"/>
  <c r="D9" i="17"/>
  <c r="C9" i="17"/>
  <c r="B9" i="17"/>
  <c r="A9" i="17"/>
  <c r="Q9" i="17" s="1"/>
  <c r="W8" i="17"/>
  <c r="V8" i="17"/>
  <c r="O8" i="17"/>
  <c r="N8" i="17"/>
  <c r="M8" i="17"/>
  <c r="L8" i="17"/>
  <c r="P8" i="17" s="1"/>
  <c r="G8" i="17"/>
  <c r="F8" i="17"/>
  <c r="E8" i="17"/>
  <c r="D8" i="17"/>
  <c r="C8" i="17"/>
  <c r="B8" i="17"/>
  <c r="A8" i="17"/>
  <c r="Q8" i="17" s="1"/>
  <c r="Q10" i="17"/>
  <c r="D8" i="15"/>
  <c r="U10" i="15"/>
  <c r="T10" i="15"/>
  <c r="O10" i="15"/>
  <c r="N10" i="15"/>
  <c r="M10" i="15"/>
  <c r="L10" i="15"/>
  <c r="G10" i="15"/>
  <c r="F10" i="15"/>
  <c r="E10" i="15"/>
  <c r="H10" i="15" s="1"/>
  <c r="D10" i="15"/>
  <c r="C10" i="15"/>
  <c r="B10" i="15"/>
  <c r="A10" i="15"/>
  <c r="U9" i="15"/>
  <c r="T9" i="15"/>
  <c r="O9" i="15"/>
  <c r="N9" i="15"/>
  <c r="M9" i="15"/>
  <c r="L9" i="15"/>
  <c r="G9" i="15"/>
  <c r="F9" i="15"/>
  <c r="E9" i="15"/>
  <c r="D9" i="15"/>
  <c r="C9" i="15"/>
  <c r="H9" i="15" s="1"/>
  <c r="B9" i="15"/>
  <c r="A9" i="15"/>
  <c r="U8" i="15"/>
  <c r="T8" i="15"/>
  <c r="O8" i="15"/>
  <c r="N8" i="15"/>
  <c r="M8" i="15"/>
  <c r="L8" i="15"/>
  <c r="G8" i="15"/>
  <c r="H8" i="15" s="1"/>
  <c r="F8" i="15"/>
  <c r="E8" i="15"/>
  <c r="C8" i="15"/>
  <c r="B8" i="15"/>
  <c r="A8" i="15"/>
  <c r="U10" i="13"/>
  <c r="T10" i="13"/>
  <c r="O10" i="13"/>
  <c r="N10" i="13"/>
  <c r="M10" i="13"/>
  <c r="L10" i="13"/>
  <c r="G10" i="13"/>
  <c r="F10" i="13"/>
  <c r="E10" i="13"/>
  <c r="D10" i="13"/>
  <c r="C10" i="13"/>
  <c r="H10" i="13" s="1"/>
  <c r="B10" i="13"/>
  <c r="A10" i="13"/>
  <c r="U9" i="13"/>
  <c r="T9" i="13"/>
  <c r="O9" i="13"/>
  <c r="N9" i="13"/>
  <c r="M9" i="13"/>
  <c r="L9" i="13"/>
  <c r="G9" i="13"/>
  <c r="F9" i="13"/>
  <c r="E9" i="13"/>
  <c r="D9" i="13"/>
  <c r="C9" i="13"/>
  <c r="B9" i="13"/>
  <c r="A9" i="13"/>
  <c r="U8" i="13"/>
  <c r="T8" i="13"/>
  <c r="O8" i="13"/>
  <c r="N8" i="13"/>
  <c r="M8" i="13"/>
  <c r="L8" i="13"/>
  <c r="G8" i="13"/>
  <c r="F8" i="13"/>
  <c r="E8" i="13"/>
  <c r="D8" i="13"/>
  <c r="C8" i="13"/>
  <c r="B8" i="13"/>
  <c r="A8" i="13"/>
  <c r="U10" i="11"/>
  <c r="T10" i="11"/>
  <c r="O10" i="11"/>
  <c r="N10" i="11"/>
  <c r="M10" i="11"/>
  <c r="L10" i="11"/>
  <c r="G10" i="11"/>
  <c r="F10" i="11"/>
  <c r="H10" i="11" s="1"/>
  <c r="E10" i="11"/>
  <c r="D10" i="11"/>
  <c r="C10" i="11"/>
  <c r="B10" i="11"/>
  <c r="A10" i="11"/>
  <c r="U9" i="11"/>
  <c r="T9" i="11"/>
  <c r="O9" i="11"/>
  <c r="N9" i="11"/>
  <c r="M9" i="11"/>
  <c r="L9" i="11"/>
  <c r="G9" i="11"/>
  <c r="F9" i="11"/>
  <c r="E9" i="11"/>
  <c r="C9" i="11"/>
  <c r="H9" i="11" s="1"/>
  <c r="D9" i="11"/>
  <c r="B9" i="11"/>
  <c r="A9" i="11"/>
  <c r="U8" i="11"/>
  <c r="T8" i="11"/>
  <c r="O8" i="11"/>
  <c r="N8" i="11"/>
  <c r="M8" i="11"/>
  <c r="L8" i="11"/>
  <c r="G8" i="11"/>
  <c r="F8" i="11"/>
  <c r="E8" i="11"/>
  <c r="D8" i="11"/>
  <c r="C8" i="11"/>
  <c r="H8" i="11" s="1"/>
  <c r="B8" i="11"/>
  <c r="A8" i="11"/>
  <c r="C9" i="2"/>
  <c r="C12" i="2" s="1"/>
  <c r="C13" i="2" s="1"/>
  <c r="C10" i="2"/>
  <c r="C11" i="2"/>
  <c r="B10" i="2"/>
  <c r="B9" i="2"/>
  <c r="B12" i="2" s="1"/>
  <c r="B13" i="2" s="1"/>
  <c r="B11" i="2"/>
  <c r="C11" i="4"/>
  <c r="B11" i="4"/>
  <c r="C10" i="4"/>
  <c r="C9" i="4"/>
  <c r="B10" i="4"/>
  <c r="B9" i="4"/>
  <c r="B12" i="4" s="1"/>
  <c r="B13" i="4" s="1"/>
  <c r="D9" i="6"/>
  <c r="D12" i="6" s="1"/>
  <c r="D13" i="6" s="1"/>
  <c r="D10" i="6"/>
  <c r="D11" i="6"/>
  <c r="C9" i="6"/>
  <c r="B9" i="6"/>
  <c r="C11" i="6"/>
  <c r="B11" i="6"/>
  <c r="B10" i="6"/>
  <c r="B12" i="6" s="1"/>
  <c r="B13" i="6" s="1"/>
  <c r="C10" i="6"/>
  <c r="C12" i="6" s="1"/>
  <c r="C13" i="6" s="1"/>
  <c r="G8" i="9"/>
  <c r="E8" i="9"/>
  <c r="D8" i="9"/>
  <c r="C8" i="9"/>
  <c r="F8" i="9"/>
  <c r="H8" i="9" s="1"/>
  <c r="T9" i="9"/>
  <c r="U9" i="9"/>
  <c r="T10" i="9"/>
  <c r="U10" i="9"/>
  <c r="U8" i="9"/>
  <c r="T8" i="9"/>
  <c r="C9" i="9"/>
  <c r="D9" i="9"/>
  <c r="E9" i="9"/>
  <c r="H9" i="9" s="1"/>
  <c r="F9" i="9"/>
  <c r="G9" i="9"/>
  <c r="O9" i="9"/>
  <c r="C10" i="9"/>
  <c r="D10" i="9"/>
  <c r="E10" i="9"/>
  <c r="F10" i="9"/>
  <c r="G10" i="9"/>
  <c r="O10" i="9"/>
  <c r="L9" i="9"/>
  <c r="M9" i="9"/>
  <c r="N9" i="9"/>
  <c r="L10" i="9"/>
  <c r="M10" i="9"/>
  <c r="N10" i="9"/>
  <c r="M8" i="9"/>
  <c r="N8" i="9"/>
  <c r="O8" i="9"/>
  <c r="L8" i="9"/>
  <c r="A9" i="9"/>
  <c r="B9" i="9"/>
  <c r="A10" i="9"/>
  <c r="B10" i="9"/>
  <c r="B8" i="9"/>
  <c r="A8" i="9"/>
  <c r="H8" i="13"/>
  <c r="J8" i="13"/>
  <c r="K8" i="13" s="1"/>
  <c r="H9" i="13"/>
  <c r="I9" i="13" s="1"/>
  <c r="C12" i="4"/>
  <c r="C13" i="4" s="1"/>
  <c r="H10" i="9"/>
  <c r="J10" i="9"/>
  <c r="K10" i="9" s="1"/>
  <c r="I10" i="9"/>
  <c r="I8" i="13"/>
  <c r="P9" i="23" l="1"/>
  <c r="H8" i="23"/>
  <c r="H11" i="23"/>
  <c r="J11" i="23" s="1"/>
  <c r="K11" i="23" s="1"/>
  <c r="P8" i="23"/>
  <c r="H9" i="23"/>
  <c r="I9" i="23" s="1"/>
  <c r="P11" i="23"/>
  <c r="H10" i="23"/>
  <c r="J10" i="23" s="1"/>
  <c r="K10" i="23" s="1"/>
  <c r="I11" i="23"/>
  <c r="I8" i="23"/>
  <c r="J8" i="23"/>
  <c r="K8" i="23" s="1"/>
  <c r="H10" i="19"/>
  <c r="J10" i="19" s="1"/>
  <c r="K10" i="19" s="1"/>
  <c r="H9" i="19"/>
  <c r="J9" i="19" s="1"/>
  <c r="K9" i="19" s="1"/>
  <c r="H11" i="19"/>
  <c r="I11" i="19" s="1"/>
  <c r="H8" i="21"/>
  <c r="H11" i="21"/>
  <c r="H10" i="21"/>
  <c r="I10" i="21" s="1"/>
  <c r="I9" i="21"/>
  <c r="J9" i="21"/>
  <c r="K9" i="21" s="1"/>
  <c r="I11" i="21"/>
  <c r="J11" i="21"/>
  <c r="K11" i="21" s="1"/>
  <c r="J8" i="21"/>
  <c r="K8" i="21" s="1"/>
  <c r="I8" i="21"/>
  <c r="J10" i="21"/>
  <c r="K10" i="21" s="1"/>
  <c r="H8" i="19"/>
  <c r="J8" i="19" s="1"/>
  <c r="K8" i="19" s="1"/>
  <c r="J8" i="9"/>
  <c r="I8" i="9"/>
  <c r="I10" i="11"/>
  <c r="J10" i="11"/>
  <c r="I10" i="15"/>
  <c r="J10" i="15"/>
  <c r="K10" i="15" s="1"/>
  <c r="P10" i="15" s="1"/>
  <c r="I9" i="15"/>
  <c r="J9" i="15"/>
  <c r="J9" i="11"/>
  <c r="I9" i="11"/>
  <c r="I8" i="15"/>
  <c r="J8" i="15"/>
  <c r="J9" i="9"/>
  <c r="I9" i="9"/>
  <c r="J10" i="13"/>
  <c r="I10" i="13"/>
  <c r="I8" i="11"/>
  <c r="J8" i="11"/>
  <c r="P10" i="9"/>
  <c r="P9" i="17"/>
  <c r="J9" i="13"/>
  <c r="P8" i="13"/>
  <c r="H8" i="17"/>
  <c r="I8" i="17" s="1"/>
  <c r="P11" i="19"/>
  <c r="J11" i="19"/>
  <c r="K11" i="19" s="1"/>
  <c r="I9" i="19"/>
  <c r="H9" i="17"/>
  <c r="I9" i="17" s="1"/>
  <c r="H10" i="17"/>
  <c r="I10" i="17" s="1"/>
  <c r="J9" i="23" l="1"/>
  <c r="K9" i="23" s="1"/>
  <c r="R10" i="23"/>
  <c r="T10" i="23" s="1"/>
  <c r="I10" i="23"/>
  <c r="R8" i="23"/>
  <c r="S10" i="23"/>
  <c r="U10" i="23" s="1"/>
  <c r="R9" i="23"/>
  <c r="R11" i="23"/>
  <c r="I8" i="19"/>
  <c r="I10" i="19"/>
  <c r="R10" i="21"/>
  <c r="T10" i="21" s="1"/>
  <c r="R11" i="21"/>
  <c r="R9" i="21"/>
  <c r="S10" i="21"/>
  <c r="U10" i="21" s="1"/>
  <c r="R8" i="21"/>
  <c r="R11" i="19"/>
  <c r="T11" i="19" s="1"/>
  <c r="K9" i="11"/>
  <c r="P9" i="11"/>
  <c r="Q10" i="15"/>
  <c r="S10" i="15" s="1"/>
  <c r="R10" i="15"/>
  <c r="K9" i="13"/>
  <c r="P9" i="13"/>
  <c r="K9" i="9"/>
  <c r="P9" i="9"/>
  <c r="J8" i="17"/>
  <c r="K8" i="17" s="1"/>
  <c r="P8" i="15"/>
  <c r="K8" i="15"/>
  <c r="P10" i="11"/>
  <c r="K10" i="11"/>
  <c r="K9" i="15"/>
  <c r="P9" i="15"/>
  <c r="P10" i="13"/>
  <c r="K10" i="13"/>
  <c r="Q8" i="13"/>
  <c r="S8" i="13" s="1"/>
  <c r="R8" i="13"/>
  <c r="R10" i="9"/>
  <c r="Q10" i="9"/>
  <c r="S10" i="9" s="1"/>
  <c r="K8" i="11"/>
  <c r="P8" i="11"/>
  <c r="K8" i="9"/>
  <c r="P8" i="9"/>
  <c r="R10" i="19"/>
  <c r="R9" i="19"/>
  <c r="R8" i="19"/>
  <c r="J10" i="17"/>
  <c r="K10" i="17" s="1"/>
  <c r="R10" i="17"/>
  <c r="T10" i="17" s="1"/>
  <c r="J9" i="17"/>
  <c r="K9" i="17" s="1"/>
  <c r="R8" i="17"/>
  <c r="T8" i="17" s="1"/>
  <c r="T8" i="23" l="1"/>
  <c r="S8" i="23"/>
  <c r="U8" i="23" s="1"/>
  <c r="T11" i="23"/>
  <c r="S11" i="23"/>
  <c r="U11" i="23" s="1"/>
  <c r="T9" i="23"/>
  <c r="S9" i="23"/>
  <c r="U9" i="23" s="1"/>
  <c r="T11" i="21"/>
  <c r="S11" i="21"/>
  <c r="U11" i="21" s="1"/>
  <c r="T8" i="21"/>
  <c r="S8" i="21"/>
  <c r="U8" i="21" s="1"/>
  <c r="T9" i="21"/>
  <c r="S9" i="21"/>
  <c r="U9" i="21" s="1"/>
  <c r="S11" i="19"/>
  <c r="U11" i="19" s="1"/>
  <c r="R10" i="13"/>
  <c r="Q10" i="13"/>
  <c r="S10" i="13" s="1"/>
  <c r="Q9" i="15"/>
  <c r="S9" i="15" s="1"/>
  <c r="R9" i="15"/>
  <c r="R9" i="13"/>
  <c r="Q9" i="13"/>
  <c r="S9" i="13" s="1"/>
  <c r="Q10" i="11"/>
  <c r="S10" i="11" s="1"/>
  <c r="R10" i="11"/>
  <c r="R9" i="17"/>
  <c r="R8" i="15"/>
  <c r="Q8" i="15"/>
  <c r="S8" i="15" s="1"/>
  <c r="Q9" i="11"/>
  <c r="S9" i="11" s="1"/>
  <c r="R9" i="11"/>
  <c r="R9" i="9"/>
  <c r="Q9" i="9"/>
  <c r="S9" i="9" s="1"/>
  <c r="Q8" i="11"/>
  <c r="S8" i="11" s="1"/>
  <c r="R8" i="11"/>
  <c r="Q8" i="9"/>
  <c r="S8" i="9" s="1"/>
  <c r="R8" i="9"/>
  <c r="T8" i="19"/>
  <c r="S8" i="19"/>
  <c r="U8" i="19" s="1"/>
  <c r="T9" i="19"/>
  <c r="S9" i="19"/>
  <c r="U9" i="19" s="1"/>
  <c r="T10" i="19"/>
  <c r="S10" i="19"/>
  <c r="U10" i="19" s="1"/>
  <c r="S10" i="17"/>
  <c r="U10" i="17" s="1"/>
  <c r="T9" i="17"/>
  <c r="S9" i="17"/>
  <c r="U9" i="17" s="1"/>
  <c r="S8" i="17"/>
  <c r="U8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AF25FFBA-144D-5547-81A5-28F5A35E604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D6B5EEFE-D70A-E049-A249-73B1814F236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1st, 2nd and 3rd step have been multipled by 1.5 in the 1st, 2nd and 3rd block formulas (as well as balance) in order to convert from bi-monthly to quarterly consumption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5F7092C2-F344-7B48-984D-BEE39DBC2F8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1st, 2nd and 3rd step have been multipled by 1.5 in the 1st, 2nd and 3rd block formulas (as well as balance) in order to convert from bi-monthly to quarterly consumption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92BF24DF-5DCA-5C40-AD52-5B8FD1E257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1st, 2nd and 3rd step have been multipled by 1.5 in the 1st, 2nd and 3rd block formulas (as well as balance) in order to convert from bi-monthly to quarterly consumption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" authorId="0" shapeId="0" xr:uid="{00000000-0006-0000-0600-000001000000}">
      <text>
        <r>
          <rPr>
            <b/>
            <sz val="10"/>
            <color indexed="81"/>
            <rFont val="Calibri"/>
            <family val="2"/>
          </rPr>
          <t>May Mauseth:</t>
        </r>
        <r>
          <rPr>
            <sz val="10"/>
            <color indexed="81"/>
            <rFont val="Calibri"/>
            <family val="2"/>
          </rPr>
          <t xml:space="preserve">
2,466 + 162,247</t>
        </r>
      </text>
    </comment>
    <comment ref="L2" authorId="0" shapeId="0" xr:uid="{00000000-0006-0000-0600-000002000000}">
      <text>
        <r>
          <rPr>
            <b/>
            <sz val="10"/>
            <color indexed="81"/>
            <rFont val="Calibri"/>
            <family val="2"/>
          </rPr>
          <t>May Mauseth:</t>
        </r>
        <r>
          <rPr>
            <sz val="10"/>
            <color indexed="81"/>
            <rFont val="Calibri"/>
            <family val="2"/>
          </rPr>
          <t xml:space="preserve">
2,466 + 162,247 + 657,863</t>
        </r>
      </text>
    </comment>
    <comment ref="K3" authorId="0" shapeId="0" xr:uid="{00000000-0006-0000-0600-000003000000}">
      <text>
        <r>
          <rPr>
            <b/>
            <sz val="10"/>
            <color indexed="81"/>
            <rFont val="Calibri"/>
            <family val="2"/>
          </rPr>
          <t>May Mauseth:</t>
        </r>
        <r>
          <rPr>
            <sz val="10"/>
            <color indexed="81"/>
            <rFont val="Calibri"/>
            <family val="2"/>
          </rPr>
          <t xml:space="preserve">
2,466 + 162,247</t>
        </r>
      </text>
    </comment>
    <comment ref="L3" authorId="0" shapeId="0" xr:uid="{00000000-0006-0000-0600-000004000000}">
      <text>
        <r>
          <rPr>
            <b/>
            <sz val="10"/>
            <color indexed="81"/>
            <rFont val="Calibri"/>
            <family val="2"/>
          </rPr>
          <t>May Mauseth:</t>
        </r>
        <r>
          <rPr>
            <sz val="10"/>
            <color indexed="81"/>
            <rFont val="Calibri"/>
            <family val="2"/>
          </rPr>
          <t xml:space="preserve">
2,466 + 162,247 + 657,863</t>
        </r>
      </text>
    </comment>
    <comment ref="K4" authorId="0" shapeId="0" xr:uid="{00000000-0006-0000-0600-000005000000}">
      <text>
        <r>
          <rPr>
            <b/>
            <sz val="10"/>
            <color indexed="81"/>
            <rFont val="Calibri"/>
            <family val="2"/>
          </rPr>
          <t>May Mauseth:</t>
        </r>
        <r>
          <rPr>
            <sz val="10"/>
            <color indexed="81"/>
            <rFont val="Calibri"/>
            <family val="2"/>
          </rPr>
          <t xml:space="preserve">
2,466 + 162,247</t>
        </r>
      </text>
    </comment>
    <comment ref="L4" authorId="0" shapeId="0" xr:uid="{00000000-0006-0000-0600-000006000000}">
      <text>
        <r>
          <rPr>
            <b/>
            <sz val="10"/>
            <color indexed="81"/>
            <rFont val="Calibri"/>
            <family val="2"/>
          </rPr>
          <t>May Mauseth:</t>
        </r>
        <r>
          <rPr>
            <sz val="10"/>
            <color indexed="81"/>
            <rFont val="Calibri"/>
            <family val="2"/>
          </rPr>
          <t xml:space="preserve">
2,466 + 162,247 + 657,863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3,740 + 246,074</t>
        </r>
      </text>
    </comment>
    <comment ref="L2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249,814 + 997,759</t>
        </r>
      </text>
    </comment>
    <comment ref="K3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3,740 + 246,074</t>
        </r>
      </text>
    </comment>
    <comment ref="L3" authorId="0" shapeId="0" xr:uid="{00000000-0006-0000-07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249,814 + 997,759</t>
        </r>
      </text>
    </comment>
    <comment ref="K4" authorId="0" shapeId="0" xr:uid="{00000000-0006-0000-07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3740 + 40,239</t>
        </r>
      </text>
    </comment>
    <comment ref="L4" authorId="0" shapeId="0" xr:uid="{00000000-0006-0000-07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43,979 + 135,528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A6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F6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G6" authorId="0" shapeId="0" xr:uid="{00000000-0006-0000-08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7" authorId="1" shapeId="0" xr:uid="{00000000-0006-0000-08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F7" authorId="1" shapeId="0" xr:uid="{00000000-0006-0000-0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G7" authorId="1" shapeId="0" xr:uid="{00000000-0006-0000-08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A8" authorId="0" shapeId="0" xr:uid="{00000000-0006-0000-08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  <comment ref="E13" authorId="0" shapeId="0" xr:uid="{00000000-0006-0000-08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F13" authorId="0" shapeId="0" xr:uid="{00000000-0006-0000-08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G13" authorId="0" shapeId="0" xr:uid="{00000000-0006-0000-08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A6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E7" authorId="1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F7" authorId="1" shapeId="0" xr:uid="{00000000-0006-0000-0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A8" authorId="0" shapeId="0" xr:uid="{00000000-0006-0000-09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  <comment ref="E13" authorId="0" shapeId="0" xr:uid="{00000000-0006-0000-09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F13" authorId="0" shapeId="0" xr:uid="{00000000-0006-0000-09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A6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E7" authorId="1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F7" authorId="1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A8" authorId="0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  <comment ref="E13" authorId="0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F13" authorId="0" shapeId="0" xr:uid="{00000000-0006-0000-0A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A14" authorId="0" shapeId="0" xr:uid="{00000000-0006-0000-0A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Non-conditional discounts</t>
        </r>
      </text>
    </comment>
    <comment ref="A15" authorId="0" shapeId="0" xr:uid="{00000000-0006-0000-0A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16" authorId="0" shapeId="0" xr:uid="{00000000-0006-0000-0A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Early Termination Fee</t>
        </r>
      </text>
    </comment>
    <comment ref="A17" authorId="0" shapeId="0" xr:uid="{00000000-0006-0000-0A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Discounts conditional upon prompt payment</t>
        </r>
      </text>
    </comment>
    <comment ref="E19" authorId="0" shapeId="0" xr:uid="{00000000-0006-0000-0A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Account establishment fee: $35.10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8E8D501D-2ECA-D042-B9F5-536089EE855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CF7685E2-1241-1D46-B307-B77DF30EA8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A6D83EE0-81EC-184F-BB4A-EADFC90FCDB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P10" authorId="0" shapeId="0" xr:uid="{C76A5F44-685F-0241-B04B-DC3649D3BDB4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0" authorId="0" shapeId="0" xr:uid="{571E78D8-FA47-1649-BE01-4E9840E5C4B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C8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D8" authorId="0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A10" authorId="0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  <comment ref="B16" authorId="0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C16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D16" authorId="0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A17" authorId="0" shapeId="0" xr:uid="{00000000-0006-0000-03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Non-conditional discounts</t>
        </r>
      </text>
    </comment>
    <comment ref="A18" authorId="0" shapeId="0" xr:uid="{00000000-0006-0000-03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19" authorId="0" shapeId="0" xr:uid="{00000000-0006-0000-03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Early Termination Fee</t>
        </r>
      </text>
    </comment>
    <comment ref="A20" authorId="0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Discounts conditional upon prompt payment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C8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A10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  <comment ref="B16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C16" authorId="0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A17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Non-conditional discounts</t>
        </r>
      </text>
    </comment>
    <comment ref="A18" authorId="0" shapeId="0" xr:uid="{00000000-0006-0000-04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19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Early Termination Fee</t>
        </r>
      </text>
    </comment>
    <comment ref="A20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Discounts conditional upon prompt payment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C8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A10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  <comment ref="B16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Standing Offer only</t>
        </r>
      </text>
    </comment>
    <comment ref="C16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 day Saver</t>
        </r>
      </text>
    </comment>
    <comment ref="A17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Non-conditional discounts</t>
        </r>
      </text>
    </comment>
    <comment ref="A18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19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Early Termination Fee</t>
        </r>
      </text>
    </comment>
    <comment ref="A20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Discounts conditional upon prompt payment</t>
        </r>
      </text>
    </comment>
    <comment ref="B22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Account establishment fee: $35.10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32D5108D-8431-C54A-BD5E-D5B19F03DFF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1st, 2nd and 3rd step have been multipled by 1.5 in the 1st, 2nd and 3rd block formulas (as well as balance) in order to convert from bi-monthly to quarterly consumption</t>
        </r>
      </text>
    </comment>
  </commentList>
</comments>
</file>

<file path=xl/sharedStrings.xml><?xml version="1.0" encoding="utf-8"?>
<sst xmlns="http://schemas.openxmlformats.org/spreadsheetml/2006/main" count="1351" uniqueCount="308">
  <si>
    <t xml:space="preserve">this workbook or for any loss, economic or otherwise, suffered as a result of reliance on the information presented in this workbook.  </t>
    <phoneticPr fontId="0" type="noConversion"/>
  </si>
  <si>
    <t>This workbook contains:</t>
  </si>
  <si>
    <t>Bill impacts July 2014</t>
    <phoneticPr fontId="4" type="noConversion"/>
  </si>
  <si>
    <t xml:space="preserve">The energy offers, tariffs and bill calculations presented in this workbook should be used as a general guide only and should not be </t>
  </si>
  <si>
    <t>12% off usage</t>
    <phoneticPr fontId="4" type="noConversion"/>
  </si>
  <si>
    <t>no</t>
    <phoneticPr fontId="4" type="noConversion"/>
  </si>
  <si>
    <t>1 year</t>
    <phoneticPr fontId="4" type="noConversion"/>
  </si>
  <si>
    <t>no</t>
    <phoneticPr fontId="4" type="noConversion"/>
  </si>
  <si>
    <t>Gas market offers</t>
    <phoneticPr fontId="4" type="noConversion"/>
  </si>
  <si>
    <t>Other features</t>
  </si>
  <si>
    <t>Additional discounts</t>
    <phoneticPr fontId="4" type="noConversion"/>
  </si>
  <si>
    <t>3% off bill</t>
    <phoneticPr fontId="4" type="noConversion"/>
  </si>
  <si>
    <t>Fixed term</t>
  </si>
  <si>
    <t>If you would like to obtain information about energy offers available to you as a customer, go to AER’s "Energy Made Easy" website</t>
    <phoneticPr fontId="4" type="noConversion"/>
  </si>
  <si>
    <t>Quarterly bill</t>
    <phoneticPr fontId="4" type="noConversion"/>
  </si>
  <si>
    <t>no</t>
    <phoneticPr fontId="4" type="noConversion"/>
  </si>
  <si>
    <t>no</t>
    <phoneticPr fontId="4" type="noConversion"/>
  </si>
  <si>
    <t>c/per day fixed charges</t>
  </si>
  <si>
    <t>ActewAGL gas zone</t>
    <phoneticPr fontId="4" type="noConversion"/>
  </si>
  <si>
    <t>1st block (MJ/91 days)</t>
    <phoneticPr fontId="4" type="noConversion"/>
  </si>
  <si>
    <t xml:space="preserve">c/MJ 1st block </t>
    <phoneticPr fontId="4" type="noConversion"/>
  </si>
  <si>
    <t>c/MJ balance</t>
    <phoneticPr fontId="4" type="noConversion"/>
  </si>
  <si>
    <t>Bill impacts July 2015</t>
    <phoneticPr fontId="4" type="noConversion"/>
  </si>
  <si>
    <t>Gas Retail Offers July 2015 (exc GST)</t>
    <phoneticPr fontId="4" type="noConversion"/>
  </si>
  <si>
    <t>The main purpose of this workbook is to provide consumer advocates with a tool to track and analyse</t>
  </si>
  <si>
    <t xml:space="preserve">no parts may be adapted, reproduced, copied, stored, distributed, published or put to commercial use </t>
    <phoneticPr fontId="0" type="noConversion"/>
  </si>
  <si>
    <t>By May Mauseth Johnston, Alviss Consulting Pty Ltd</t>
    <phoneticPr fontId="4" type="noConversion"/>
  </si>
  <si>
    <t>changes to domestic energy offers in the ACT.  If regularly updated, this tariff-tracking tool can be used to:</t>
    <phoneticPr fontId="4" type="noConversion"/>
  </si>
  <si>
    <t>July 2016</t>
    <phoneticPr fontId="4" type="noConversion"/>
  </si>
  <si>
    <t>intellectual property and subject to copyright. Apart from any use permitted under the Copyright Act 1968 (Ctw),</t>
    <phoneticPr fontId="0" type="noConversion"/>
  </si>
  <si>
    <t>ACT Tariff-Tracking Project, St Vincent de Paul Society</t>
    <phoneticPr fontId="4" type="noConversion"/>
  </si>
  <si>
    <t>Origin</t>
    <phoneticPr fontId="4" type="noConversion"/>
  </si>
  <si>
    <t>1 year</t>
    <phoneticPr fontId="4" type="noConversion"/>
  </si>
  <si>
    <t>no</t>
    <phoneticPr fontId="4" type="noConversion"/>
  </si>
  <si>
    <t>ActewAGL</t>
    <phoneticPr fontId="4" type="noConversion"/>
  </si>
  <si>
    <t>Energy Australia</t>
    <phoneticPr fontId="4" type="noConversion"/>
  </si>
  <si>
    <t>Tab colours:</t>
    <phoneticPr fontId="4" type="noConversion"/>
  </si>
  <si>
    <t>July 2015</t>
    <phoneticPr fontId="4" type="noConversion"/>
  </si>
  <si>
    <t>July 2014</t>
    <phoneticPr fontId="4" type="noConversion"/>
  </si>
  <si>
    <t>July 2013</t>
    <phoneticPr fontId="4" type="noConversion"/>
  </si>
  <si>
    <t>Acknowledgement:</t>
    <phoneticPr fontId="4" type="noConversion"/>
  </si>
  <si>
    <t>3% off usage</t>
    <phoneticPr fontId="4" type="noConversion"/>
  </si>
  <si>
    <t>8% off usage</t>
    <phoneticPr fontId="4" type="noConversion"/>
  </si>
  <si>
    <t>ActewAGL</t>
    <phoneticPr fontId="4" type="noConversion"/>
  </si>
  <si>
    <t xml:space="preserve">workbook, it is suitable for use only as a research and advocacy tool. We do not accept any legal responsibility for errors or inaccuracies. </t>
  </si>
  <si>
    <t>Purpose of project</t>
  </si>
  <si>
    <t>ActewAGL</t>
    <phoneticPr fontId="4" type="noConversion"/>
  </si>
  <si>
    <t>2) Monitor the impact tariff changes have on household bills and energy affordability</t>
  </si>
  <si>
    <t>© St Vincent de Paul Society and Alviss Consulting Pty Ltd</t>
  </si>
  <si>
    <t>*All supply charges published as quarterly charges have been divided by 91 days.</t>
  </si>
  <si>
    <t>Retailers:</t>
    <phoneticPr fontId="4" type="noConversion"/>
  </si>
  <si>
    <t xml:space="preserve">in the workbook is not provided as financial advice. While we have taken great care to ensure accuracy of the information provided in this </t>
  </si>
  <si>
    <t>ID</t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</si>
  <si>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</si>
  <si>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</si>
  <si>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</si>
  <si>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</si>
  <si>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Retailer</t>
  </si>
  <si>
    <t>Name</t>
    <phoneticPr fontId="4" type="noConversion"/>
  </si>
  <si>
    <t>www.energymadeeasy.gov.au or contact the energy retailers directly.</t>
    <phoneticPr fontId="4" type="noConversion"/>
  </si>
  <si>
    <t xml:space="preserve">Other </t>
  </si>
  <si>
    <t>yes</t>
    <phoneticPr fontId="4" type="noConversion"/>
  </si>
  <si>
    <t>no</t>
    <phoneticPr fontId="4" type="noConversion"/>
  </si>
  <si>
    <t>ActewAGL</t>
    <phoneticPr fontId="4" type="noConversion"/>
  </si>
  <si>
    <t>Energy Australia</t>
    <phoneticPr fontId="4" type="noConversion"/>
  </si>
  <si>
    <t xml:space="preserve">relied upon. The workbook is not an appropriate substitute for obtaining an offer from an energy retailer.  The information presented </t>
  </si>
  <si>
    <t>3 years</t>
    <phoneticPr fontId="4" type="noConversion"/>
  </si>
  <si>
    <t>ETF</t>
  </si>
  <si>
    <t>Pay on time discount</t>
  </si>
  <si>
    <t>no</t>
    <phoneticPr fontId="4" type="noConversion"/>
  </si>
  <si>
    <t>8% off bill</t>
    <phoneticPr fontId="4" type="noConversion"/>
  </si>
  <si>
    <t>Late payment fee</t>
    <phoneticPr fontId="4" type="noConversion"/>
  </si>
  <si>
    <t>no</t>
    <phoneticPr fontId="4" type="noConversion"/>
  </si>
  <si>
    <t>Quarterly bill balance</t>
    <phoneticPr fontId="4" type="noConversion"/>
  </si>
  <si>
    <t>Quarterly bill fixed charges</t>
    <phoneticPr fontId="4" type="noConversion"/>
  </si>
  <si>
    <t>Summer or winter peak (s/w)</t>
    <phoneticPr fontId="4" type="noConversion"/>
  </si>
  <si>
    <t xml:space="preserve">1) Inform the community about changes to energy retail prices and increase consumer awareness </t>
  </si>
  <si>
    <t xml:space="preserve"> consumption (MJ) can be adjusted. All red cells contain variables for the user to insert</t>
    <phoneticPr fontId="4" type="noConversion"/>
  </si>
  <si>
    <t>*All daily declining block thresholds have been multiplied by 91 to calculate quarterly bills.</t>
    <phoneticPr fontId="4" type="noConversion"/>
  </si>
  <si>
    <t>Home plan</t>
    <phoneticPr fontId="4" type="noConversion"/>
  </si>
  <si>
    <t>Dual fuel condition? (Y/N)</t>
    <phoneticPr fontId="4" type="noConversion"/>
  </si>
  <si>
    <t>Comments</t>
    <phoneticPr fontId="4" type="noConversion"/>
  </si>
  <si>
    <t>Source</t>
    <phoneticPr fontId="4" type="noConversion"/>
  </si>
  <si>
    <t>Update status</t>
    <phoneticPr fontId="4" type="noConversion"/>
  </si>
  <si>
    <t>Changed</t>
    <phoneticPr fontId="4" type="noConversion"/>
  </si>
  <si>
    <t>EnergyAustralia</t>
  </si>
  <si>
    <t>ActewAGL</t>
    <phoneticPr fontId="4" type="noConversion"/>
  </si>
  <si>
    <t>Home plan</t>
    <phoneticPr fontId="4" type="noConversion"/>
  </si>
  <si>
    <t>Account establishment fee applies. Note post carbon repeal price.</t>
    <phoneticPr fontId="4" type="noConversion"/>
  </si>
  <si>
    <t>PDF only</t>
    <phoneticPr fontId="4" type="noConversion"/>
  </si>
  <si>
    <t>ActewAGL  ACT</t>
    <phoneticPr fontId="4" type="noConversion"/>
  </si>
  <si>
    <t>Origin Energy</t>
    <phoneticPr fontId="4" type="noConversion"/>
  </si>
  <si>
    <t>Saver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</si>
  <si>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</si>
  <si>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</si>
  <si>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</si>
  <si>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</si>
  <si>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</si>
  <si>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 xml:space="preserve">This workbook is copyright. All works contained in it are St Vincent de Paul Society and Alviss Consulting’s  </t>
    <phoneticPr fontId="0" type="noConversion"/>
  </si>
  <si>
    <t xml:space="preserve">*Analysis of bills (consumption level/pattern variable) </t>
    <phoneticPr fontId="4" type="noConversion"/>
  </si>
  <si>
    <t xml:space="preserve">The St Vincent de Paul Society and Alviss Consulting Pty Ltd do not accept liability for any action taken based on the information provided in  </t>
    <phoneticPr fontId="0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</si>
  <si>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</si>
  <si>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</si>
  <si>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</si>
  <si>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n</t>
    <phoneticPr fontId="4" type="noConversion"/>
  </si>
  <si>
    <t>N</t>
    <phoneticPr fontId="4" type="noConversion"/>
  </si>
  <si>
    <t>Unchanged</t>
    <phoneticPr fontId="4" type="noConversion"/>
  </si>
  <si>
    <t>ACT</t>
    <phoneticPr fontId="4" type="noConversion"/>
  </si>
  <si>
    <t>2nd step (MJ)</t>
    <phoneticPr fontId="4" type="noConversion"/>
  </si>
  <si>
    <t>Other incentives</t>
    <phoneticPr fontId="4" type="noConversion"/>
  </si>
  <si>
    <t>Incentive type</t>
    <phoneticPr fontId="4" type="noConversion"/>
  </si>
  <si>
    <t>Approx. incentive value ($)</t>
    <phoneticPr fontId="4" type="noConversion"/>
  </si>
  <si>
    <t>https://www.originenergy.com.au/content/dam/origin/residential/docs/energy-price-fact-sheets/act/ACT_Natural%20Gas_Residential_ActewAGL%20NG_OriginSaver10.PDF</t>
  </si>
  <si>
    <t>3rd step (MJ)</t>
    <phoneticPr fontId="4" type="noConversion"/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</si>
  <si>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</si>
  <si>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</si>
  <si>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</si>
  <si>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</si>
  <si>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</si>
  <si>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</si>
  <si>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</si>
  <si>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</si>
  <si>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</si>
  <si>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 xml:space="preserve">St Vincent de Paul Society, ACT Tariff-Tracking Project, Workbook 4: Gas Market Offers </t>
    <phoneticPr fontId="4" type="noConversion"/>
  </si>
  <si>
    <t>Gas Retail Offers July 2013 (inc GST)</t>
    <phoneticPr fontId="4" type="noConversion"/>
  </si>
  <si>
    <t>Annual bill</t>
  </si>
  <si>
    <t>Bill impacts July 2013</t>
    <phoneticPr fontId="4" type="noConversion"/>
  </si>
  <si>
    <t>Guaranteed discount off usage (%)</t>
  </si>
  <si>
    <t>POT discount off bill (%)</t>
  </si>
  <si>
    <t>POT discount off usage (%)</t>
  </si>
  <si>
    <t>Contract length (months)</t>
  </si>
  <si>
    <t>Exit fee (yes/no)</t>
  </si>
  <si>
    <t>Quartely bill</t>
    <phoneticPr fontId="4" type="noConversion"/>
  </si>
  <si>
    <t>Annual consumption only</t>
    <phoneticPr fontId="4" type="noConversion"/>
  </si>
  <si>
    <t>Annual bill (incl GST)</t>
    <phoneticPr fontId="4" type="noConversion"/>
  </si>
  <si>
    <t>This project has been funded by the Energy Consumers Australia (ECA) and its predecessor, the Consumer Advocacy Panel.</t>
    <phoneticPr fontId="4" type="noConversion"/>
  </si>
  <si>
    <t>2nd off-peak rate (c/MJ)</t>
    <phoneticPr fontId="4" type="noConversion"/>
  </si>
  <si>
    <t>3rd off-peak rate (c/MJ)</t>
    <phoneticPr fontId="4" type="noConversion"/>
  </si>
  <si>
    <t>4th off-peak rate (c/MJ)</t>
    <phoneticPr fontId="4" type="noConversion"/>
  </si>
  <si>
    <t>Residential tariff</t>
    <phoneticPr fontId="4" type="noConversion"/>
  </si>
  <si>
    <t xml:space="preserve">Quarterly bill 1st block </t>
    <phoneticPr fontId="4" type="noConversion"/>
  </si>
  <si>
    <t>Gas Retail Offers July 2014 (inc GST)</t>
    <phoneticPr fontId="4" type="noConversion"/>
  </si>
  <si>
    <t xml:space="preserve">without prior written permission from the St Vincent de Paul Society. </t>
  </si>
  <si>
    <t>Project outputs</t>
  </si>
  <si>
    <t>DISCLAIMER:</t>
  </si>
  <si>
    <t xml:space="preserve">AUSTRALIA CAPITAL TERRITORY, ActewAGL </t>
    <phoneticPr fontId="4" type="noConversion"/>
  </si>
  <si>
    <t>Gas offers</t>
    <phoneticPr fontId="4" type="noConversion"/>
  </si>
  <si>
    <t>quarterly</t>
    <phoneticPr fontId="4" type="noConversion"/>
  </si>
  <si>
    <t>1st block</t>
    <phoneticPr fontId="4" type="noConversion"/>
  </si>
  <si>
    <t>2nd block</t>
    <phoneticPr fontId="4" type="noConversion"/>
  </si>
  <si>
    <t>3rd block</t>
    <phoneticPr fontId="4" type="noConversion"/>
  </si>
  <si>
    <t>Balance</t>
    <phoneticPr fontId="4" type="noConversion"/>
  </si>
  <si>
    <t xml:space="preserve">Flexi Saver </t>
    <phoneticPr fontId="4" type="noConversion"/>
  </si>
  <si>
    <t>Annual bill (excl GST)</t>
  </si>
  <si>
    <t>Guaranteed discount off bill (%)</t>
  </si>
  <si>
    <t>Supply (c/day)</t>
  </si>
  <si>
    <t>block type</t>
    <phoneticPr fontId="4" type="noConversion"/>
  </si>
  <si>
    <t>1st step (MJ)</t>
    <phoneticPr fontId="4" type="noConversion"/>
  </si>
  <si>
    <t>Annual bill incl guaranteed discounts (excl GST)</t>
    <phoneticPr fontId="4" type="noConversion"/>
  </si>
  <si>
    <t>Annual bill incl conditional discounts (excl GST)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</si>
  <si>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</si>
  <si>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</si>
  <si>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St Vincent de Paul Society, ACT Tariff-Tracking Project, Workbook 4: Gas Market Offers</t>
    <phoneticPr fontId="4" type="noConversion"/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</si>
  <si>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</si>
  <si>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</si>
  <si>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</si>
  <si>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</si>
  <si>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</si>
  <si>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</si>
  <si>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https://secure.energyaustralia.com.au/EnergyPriceFactSheets/Docs/EPFS/G_R_A_GEASY_CT_14_01-07-2016.pdf</t>
  </si>
  <si>
    <t>Offer</t>
  </si>
  <si>
    <t>Supply charge</t>
  </si>
  <si>
    <t>ActewAGL ACT</t>
    <phoneticPr fontId="4" type="noConversion"/>
  </si>
  <si>
    <t>Number of peak months</t>
    <phoneticPr fontId="4" type="noConversion"/>
  </si>
  <si>
    <t>Number of off-peak months</t>
    <phoneticPr fontId="4" type="noConversion"/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</si>
  <si>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</si>
  <si>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</si>
  <si>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</si>
  <si>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</si>
  <si>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</si>
  <si>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</si>
  <si>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</si>
  <si>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</si>
  <si>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</si>
  <si>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ACT</t>
    <phoneticPr fontId="4" type="noConversion"/>
  </si>
  <si>
    <t>ActewAGL ACT</t>
    <phoneticPr fontId="4" type="noConversion"/>
  </si>
  <si>
    <t>ActewAGL</t>
    <phoneticPr fontId="4" type="noConversion"/>
  </si>
  <si>
    <t>Home plan</t>
    <phoneticPr fontId="4" type="noConversion"/>
  </si>
  <si>
    <t>bi-monthly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</si>
  <si>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</si>
  <si>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</si>
  <si>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</si>
  <si>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</si>
  <si>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Account establishment fee applies. Note post carbon repeal price.</t>
    <phoneticPr fontId="4" type="noConversion"/>
  </si>
  <si>
    <t>http://www.actewagl.com.au/Product-and-services/Prices/ACT-residential-prices.aspx</t>
  </si>
  <si>
    <t>Changed</t>
  </si>
  <si>
    <t xml:space="preserve">Flexi Saver </t>
    <phoneticPr fontId="4" type="noConversion"/>
  </si>
  <si>
    <t>$50 credit if signing up online</t>
  </si>
  <si>
    <t>Account credit</t>
    <phoneticPr fontId="4" type="noConversion"/>
  </si>
  <si>
    <t>N</t>
    <phoneticPr fontId="4" type="noConversion"/>
  </si>
  <si>
    <t>https://secure.energyaustralia.com.au/EnergyPriceFactSheets/Docs/EPFS/PriceFactSheet_ENE378476MR.pdf</t>
  </si>
  <si>
    <t>Origin Energy</t>
    <phoneticPr fontId="4" type="noConversion"/>
  </si>
  <si>
    <t>N</t>
    <phoneticPr fontId="4" type="noConversion"/>
  </si>
  <si>
    <t>https://www.originenergy.com.au/content/dam/origin/residential/docs/energy-price-fact-sheets/act/15July2017/ACT_Natural%20Gas_Residential_ActewAGL%20NG_OriginSaver10.PDF</t>
  </si>
  <si>
    <t>Workbook 4: Gas Market Offers</t>
  </si>
  <si>
    <t xml:space="preserve">*The first spreadsheet (bills) are interactive spreadsheet where quarterly   </t>
  </si>
  <si>
    <t>*All spreadsheets except the "Bills" spreadsheets are locked so that tariff rates cannot accidentally be changed.</t>
  </si>
  <si>
    <t>July 2017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</si>
  <si>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</si>
  <si>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2018</t>
  </si>
  <si>
    <t>bi-monthly</t>
    <phoneticPr fontId="3" type="noConversion"/>
  </si>
  <si>
    <t>Account establishment fee applies. Note post carbon repeal price.</t>
    <phoneticPr fontId="3" type="noConversion"/>
  </si>
  <si>
    <t>Not available</t>
  </si>
  <si>
    <t>Unchanged</t>
  </si>
  <si>
    <t>July 2019</t>
  </si>
  <si>
    <t xml:space="preserve">Report 5: ACT Energy Prices July 2017, An update report (August 2017).  </t>
  </si>
  <si>
    <t xml:space="preserve">Report 6: ACT Energy Prices July 2018, An update report (July 2018).  </t>
  </si>
  <si>
    <t>Online sign up discount off bill (%)</t>
  </si>
  <si>
    <t>Online sign up discount off usage (%)</t>
  </si>
  <si>
    <t>Home office product? (y/blank)</t>
  </si>
  <si>
    <t>Price fix (months)</t>
  </si>
  <si>
    <t>Price fix (date)</t>
  </si>
  <si>
    <t>ACT</t>
    <phoneticPr fontId="0" type="noConversion"/>
  </si>
  <si>
    <t>Evoenergy ACT</t>
  </si>
  <si>
    <t>ActewAGL</t>
    <phoneticPr fontId="0" type="noConversion"/>
  </si>
  <si>
    <t>Home plan</t>
    <phoneticPr fontId="0" type="noConversion"/>
  </si>
  <si>
    <t>bi-monthly</t>
    <phoneticPr fontId="0" type="noConversion"/>
  </si>
  <si>
    <t/>
  </si>
  <si>
    <t>n</t>
    <phoneticPr fontId="0" type="noConversion"/>
  </si>
  <si>
    <t>N</t>
    <phoneticPr fontId="0" type="noConversion"/>
  </si>
  <si>
    <t>Account establishment fee applies. Note post carbon repeal price.</t>
    <phoneticPr fontId="0" type="noConversion"/>
  </si>
  <si>
    <t>https://www.energymadeeasy.gov.au/offer/927633?utm_source=ActewAGL&amp;utm_campaign=bpi-retailer&amp;utm_medium=retailer</t>
  </si>
  <si>
    <t>n</t>
  </si>
  <si>
    <t>New</t>
  </si>
  <si>
    <t>Origin Energy</t>
    <phoneticPr fontId="0" type="noConversion"/>
  </si>
  <si>
    <t xml:space="preserve">Flexi </t>
  </si>
  <si>
    <t>https://www.energymadeeasy.gov.au/offer/991273?postcode=2603&amp;fuelType=G&amp;customerType=M&amp;gasHeater=N&amp;distributor-G=3&amp;provider-G=notSure&amp;gasUsage=N</t>
  </si>
  <si>
    <t>https://www.energymadeeasy.gov.au/offer/985890?postcode=2603&amp;fuelType=G&amp;customerType=M&amp;gasHeater=Y&amp;distributor-G=3&amp;provider-G=notSure&amp;gasUsage=N</t>
  </si>
  <si>
    <t>Total Plan Home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</si>
  <si>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</si>
  <si>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</si>
  <si>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</si>
  <si>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</si>
  <si>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</si>
  <si>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</si>
  <si>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</si>
  <si>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</si>
  <si>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Peak proportion %</t>
    <phoneticPr fontId="18" type="noConversion"/>
  </si>
  <si>
    <t>Off-peak proportion %</t>
    <phoneticPr fontId="18" type="noConversion"/>
  </si>
  <si>
    <t>E-bill discount off bill (%)</t>
  </si>
  <si>
    <t>E-bill discount off usage (%)</t>
  </si>
  <si>
    <t>Time structure code</t>
  </si>
  <si>
    <t>Mandatory shortened billing cycle (months)</t>
  </si>
  <si>
    <t>Note about consumption</t>
  </si>
  <si>
    <t>Type of discount</t>
  </si>
  <si>
    <t>Discount is inclusive or exclusive of GST</t>
  </si>
  <si>
    <t>July 2020</t>
  </si>
  <si>
    <t>Insert quartely consumption (MJ):</t>
  </si>
  <si>
    <t>Insert quarterly consumption (MJ):</t>
  </si>
  <si>
    <t>https://www.energymadeeasy.gov.au/plan?utm_source=ActewAGL&amp;utm_campaign=bpi-retailer&amp;utm_medium=retailer&amp;id=ACT64470SRG2&amp;postcode=2600</t>
  </si>
  <si>
    <t>Total Plan</t>
  </si>
  <si>
    <t>https://www.energymadeeasy.gov.au/offer/1109000?utm_source=EnergyAustralia&amp;utm_campaign=bpi-retailer&amp;utm_medium=retailer&amp;postcode=2603</t>
  </si>
  <si>
    <t>https://www.energymadeeasy.gov.au/plan?utm_source=Origin%20Energy&amp;utm_campaign=bpi-retailer&amp;utm_medium=retailer&amp;id=ORI19114MRG3&amp;postcode=2600</t>
  </si>
  <si>
    <t>ACT</t>
  </si>
  <si>
    <t>ActewAGL</t>
  </si>
  <si>
    <t>Home plan</t>
  </si>
  <si>
    <t>bi-monthly</t>
  </si>
  <si>
    <t>N</t>
  </si>
  <si>
    <t>https://www.energymadeeasy.gov.au/plan?id=ENE19184MRG&amp;utm_source=EnergyAustralia&amp;utm_campaign=bpi-retailer&amp;utm_medium=retailer&amp;postcode=2603</t>
  </si>
  <si>
    <t>Origin Energy</t>
  </si>
  <si>
    <t>Go Variable</t>
  </si>
  <si>
    <t>https://www.energymadeeasy.gov.au/plan?id=ORI208104MRG3&amp;utm_source=Origin%20Energy&amp;utm_campaign=bpi-retailer&amp;utm_medium=retailer&amp;postcode=2600</t>
  </si>
  <si>
    <t>Red Energy</t>
  </si>
  <si>
    <t>Living Energy Saver</t>
  </si>
  <si>
    <t>https://www.energymadeeasy.gov.au/plan?id=RED21303MRG&amp;postcode=2603</t>
  </si>
  <si>
    <t>July 2021</t>
  </si>
  <si>
    <t xml:space="preserve">Report 1: ACT Energy Prices July 2009- July 2013 (September 2013).  </t>
    <phoneticPr fontId="3" type="noConversion"/>
  </si>
  <si>
    <t xml:space="preserve">Report 2: ACT Energy Prices July 2013- July 2014, An update report (July 2014).  </t>
    <phoneticPr fontId="3" type="noConversion"/>
  </si>
  <si>
    <t xml:space="preserve">Report 3: ACT Energy Prices July 2014- July 2015, An update report (July 2015).  </t>
    <phoneticPr fontId="3" type="noConversion"/>
  </si>
  <si>
    <t xml:space="preserve">Report 4: ACT Energy Prices July 2015- July 2016, An update report (July 2016).  </t>
    <phoneticPr fontId="3" type="noConversion"/>
  </si>
  <si>
    <t>Report 7: ACT Energy Prices July 2019, An update report (July 2019).</t>
  </si>
  <si>
    <t>Report 8: ACT Energy Prices July 2020, An update report (July 2020).</t>
  </si>
  <si>
    <t>Report 9: ACT Energy Prices July 2021, An update report (August 2021).</t>
  </si>
  <si>
    <t>July 2022</t>
  </si>
  <si>
    <t>Report 10: ACT Energy Prices July 2022, An update report (August 2022).</t>
  </si>
  <si>
    <t>https://www.energymadeeasy.gov.au/plan?id=ACT64470SRG6&amp;postcode=2603</t>
  </si>
  <si>
    <t>Flexi Plan</t>
  </si>
  <si>
    <t>$25 sign up credit</t>
  </si>
  <si>
    <t>Account credit</t>
  </si>
  <si>
    <t>Account credit available to customers that sign up via Energy Australia`s website only.</t>
  </si>
  <si>
    <t>https://www.energymadeeasy.gov.au/plan?id=ENE379832MRG7&amp;postcode=2603</t>
  </si>
  <si>
    <t>https://www.energymadeeasy.gov.au/plan?id=ORI431052MRG1&amp;postcode=2603</t>
  </si>
  <si>
    <t>Red Energy</t>
    <phoneticPr fontId="0" type="noConversion"/>
  </si>
  <si>
    <t>https://www.energymadeeasy.gov.au/plan?id=RED21303MRG18&amp;postcode=2603</t>
  </si>
  <si>
    <t>July 2023</t>
  </si>
  <si>
    <t>*Gas market offers post July 2013 - 2023</t>
  </si>
  <si>
    <t xml:space="preserve">The ACT Tariff-Tracking project has produced 5 workbooks and 11 reports: </t>
  </si>
  <si>
    <t>Workbook 1: Regulated electricity offers July 2009 - July 2023</t>
  </si>
  <si>
    <t>Workbook 2: Gas offers July 2009 - July 2023</t>
  </si>
  <si>
    <t>Workbook 3: Published electricity market offers post July 2013 - July 2023</t>
  </si>
  <si>
    <t>Workbook 4: Published gas market offers post July 2013 - July 2023</t>
  </si>
  <si>
    <t>Workbook 5: Solar market offers as of July 2016  - July 2023</t>
  </si>
  <si>
    <t>Report 11: ACT Energy Prices July 2023, An update report (August 2023).</t>
  </si>
  <si>
    <t>Capital City</t>
  </si>
  <si>
    <t>https://www.energymadeeasy.gov.au/plan?id=ACT551684MRG3&amp;utm_source=ActewAGL&amp;utm_campaign=bpi-retailer&amp;utm_medium=retailer&amp;postcode=2600</t>
  </si>
  <si>
    <t>https://www.energymadeeasy.gov.au/plan?id=ENE379832MRG&amp;utm_source=EnergyAustralia&amp;utm_campaign=bpi-retailer&amp;utm_medium=retailer&amp;postcode=2603</t>
  </si>
  <si>
    <t>https://www.energymadeeasy.gov.au/plan?id=ORI539750MRG4&amp;utm_source=Origin%20Energy&amp;utm_campaign=bpi-retailer&amp;utm_medium=retailer&amp;postcode=2600</t>
  </si>
  <si>
    <t>https://www.energymadeeasy.gov.au/plan?id=RED552127MRG&amp;postcode=2603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</si>
</sst>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0.0"/>
  </numFmts>
  <fonts count="29" x14ac:knownFonts="1">
    <font>
      <sz val="10"/>
      <name val="Verdana"/>
    </font>
    <font>
      <b/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name val="Arial"/>
      <family val="2"/>
    </font>
    <font>
      <b/>
      <sz val="11"/>
      <color indexed="57"/>
      <name val="Arial"/>
      <family val="2"/>
    </font>
    <font>
      <b/>
      <sz val="10"/>
      <color indexed="4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0"/>
      <color indexed="9"/>
      <name val="Arial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b/>
      <sz val="10"/>
      <color indexed="81"/>
      <name val="Calibri"/>
      <family val="2"/>
    </font>
    <font>
      <sz val="10"/>
      <color indexed="81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u/>
      <sz val="10"/>
      <color theme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0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12" fillId="0" borderId="0"/>
    <xf numFmtId="0" fontId="19" fillId="0" borderId="0"/>
  </cellStyleXfs>
  <cellXfs count="261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0" fillId="2" borderId="0" xfId="0" applyFill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11" fillId="2" borderId="6" xfId="0" applyFont="1" applyFill="1" applyBorder="1"/>
    <xf numFmtId="0" fontId="12" fillId="2" borderId="7" xfId="0" applyFont="1" applyFill="1" applyBorder="1"/>
    <xf numFmtId="0" fontId="12" fillId="2" borderId="8" xfId="0" applyFont="1" applyFill="1" applyBorder="1"/>
    <xf numFmtId="0" fontId="12" fillId="2" borderId="0" xfId="0" applyFont="1" applyFill="1"/>
    <xf numFmtId="0" fontId="12" fillId="2" borderId="4" xfId="0" applyFont="1" applyFill="1" applyBorder="1"/>
    <xf numFmtId="0" fontId="12" fillId="2" borderId="5" xfId="0" applyFont="1" applyFill="1" applyBorder="1"/>
    <xf numFmtId="0" fontId="12" fillId="2" borderId="1" xfId="0" applyFont="1" applyFill="1" applyBorder="1"/>
    <xf numFmtId="0" fontId="12" fillId="2" borderId="2" xfId="0" applyFont="1" applyFill="1" applyBorder="1"/>
    <xf numFmtId="0" fontId="12" fillId="2" borderId="3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5" xfId="0" applyFill="1" applyBorder="1"/>
    <xf numFmtId="0" fontId="0" fillId="0" borderId="5" xfId="0" applyBorder="1"/>
    <xf numFmtId="0" fontId="0" fillId="2" borderId="2" xfId="0" applyFill="1" applyBorder="1"/>
    <xf numFmtId="0" fontId="0" fillId="2" borderId="3" xfId="0" applyFill="1" applyBorder="1"/>
    <xf numFmtId="0" fontId="0" fillId="3" borderId="0" xfId="0" applyFill="1"/>
    <xf numFmtId="0" fontId="12" fillId="0" borderId="0" xfId="0" applyFont="1"/>
    <xf numFmtId="0" fontId="13" fillId="5" borderId="9" xfId="0" applyFont="1" applyFill="1" applyBorder="1"/>
    <xf numFmtId="0" fontId="11" fillId="0" borderId="10" xfId="0" applyFont="1" applyBorder="1"/>
    <xf numFmtId="0" fontId="0" fillId="0" borderId="10" xfId="0" applyBorder="1"/>
    <xf numFmtId="0" fontId="0" fillId="4" borderId="10" xfId="0" applyFill="1" applyBorder="1"/>
    <xf numFmtId="0" fontId="0" fillId="4" borderId="0" xfId="0" applyFill="1"/>
    <xf numFmtId="0" fontId="11" fillId="0" borderId="0" xfId="0" applyFont="1"/>
    <xf numFmtId="0" fontId="14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Protection="1">
      <protection hidden="1"/>
    </xf>
    <xf numFmtId="0" fontId="0" fillId="5" borderId="9" xfId="0" applyFill="1" applyBorder="1" applyProtection="1">
      <protection hidden="1"/>
    </xf>
    <xf numFmtId="0" fontId="6" fillId="0" borderId="0" xfId="0" applyFont="1" applyProtection="1">
      <protection hidden="1"/>
    </xf>
    <xf numFmtId="0" fontId="14" fillId="0" borderId="0" xfId="0" applyFont="1" applyProtection="1">
      <protection hidden="1"/>
    </xf>
    <xf numFmtId="3" fontId="6" fillId="3" borderId="0" xfId="0" applyNumberFormat="1" applyFont="1" applyFill="1" applyProtection="1">
      <protection locked="0"/>
    </xf>
    <xf numFmtId="0" fontId="6" fillId="4" borderId="0" xfId="0" applyFont="1" applyFill="1" applyProtection="1">
      <protection hidden="1"/>
    </xf>
    <xf numFmtId="3" fontId="6" fillId="4" borderId="0" xfId="0" applyNumberFormat="1" applyFont="1" applyFill="1" applyProtection="1">
      <protection hidden="1"/>
    </xf>
    <xf numFmtId="0" fontId="0" fillId="0" borderId="0" xfId="0" applyAlignment="1" applyProtection="1">
      <alignment horizontal="left"/>
      <protection hidden="1"/>
    </xf>
    <xf numFmtId="6" fontId="0" fillId="0" borderId="0" xfId="0" applyNumberFormat="1" applyAlignment="1" applyProtection="1">
      <alignment horizontal="left"/>
      <protection hidden="1"/>
    </xf>
    <xf numFmtId="49" fontId="0" fillId="0" borderId="0" xfId="0" applyNumberFormat="1" applyProtection="1">
      <protection hidden="1"/>
    </xf>
    <xf numFmtId="0" fontId="0" fillId="5" borderId="0" xfId="0" applyFill="1" applyProtection="1">
      <protection hidden="1"/>
    </xf>
    <xf numFmtId="0" fontId="13" fillId="4" borderId="0" xfId="0" applyFont="1" applyFill="1"/>
    <xf numFmtId="0" fontId="0" fillId="5" borderId="0" xfId="0" applyFill="1"/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2" fontId="0" fillId="0" borderId="0" xfId="0" applyNumberFormat="1" applyProtection="1">
      <protection hidden="1"/>
    </xf>
    <xf numFmtId="3" fontId="3" fillId="4" borderId="0" xfId="0" applyNumberFormat="1" applyFont="1" applyFill="1" applyProtection="1">
      <protection hidden="1"/>
    </xf>
    <xf numFmtId="0" fontId="0" fillId="2" borderId="12" xfId="0" applyFill="1" applyBorder="1"/>
    <xf numFmtId="0" fontId="10" fillId="2" borderId="0" xfId="0" applyFont="1" applyFill="1" applyProtection="1">
      <protection hidden="1"/>
    </xf>
    <xf numFmtId="0" fontId="12" fillId="0" borderId="14" xfId="0" applyFont="1" applyBorder="1"/>
    <xf numFmtId="49" fontId="12" fillId="6" borderId="15" xfId="0" applyNumberFormat="1" applyFont="1" applyFill="1" applyBorder="1"/>
    <xf numFmtId="49" fontId="17" fillId="5" borderId="16" xfId="0" applyNumberFormat="1" applyFont="1" applyFill="1" applyBorder="1"/>
    <xf numFmtId="0" fontId="0" fillId="6" borderId="9" xfId="0" applyFill="1" applyBorder="1" applyProtection="1">
      <protection hidden="1"/>
    </xf>
    <xf numFmtId="0" fontId="0" fillId="6" borderId="0" xfId="0" applyFill="1" applyProtection="1">
      <protection hidden="1"/>
    </xf>
    <xf numFmtId="0" fontId="13" fillId="6" borderId="9" xfId="0" applyFont="1" applyFill="1" applyBorder="1"/>
    <xf numFmtId="0" fontId="0" fillId="6" borderId="0" xfId="0" applyFill="1"/>
    <xf numFmtId="0" fontId="2" fillId="4" borderId="11" xfId="0" applyFont="1" applyFill="1" applyBorder="1"/>
    <xf numFmtId="49" fontId="17" fillId="7" borderId="15" xfId="0" applyNumberFormat="1" applyFont="1" applyFill="1" applyBorder="1"/>
    <xf numFmtId="0" fontId="9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7" borderId="9" xfId="0" applyFill="1" applyBorder="1" applyProtection="1">
      <protection hidden="1"/>
    </xf>
    <xf numFmtId="0" fontId="13" fillId="7" borderId="9" xfId="0" applyFont="1" applyFill="1" applyBorder="1"/>
    <xf numFmtId="0" fontId="0" fillId="7" borderId="0" xfId="0" applyFill="1" applyProtection="1">
      <protection hidden="1"/>
    </xf>
    <xf numFmtId="0" fontId="0" fillId="7" borderId="0" xfId="0" applyFill="1"/>
    <xf numFmtId="6" fontId="0" fillId="0" borderId="0" xfId="0" applyNumberFormat="1" applyAlignment="1">
      <alignment horizontal="left"/>
    </xf>
    <xf numFmtId="0" fontId="0" fillId="8" borderId="0" xfId="0" applyFill="1" applyAlignment="1">
      <alignment horizontal="right" wrapText="1"/>
    </xf>
    <xf numFmtId="0" fontId="0" fillId="8" borderId="0" xfId="0" applyFill="1" applyAlignment="1">
      <alignment horizontal="left" wrapText="1"/>
    </xf>
    <xf numFmtId="0" fontId="0" fillId="8" borderId="0" xfId="0" applyFill="1" applyAlignment="1">
      <alignment wrapText="1"/>
    </xf>
    <xf numFmtId="0" fontId="0" fillId="4" borderId="12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9" borderId="18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0" borderId="18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18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8" xfId="0" applyFill="1" applyBorder="1" applyAlignment="1">
      <alignment horizontal="right" wrapText="1"/>
    </xf>
    <xf numFmtId="0" fontId="0" fillId="12" borderId="0" xfId="0" applyFill="1" applyAlignment="1">
      <alignment horizontal="center" wrapText="1"/>
    </xf>
    <xf numFmtId="0" fontId="0" fillId="12" borderId="19" xfId="0" applyFill="1" applyBorder="1" applyAlignment="1">
      <alignment horizontal="center" wrapText="1"/>
    </xf>
    <xf numFmtId="0" fontId="0" fillId="13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13" borderId="0" xfId="0" applyFill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18" xfId="0" applyFill="1" applyBorder="1" applyAlignment="1">
      <alignment horizontal="right" wrapText="1"/>
    </xf>
    <xf numFmtId="0" fontId="0" fillId="8" borderId="17" xfId="0" applyFill="1" applyBorder="1"/>
    <xf numFmtId="0" fontId="0" fillId="0" borderId="17" xfId="0" applyBorder="1" applyAlignment="1">
      <alignment horizontal="left"/>
    </xf>
    <xf numFmtId="0" fontId="0" fillId="0" borderId="17" xfId="0" applyBorder="1"/>
    <xf numFmtId="14" fontId="0" fillId="0" borderId="17" xfId="0" applyNumberFormat="1" applyBorder="1"/>
    <xf numFmtId="0" fontId="0" fillId="0" borderId="17" xfId="0" applyBorder="1" applyAlignment="1">
      <alignment horizontal="right"/>
    </xf>
    <xf numFmtId="0" fontId="0" fillId="0" borderId="17" xfId="0" applyBorder="1" applyAlignment="1">
      <alignment horizontal="center"/>
    </xf>
    <xf numFmtId="3" fontId="0" fillId="0" borderId="17" xfId="0" applyNumberFormat="1" applyBorder="1"/>
    <xf numFmtId="3" fontId="0" fillId="0" borderId="0" xfId="0" applyNumberFormat="1"/>
    <xf numFmtId="49" fontId="12" fillId="11" borderId="15" xfId="0" applyNumberFormat="1" applyFont="1" applyFill="1" applyBorder="1" applyProtection="1">
      <protection hidden="1"/>
    </xf>
    <xf numFmtId="0" fontId="10" fillId="11" borderId="0" xfId="0" applyFont="1" applyFill="1" applyProtection="1">
      <protection hidden="1"/>
    </xf>
    <xf numFmtId="0" fontId="0" fillId="11" borderId="0" xfId="0" applyFill="1" applyProtection="1">
      <protection hidden="1"/>
    </xf>
    <xf numFmtId="0" fontId="9" fillId="11" borderId="0" xfId="0" applyFont="1" applyFill="1" applyProtection="1">
      <protection hidden="1"/>
    </xf>
    <xf numFmtId="0" fontId="18" fillId="2" borderId="6" xfId="0" applyFont="1" applyFill="1" applyBorder="1" applyProtection="1">
      <protection hidden="1"/>
    </xf>
    <xf numFmtId="0" fontId="10" fillId="2" borderId="7" xfId="0" applyFont="1" applyFill="1" applyBorder="1" applyProtection="1">
      <protection hidden="1"/>
    </xf>
    <xf numFmtId="0" fontId="10" fillId="2" borderId="8" xfId="0" applyFont="1" applyFill="1" applyBorder="1" applyProtection="1">
      <protection hidden="1"/>
    </xf>
    <xf numFmtId="0" fontId="10" fillId="2" borderId="4" xfId="0" applyFont="1" applyFill="1" applyBorder="1" applyProtection="1">
      <protection hidden="1"/>
    </xf>
    <xf numFmtId="0" fontId="10" fillId="2" borderId="5" xfId="0" applyFont="1" applyFill="1" applyBorder="1" applyProtection="1">
      <protection hidden="1"/>
    </xf>
    <xf numFmtId="0" fontId="0" fillId="0" borderId="4" xfId="0" applyBorder="1" applyProtection="1">
      <protection hidden="1"/>
    </xf>
    <xf numFmtId="3" fontId="19" fillId="0" borderId="0" xfId="0" applyNumberFormat="1" applyFont="1" applyProtection="1">
      <protection hidden="1"/>
    </xf>
    <xf numFmtId="3" fontId="1" fillId="0" borderId="0" xfId="0" applyNumberFormat="1" applyFont="1" applyProtection="1">
      <protection hidden="1"/>
    </xf>
    <xf numFmtId="3" fontId="1" fillId="4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0" fillId="0" borderId="2" xfId="0" applyBorder="1" applyProtection="1">
      <protection hidden="1"/>
    </xf>
    <xf numFmtId="2" fontId="0" fillId="0" borderId="2" xfId="0" applyNumberFormat="1" applyBorder="1" applyProtection="1">
      <protection hidden="1"/>
    </xf>
    <xf numFmtId="3" fontId="19" fillId="0" borderId="2" xfId="0" applyNumberFormat="1" applyFont="1" applyBorder="1" applyProtection="1">
      <protection hidden="1"/>
    </xf>
    <xf numFmtId="3" fontId="1" fillId="0" borderId="2" xfId="0" applyNumberFormat="1" applyFont="1" applyBorder="1" applyProtection="1">
      <protection hidden="1"/>
    </xf>
    <xf numFmtId="3" fontId="1" fillId="4" borderId="2" xfId="0" applyNumberFormat="1" applyFont="1" applyFill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3" fontId="9" fillId="3" borderId="0" xfId="0" applyNumberFormat="1" applyFont="1" applyFill="1" applyProtection="1">
      <protection locked="0"/>
    </xf>
    <xf numFmtId="1" fontId="0" fillId="0" borderId="17" xfId="0" applyNumberFormat="1" applyBorder="1"/>
    <xf numFmtId="14" fontId="0" fillId="14" borderId="17" xfId="0" applyNumberFormat="1" applyFill="1" applyBorder="1"/>
    <xf numFmtId="49" fontId="12" fillId="15" borderId="15" xfId="0" applyNumberFormat="1" applyFont="1" applyFill="1" applyBorder="1" applyProtection="1">
      <protection hidden="1"/>
    </xf>
    <xf numFmtId="0" fontId="10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9" fillId="15" borderId="0" xfId="0" applyFont="1" applyFill="1" applyProtection="1">
      <protection hidden="1"/>
    </xf>
    <xf numFmtId="49" fontId="12" fillId="16" borderId="15" xfId="0" applyNumberFormat="1" applyFont="1" applyFill="1" applyBorder="1" applyProtection="1">
      <protection hidden="1"/>
    </xf>
    <xf numFmtId="0" fontId="10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9" fillId="16" borderId="0" xfId="0" applyFont="1" applyFill="1" applyProtection="1">
      <protection hidden="1"/>
    </xf>
    <xf numFmtId="14" fontId="19" fillId="17" borderId="17" xfId="0" applyNumberFormat="1" applyFont="1" applyFill="1" applyBorder="1"/>
    <xf numFmtId="0" fontId="19" fillId="0" borderId="0" xfId="0" applyFont="1"/>
    <xf numFmtId="0" fontId="0" fillId="0" borderId="11" xfId="0" applyBorder="1" applyAlignment="1">
      <alignment horizontal="center"/>
    </xf>
    <xf numFmtId="0" fontId="10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9" fillId="18" borderId="0" xfId="0" applyFont="1" applyFill="1" applyProtection="1">
      <protection hidden="1"/>
    </xf>
    <xf numFmtId="49" fontId="12" fillId="18" borderId="15" xfId="0" applyNumberFormat="1" applyFont="1" applyFill="1" applyBorder="1" applyProtection="1">
      <protection hidden="1"/>
    </xf>
    <xf numFmtId="14" fontId="19" fillId="0" borderId="17" xfId="0" applyNumberFormat="1" applyFont="1" applyBorder="1"/>
    <xf numFmtId="0" fontId="19" fillId="0" borderId="17" xfId="0" applyFont="1" applyBorder="1"/>
    <xf numFmtId="164" fontId="19" fillId="0" borderId="17" xfId="0" applyNumberFormat="1" applyFont="1" applyBorder="1"/>
    <xf numFmtId="2" fontId="19" fillId="0" borderId="17" xfId="0" applyNumberFormat="1" applyFont="1" applyBorder="1"/>
    <xf numFmtId="0" fontId="19" fillId="0" borderId="17" xfId="0" applyFont="1" applyBorder="1" applyAlignment="1">
      <alignment horizontal="center"/>
    </xf>
    <xf numFmtId="0" fontId="19" fillId="0" borderId="17" xfId="0" applyFont="1" applyBorder="1" applyAlignment="1">
      <alignment horizontal="left"/>
    </xf>
    <xf numFmtId="38" fontId="0" fillId="0" borderId="17" xfId="0" applyNumberFormat="1" applyBorder="1" applyAlignment="1">
      <alignment horizontal="center"/>
    </xf>
    <xf numFmtId="0" fontId="0" fillId="8" borderId="18" xfId="0" applyFill="1" applyBorder="1" applyAlignment="1">
      <alignment horizontal="center" wrapText="1"/>
    </xf>
    <xf numFmtId="0" fontId="24" fillId="0" borderId="17" xfId="1" applyBorder="1"/>
    <xf numFmtId="2" fontId="19" fillId="4" borderId="0" xfId="2" applyNumberFormat="1" applyFont="1" applyFill="1" applyAlignment="1">
      <alignment horizontal="right" wrapText="1"/>
    </xf>
    <xf numFmtId="0" fontId="19" fillId="19" borderId="0" xfId="2" applyFont="1" applyFill="1" applyAlignment="1">
      <alignment horizontal="right" wrapText="1"/>
    </xf>
    <xf numFmtId="0" fontId="19" fillId="19" borderId="18" xfId="2" applyFont="1" applyFill="1" applyBorder="1" applyAlignment="1">
      <alignment horizontal="right" wrapText="1"/>
    </xf>
    <xf numFmtId="0" fontId="25" fillId="12" borderId="0" xfId="2" applyFont="1" applyFill="1" applyAlignment="1">
      <alignment horizontal="center" wrapText="1"/>
    </xf>
    <xf numFmtId="0" fontId="25" fillId="13" borderId="0" xfId="2" applyFont="1" applyFill="1" applyAlignment="1">
      <alignment horizontal="center" wrapText="1"/>
    </xf>
    <xf numFmtId="0" fontId="25" fillId="10" borderId="0" xfId="2" applyFont="1" applyFill="1" applyAlignment="1">
      <alignment horizontal="center" wrapText="1"/>
    </xf>
    <xf numFmtId="0" fontId="25" fillId="10" borderId="0" xfId="2" applyFont="1" applyFill="1" applyAlignment="1">
      <alignment horizontal="right" wrapText="1"/>
    </xf>
    <xf numFmtId="0" fontId="25" fillId="13" borderId="0" xfId="2" applyFont="1" applyFill="1" applyAlignment="1">
      <alignment horizontal="right" wrapText="1"/>
    </xf>
    <xf numFmtId="0" fontId="19" fillId="13" borderId="0" xfId="2" applyFont="1" applyFill="1" applyAlignment="1">
      <alignment horizontal="center" wrapText="1"/>
    </xf>
    <xf numFmtId="0" fontId="19" fillId="10" borderId="18" xfId="2" applyFont="1" applyFill="1" applyBorder="1" applyAlignment="1">
      <alignment horizontal="center" wrapText="1"/>
    </xf>
    <xf numFmtId="0" fontId="25" fillId="10" borderId="18" xfId="2" applyFont="1" applyFill="1" applyBorder="1" applyAlignment="1">
      <alignment horizontal="right" wrapText="1"/>
    </xf>
    <xf numFmtId="0" fontId="19" fillId="20" borderId="0" xfId="2" applyFont="1" applyFill="1" applyAlignment="1">
      <alignment horizontal="center" wrapText="1"/>
    </xf>
    <xf numFmtId="0" fontId="19" fillId="8" borderId="0" xfId="2" applyFont="1" applyFill="1" applyAlignment="1">
      <alignment horizontal="center" wrapText="1"/>
    </xf>
    <xf numFmtId="0" fontId="19" fillId="8" borderId="0" xfId="3" applyFill="1" applyAlignment="1">
      <alignment horizontal="right" wrapText="1"/>
    </xf>
    <xf numFmtId="0" fontId="19" fillId="8" borderId="0" xfId="3" applyFill="1" applyAlignment="1">
      <alignment horizontal="left" wrapText="1"/>
    </xf>
    <xf numFmtId="0" fontId="19" fillId="8" borderId="0" xfId="3" applyFill="1" applyAlignment="1">
      <alignment wrapText="1"/>
    </xf>
    <xf numFmtId="0" fontId="19" fillId="4" borderId="12" xfId="3" applyFill="1" applyBorder="1" applyAlignment="1">
      <alignment horizontal="right" wrapText="1"/>
    </xf>
    <xf numFmtId="2" fontId="19" fillId="21" borderId="0" xfId="3" applyNumberFormat="1" applyFill="1" applyAlignment="1">
      <alignment horizontal="right" wrapText="1"/>
    </xf>
    <xf numFmtId="0" fontId="19" fillId="9" borderId="0" xfId="3" applyFill="1" applyAlignment="1">
      <alignment horizontal="right" wrapText="1"/>
    </xf>
    <xf numFmtId="0" fontId="19" fillId="9" borderId="18" xfId="3" applyFill="1" applyBorder="1" applyAlignment="1">
      <alignment horizontal="right" wrapText="1"/>
    </xf>
    <xf numFmtId="0" fontId="19" fillId="10" borderId="0" xfId="3" applyFill="1" applyAlignment="1">
      <alignment horizontal="right" wrapText="1"/>
    </xf>
    <xf numFmtId="0" fontId="19" fillId="10" borderId="18" xfId="3" applyFill="1" applyBorder="1" applyAlignment="1">
      <alignment horizontal="right" wrapText="1"/>
    </xf>
    <xf numFmtId="0" fontId="19" fillId="6" borderId="0" xfId="3" applyFill="1" applyAlignment="1">
      <alignment horizontal="right" wrapText="1"/>
    </xf>
    <xf numFmtId="0" fontId="19" fillId="6" borderId="18" xfId="3" applyFill="1" applyBorder="1" applyAlignment="1">
      <alignment horizontal="right" wrapText="1"/>
    </xf>
    <xf numFmtId="0" fontId="19" fillId="11" borderId="0" xfId="3" applyFill="1" applyAlignment="1">
      <alignment horizontal="right" wrapText="1"/>
    </xf>
    <xf numFmtId="0" fontId="19" fillId="11" borderId="18" xfId="3" applyFill="1" applyBorder="1" applyAlignment="1">
      <alignment horizontal="right" wrapText="1"/>
    </xf>
    <xf numFmtId="0" fontId="19" fillId="12" borderId="0" xfId="3" applyFill="1" applyAlignment="1">
      <alignment horizontal="center" wrapText="1"/>
    </xf>
    <xf numFmtId="0" fontId="19" fillId="12" borderId="19" xfId="3" applyFill="1" applyBorder="1" applyAlignment="1">
      <alignment horizontal="center" wrapText="1"/>
    </xf>
    <xf numFmtId="0" fontId="19" fillId="8" borderId="0" xfId="3" applyFill="1" applyAlignment="1">
      <alignment horizontal="center" wrapText="1"/>
    </xf>
    <xf numFmtId="0" fontId="19" fillId="8" borderId="18" xfId="3" applyFill="1" applyBorder="1" applyAlignment="1">
      <alignment horizontal="center" wrapText="1"/>
    </xf>
    <xf numFmtId="0" fontId="19" fillId="0" borderId="0" xfId="3"/>
    <xf numFmtId="0" fontId="18" fillId="2" borderId="6" xfId="3" applyFont="1" applyFill="1" applyBorder="1" applyProtection="1">
      <protection hidden="1"/>
    </xf>
    <xf numFmtId="0" fontId="10" fillId="2" borderId="7" xfId="3" applyFont="1" applyFill="1" applyBorder="1" applyProtection="1">
      <protection hidden="1"/>
    </xf>
    <xf numFmtId="0" fontId="10" fillId="2" borderId="8" xfId="3" applyFont="1" applyFill="1" applyBorder="1" applyProtection="1">
      <protection hidden="1"/>
    </xf>
    <xf numFmtId="0" fontId="10" fillId="2" borderId="4" xfId="3" applyFont="1" applyFill="1" applyBorder="1" applyProtection="1">
      <protection hidden="1"/>
    </xf>
    <xf numFmtId="0" fontId="10" fillId="2" borderId="0" xfId="3" applyFont="1" applyFill="1" applyProtection="1">
      <protection hidden="1"/>
    </xf>
    <xf numFmtId="3" fontId="9" fillId="3" borderId="0" xfId="3" applyNumberFormat="1" applyFont="1" applyFill="1" applyProtection="1">
      <protection locked="0"/>
    </xf>
    <xf numFmtId="0" fontId="10" fillId="2" borderId="5" xfId="3" applyFont="1" applyFill="1" applyBorder="1" applyProtection="1">
      <protection hidden="1"/>
    </xf>
    <xf numFmtId="0" fontId="19" fillId="0" borderId="4" xfId="3" applyBorder="1" applyProtection="1">
      <protection hidden="1"/>
    </xf>
    <xf numFmtId="0" fontId="19" fillId="0" borderId="0" xfId="3" applyProtection="1">
      <protection hidden="1"/>
    </xf>
    <xf numFmtId="2" fontId="19" fillId="0" borderId="0" xfId="3" applyNumberFormat="1" applyProtection="1">
      <protection hidden="1"/>
    </xf>
    <xf numFmtId="3" fontId="1" fillId="0" borderId="0" xfId="3" applyNumberFormat="1" applyFont="1" applyProtection="1">
      <protection hidden="1"/>
    </xf>
    <xf numFmtId="0" fontId="10" fillId="0" borderId="12" xfId="3" applyFont="1" applyBorder="1" applyProtection="1">
      <protection hidden="1"/>
    </xf>
    <xf numFmtId="3" fontId="9" fillId="0" borderId="12" xfId="3" applyNumberFormat="1" applyFont="1" applyBorder="1" applyProtection="1">
      <protection hidden="1"/>
    </xf>
    <xf numFmtId="0" fontId="19" fillId="0" borderId="0" xfId="3" applyAlignment="1" applyProtection="1">
      <alignment horizontal="center"/>
      <protection hidden="1"/>
    </xf>
    <xf numFmtId="0" fontId="19" fillId="0" borderId="5" xfId="3" applyBorder="1" applyAlignment="1" applyProtection="1">
      <alignment horizontal="center"/>
      <protection hidden="1"/>
    </xf>
    <xf numFmtId="0" fontId="19" fillId="0" borderId="1" xfId="3" applyBorder="1" applyProtection="1">
      <protection hidden="1"/>
    </xf>
    <xf numFmtId="0" fontId="19" fillId="0" borderId="2" xfId="3" applyBorder="1" applyProtection="1">
      <protection hidden="1"/>
    </xf>
    <xf numFmtId="2" fontId="19" fillId="0" borderId="2" xfId="3" applyNumberFormat="1" applyBorder="1" applyProtection="1">
      <protection hidden="1"/>
    </xf>
    <xf numFmtId="3" fontId="1" fillId="0" borderId="2" xfId="3" applyNumberFormat="1" applyFont="1" applyBorder="1" applyProtection="1">
      <protection hidden="1"/>
    </xf>
    <xf numFmtId="0" fontId="10" fillId="0" borderId="20" xfId="3" applyFont="1" applyBorder="1" applyProtection="1">
      <protection hidden="1"/>
    </xf>
    <xf numFmtId="3" fontId="9" fillId="0" borderId="20" xfId="3" applyNumberFormat="1" applyFont="1" applyBorder="1" applyProtection="1">
      <protection hidden="1"/>
    </xf>
    <xf numFmtId="0" fontId="19" fillId="0" borderId="2" xfId="3" applyBorder="1" applyAlignment="1" applyProtection="1">
      <alignment horizontal="center"/>
      <protection hidden="1"/>
    </xf>
    <xf numFmtId="0" fontId="19" fillId="0" borderId="3" xfId="3" applyBorder="1" applyAlignment="1" applyProtection="1">
      <alignment horizontal="center"/>
      <protection hidden="1"/>
    </xf>
    <xf numFmtId="49" fontId="12" fillId="23" borderId="15" xfId="0" applyNumberFormat="1" applyFont="1" applyFill="1" applyBorder="1" applyProtection="1">
      <protection hidden="1"/>
    </xf>
    <xf numFmtId="0" fontId="10" fillId="23" borderId="0" xfId="3" applyFont="1" applyFill="1" applyProtection="1">
      <protection hidden="1"/>
    </xf>
    <xf numFmtId="0" fontId="19" fillId="23" borderId="0" xfId="3" applyFill="1" applyProtection="1">
      <protection hidden="1"/>
    </xf>
    <xf numFmtId="0" fontId="9" fillId="23" borderId="0" xfId="3" applyFont="1" applyFill="1" applyProtection="1">
      <protection hidden="1"/>
    </xf>
    <xf numFmtId="0" fontId="25" fillId="0" borderId="17" xfId="0" applyFont="1" applyBorder="1"/>
    <xf numFmtId="14" fontId="25" fillId="0" borderId="17" xfId="0" applyNumberFormat="1" applyFont="1" applyBorder="1"/>
    <xf numFmtId="0" fontId="25" fillId="0" borderId="17" xfId="0" applyFont="1" applyBorder="1" applyAlignment="1">
      <alignment horizontal="left"/>
    </xf>
    <xf numFmtId="2" fontId="25" fillId="0" borderId="17" xfId="0" applyNumberFormat="1" applyFont="1" applyBorder="1"/>
    <xf numFmtId="2" fontId="26" fillId="0" borderId="17" xfId="0" applyNumberFormat="1" applyFont="1" applyBorder="1"/>
    <xf numFmtId="0" fontId="25" fillId="0" borderId="17" xfId="0" applyFont="1" applyBorder="1" applyAlignment="1">
      <alignment horizontal="right"/>
    </xf>
    <xf numFmtId="1" fontId="25" fillId="0" borderId="17" xfId="0" applyNumberFormat="1" applyFont="1" applyBorder="1"/>
    <xf numFmtId="0" fontId="25" fillId="0" borderId="17" xfId="0" applyFont="1" applyBorder="1" applyAlignment="1">
      <alignment horizontal="center"/>
    </xf>
    <xf numFmtId="0" fontId="24" fillId="0" borderId="17" xfId="1" applyBorder="1" applyAlignment="1" applyProtection="1"/>
    <xf numFmtId="0" fontId="24" fillId="0" borderId="0" xfId="1" applyBorder="1" applyAlignment="1" applyProtection="1"/>
    <xf numFmtId="38" fontId="25" fillId="0" borderId="17" xfId="0" applyNumberFormat="1" applyFont="1" applyBorder="1" applyAlignment="1">
      <alignment horizontal="center"/>
    </xf>
    <xf numFmtId="0" fontId="25" fillId="0" borderId="0" xfId="0" applyFont="1"/>
    <xf numFmtId="0" fontId="18" fillId="4" borderId="22" xfId="3" applyFont="1" applyFill="1" applyBorder="1" applyAlignment="1" applyProtection="1">
      <alignment wrapText="1"/>
      <protection hidden="1"/>
    </xf>
    <xf numFmtId="0" fontId="18" fillId="4" borderId="23" xfId="3" applyFont="1" applyFill="1" applyBorder="1" applyAlignment="1" applyProtection="1">
      <alignment wrapText="1"/>
      <protection hidden="1"/>
    </xf>
    <xf numFmtId="0" fontId="18" fillId="4" borderId="17" xfId="3" applyFont="1" applyFill="1" applyBorder="1" applyAlignment="1" applyProtection="1">
      <alignment wrapText="1"/>
      <protection hidden="1"/>
    </xf>
    <xf numFmtId="0" fontId="18" fillId="4" borderId="24" xfId="3" applyFont="1" applyFill="1" applyBorder="1" applyAlignment="1" applyProtection="1">
      <alignment wrapText="1"/>
      <protection hidden="1"/>
    </xf>
    <xf numFmtId="0" fontId="9" fillId="22" borderId="17" xfId="3" applyFont="1" applyFill="1" applyBorder="1" applyAlignment="1" applyProtection="1">
      <alignment horizontal="center" wrapText="1"/>
      <protection hidden="1"/>
    </xf>
    <xf numFmtId="0" fontId="10" fillId="22" borderId="17" xfId="3" applyFont="1" applyFill="1" applyBorder="1" applyAlignment="1" applyProtection="1">
      <alignment wrapText="1"/>
      <protection hidden="1"/>
    </xf>
    <xf numFmtId="0" fontId="9" fillId="4" borderId="17" xfId="3" applyFont="1" applyFill="1" applyBorder="1" applyAlignment="1" applyProtection="1">
      <alignment wrapText="1"/>
      <protection hidden="1"/>
    </xf>
    <xf numFmtId="0" fontId="10" fillId="4" borderId="17" xfId="3" applyFont="1" applyFill="1" applyBorder="1" applyAlignment="1" applyProtection="1">
      <alignment horizontal="center" wrapText="1"/>
      <protection hidden="1"/>
    </xf>
    <xf numFmtId="0" fontId="10" fillId="22" borderId="17" xfId="3" applyFont="1" applyFill="1" applyBorder="1" applyAlignment="1" applyProtection="1">
      <alignment horizontal="center" wrapText="1"/>
      <protection hidden="1"/>
    </xf>
    <xf numFmtId="0" fontId="9" fillId="4" borderId="17" xfId="3" applyFont="1" applyFill="1" applyBorder="1" applyAlignment="1" applyProtection="1">
      <alignment horizontal="center" wrapText="1"/>
      <protection hidden="1"/>
    </xf>
    <xf numFmtId="0" fontId="10" fillId="4" borderId="25" xfId="3" applyFont="1" applyFill="1" applyBorder="1" applyAlignment="1" applyProtection="1">
      <alignment horizontal="center" wrapText="1"/>
      <protection hidden="1"/>
    </xf>
    <xf numFmtId="3" fontId="19" fillId="0" borderId="0" xfId="3" applyNumberFormat="1" applyProtection="1">
      <protection hidden="1"/>
    </xf>
    <xf numFmtId="3" fontId="19" fillId="0" borderId="2" xfId="3" applyNumberFormat="1" applyBorder="1" applyProtection="1">
      <protection hidden="1"/>
    </xf>
    <xf numFmtId="3" fontId="10" fillId="0" borderId="0" xfId="3" applyNumberFormat="1" applyFont="1" applyProtection="1">
      <protection hidden="1"/>
    </xf>
    <xf numFmtId="3" fontId="10" fillId="0" borderId="21" xfId="3" applyNumberFormat="1" applyFont="1" applyBorder="1" applyProtection="1">
      <protection hidden="1"/>
    </xf>
    <xf numFmtId="3" fontId="10" fillId="0" borderId="2" xfId="3" applyNumberFormat="1" applyFont="1" applyBorder="1" applyProtection="1">
      <protection hidden="1"/>
    </xf>
    <xf numFmtId="0" fontId="18" fillId="4" borderId="22" xfId="0" applyFont="1" applyFill="1" applyBorder="1" applyAlignment="1" applyProtection="1">
      <alignment wrapText="1"/>
      <protection hidden="1"/>
    </xf>
    <xf numFmtId="0" fontId="18" fillId="4" borderId="23" xfId="0" applyFont="1" applyFill="1" applyBorder="1" applyAlignment="1" applyProtection="1">
      <alignment wrapText="1"/>
      <protection hidden="1"/>
    </xf>
    <xf numFmtId="0" fontId="18" fillId="4" borderId="17" xfId="0" applyFont="1" applyFill="1" applyBorder="1" applyAlignment="1" applyProtection="1">
      <alignment wrapText="1"/>
      <protection hidden="1"/>
    </xf>
    <xf numFmtId="0" fontId="18" fillId="4" borderId="24" xfId="0" applyFont="1" applyFill="1" applyBorder="1" applyAlignment="1" applyProtection="1">
      <alignment wrapText="1"/>
      <protection hidden="1"/>
    </xf>
    <xf numFmtId="0" fontId="9" fillId="4" borderId="17" xfId="0" applyFont="1" applyFill="1" applyBorder="1" applyAlignment="1" applyProtection="1">
      <alignment horizontal="center" wrapText="1"/>
      <protection hidden="1"/>
    </xf>
    <xf numFmtId="0" fontId="10" fillId="4" borderId="17" xfId="0" applyFont="1" applyFill="1" applyBorder="1" applyAlignment="1" applyProtection="1">
      <alignment wrapText="1"/>
      <protection hidden="1"/>
    </xf>
    <xf numFmtId="0" fontId="9" fillId="4" borderId="17" xfId="0" applyFont="1" applyFill="1" applyBorder="1" applyAlignment="1" applyProtection="1">
      <alignment wrapText="1"/>
      <protection hidden="1"/>
    </xf>
    <xf numFmtId="0" fontId="10" fillId="4" borderId="17" xfId="0" applyFont="1" applyFill="1" applyBorder="1" applyAlignment="1" applyProtection="1">
      <alignment horizontal="center" wrapText="1"/>
      <protection hidden="1"/>
    </xf>
    <xf numFmtId="0" fontId="10" fillId="4" borderId="25" xfId="0" applyFont="1" applyFill="1" applyBorder="1" applyAlignment="1" applyProtection="1">
      <alignment horizontal="center" wrapText="1"/>
      <protection hidden="1"/>
    </xf>
    <xf numFmtId="0" fontId="9" fillId="22" borderId="17" xfId="0" applyFont="1" applyFill="1" applyBorder="1" applyAlignment="1" applyProtection="1">
      <alignment horizontal="center" wrapText="1"/>
      <protection hidden="1"/>
    </xf>
    <xf numFmtId="0" fontId="10" fillId="22" borderId="17" xfId="0" applyFont="1" applyFill="1" applyBorder="1" applyAlignment="1" applyProtection="1">
      <alignment wrapText="1"/>
      <protection hidden="1"/>
    </xf>
    <xf numFmtId="2" fontId="0" fillId="0" borderId="17" xfId="0" applyNumberFormat="1" applyBorder="1"/>
    <xf numFmtId="38" fontId="0" fillId="0" borderId="17" xfId="0" applyNumberFormat="1" applyBorder="1"/>
    <xf numFmtId="3" fontId="10" fillId="0" borderId="26" xfId="3" applyNumberFormat="1" applyFont="1" applyBorder="1" applyProtection="1">
      <protection hidden="1"/>
    </xf>
    <xf numFmtId="0" fontId="0" fillId="24" borderId="0" xfId="0" applyFill="1"/>
    <xf numFmtId="49" fontId="12" fillId="24" borderId="15" xfId="0" applyNumberFormat="1" applyFont="1" applyFill="1" applyBorder="1" applyProtection="1">
      <protection hidden="1"/>
    </xf>
    <xf numFmtId="0" fontId="19" fillId="2" borderId="13" xfId="0" applyFont="1" applyFill="1" applyBorder="1"/>
    <xf numFmtId="0" fontId="0" fillId="25" borderId="0" xfId="0" applyFill="1"/>
    <xf numFmtId="0" fontId="27" fillId="25" borderId="0" xfId="0" applyFont="1" applyFill="1"/>
    <xf numFmtId="49" fontId="28" fillId="25" borderId="15" xfId="0" applyNumberFormat="1" applyFont="1" applyFill="1" applyBorder="1" applyProtection="1">
      <protection hidden="1"/>
    </xf>
    <xf numFmtId="14" fontId="25" fillId="0" borderId="17" xfId="0" applyNumberFormat="1" applyFont="1" applyBorder="1" applyAlignment="1">
      <alignment vertical="center"/>
    </xf>
    <xf numFmtId="14" fontId="25" fillId="0" borderId="17" xfId="0" applyNumberFormat="1" applyFont="1" applyBorder="1" applyAlignment="1">
      <alignment horizontal="right"/>
    </xf>
    <xf numFmtId="14" fontId="25" fillId="0" borderId="17" xfId="0" applyNumberFormat="1" applyFont="1" applyBorder="1" applyAlignment="1">
      <alignment horizontal="center"/>
    </xf>
    <xf numFmtId="0" fontId="27" fillId="26" borderId="0" xfId="0" applyFont="1" applyFill="1"/>
    <xf numFmtId="0" fontId="0" fillId="26" borderId="0" xfId="0" applyFill="1"/>
    <xf numFmtId="49" fontId="28" fillId="26" borderId="15" xfId="0" applyNumberFormat="1" applyFont="1" applyFill="1" applyBorder="1" applyProtection="1">
      <protection hidden="1"/>
    </xf>
    <xf numFmtId="14" fontId="25" fillId="17" borderId="17" xfId="0" applyNumberFormat="1" applyFont="1" applyFill="1" applyBorder="1" applyAlignment="1">
      <alignment vertical="center"/>
    </xf>
    <xf numFmtId="0" fontId="19" fillId="9" borderId="0" xfId="3" applyFill="1" applyAlignment="1">
      <alignment horizontal="left" wrapText="1"/>
    </xf>
    <xf numFmtId="1" fontId="25" fillId="0" borderId="17" xfId="0" applyNumberFormat="1" applyFont="1" applyFill="1" applyBorder="1"/>
  </cellXfs>
  <cellStyles count="4">
    <cellStyle name="Hyperlink" xfId="1" builtinId="8"/>
    <cellStyle name="Normal" xfId="0" builtinId="0"/>
    <cellStyle name="Normal 2" xfId="2" xr:uid="{5BEF50E7-A18F-2D48-B7F3-61281762D44D}"/>
    <cellStyle name="Normal 3" xfId="3" xr:uid="{F6FB6F7C-0A5C-254D-8073-21E97F7A605E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673100</xdr:colOff>
      <xdr:row>0</xdr:row>
      <xdr:rowOff>50800</xdr:rowOff>
    </xdr:from>
    <xdr:to>
      <xdr:col>12</xdr:col>
      <xdr:colOff>584200</xdr:colOff>
      <xdr:row>5</xdr:row>
      <xdr:rowOff>139700</xdr:rowOff>
    </xdr:to>
    <xdr:pic>
      <xdr:nvPicPr>
        <xdr:cNvPr id="2" name="Picture 1" descr="Alviss-Consulting-Logo-Inline Resized for w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42500" y="50800"/>
          <a:ext cx="1968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127000</xdr:rowOff>
    </xdr:from>
    <xdr:to>
      <xdr:col>9</xdr:col>
      <xdr:colOff>647700</xdr:colOff>
      <xdr:row>5</xdr:row>
      <xdr:rowOff>48573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0" y="127000"/>
          <a:ext cx="4864100" cy="785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www.energymadeeasy.gov.au/offer/1109000?utm_source=EnergyAustralia&amp;utm_campaign=bpi-retailer&amp;utm_medium=retailer&amp;postcode=2603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85890?postcode=2603&amp;fuelType=G&amp;customerType=M&amp;gasHeater=Y&amp;distributor-G=3&amp;provider-G=notSure&amp;gasUsage=N" TargetMode="External"/><Relationship Id="rId2" Type="http://schemas.openxmlformats.org/officeDocument/2006/relationships/hyperlink" Target="https://www.energymadeeasy.gov.au/offer/991273?postcode=2603&amp;fuelType=G&amp;customerType=M&amp;gasHeater=N&amp;distributor-G=3&amp;provider-G=notSure&amp;gasUsage=N" TargetMode="External"/><Relationship Id="rId1" Type="http://schemas.openxmlformats.org/officeDocument/2006/relationships/hyperlink" Target="https://www.energymadeeasy.gov.au/offer/927633?utm_source=ActewAGL&amp;utm_campaign=bpi-retailer&amp;utm_medium=retailer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155"/>
  <sheetViews>
    <sheetView workbookViewId="0">
      <selection activeCell="D11" sqref="D11"/>
    </sheetView>
  </sheetViews>
  <sheetFormatPr baseColWidth="10" defaultRowHeight="13" x14ac:dyDescent="0.15"/>
  <cols>
    <col min="6" max="6" width="17" customWidth="1"/>
    <col min="7" max="7" width="12.5" customWidth="1"/>
    <col min="8" max="8" width="15" customWidth="1"/>
    <col min="10" max="10" width="11.83203125" customWidth="1"/>
    <col min="11" max="11" width="12.6640625" customWidth="1"/>
    <col min="12" max="12" width="14.33203125" customWidth="1"/>
    <col min="13" max="13" width="12.33203125" customWidth="1"/>
    <col min="14" max="14" width="15.33203125" customWidth="1"/>
    <col min="15" max="15" width="24.5" customWidth="1"/>
    <col min="16" max="16" width="19.1640625" customWidth="1"/>
    <col min="17" max="17" width="12.6640625" customWidth="1"/>
    <col min="18" max="18" width="14" customWidth="1"/>
    <col min="19" max="19" width="12.83203125" customWidth="1"/>
  </cols>
  <sheetData>
    <row r="1" spans="1:25" ht="14" x14ac:dyDescent="0.15">
      <c r="A1" s="1" t="s">
        <v>30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4" x14ac:dyDescent="0.15">
      <c r="A2" s="1" t="s">
        <v>26</v>
      </c>
      <c r="B2" s="2"/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4" x14ac:dyDescent="0.15">
      <c r="A3" s="4" t="s">
        <v>204</v>
      </c>
      <c r="B3" s="5"/>
      <c r="C3" s="5"/>
      <c r="D3" s="5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15">
      <c r="A4" s="2"/>
      <c r="B4" s="2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4" x14ac:dyDescent="0.15">
      <c r="A6" s="6" t="s">
        <v>45</v>
      </c>
      <c r="B6" s="7"/>
      <c r="C6" s="7"/>
      <c r="D6" s="7"/>
      <c r="E6" s="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4" x14ac:dyDescent="0.15">
      <c r="A7" s="7" t="s">
        <v>24</v>
      </c>
      <c r="B7" s="7"/>
      <c r="C7" s="7"/>
      <c r="D7" s="7"/>
      <c r="E7" s="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5" thickBot="1" x14ac:dyDescent="0.2">
      <c r="A8" s="7" t="s">
        <v>27</v>
      </c>
      <c r="B8" s="7"/>
      <c r="C8" s="7"/>
      <c r="D8" s="7"/>
      <c r="E8" s="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4" x14ac:dyDescent="0.15">
      <c r="A9" s="7" t="s">
        <v>76</v>
      </c>
      <c r="B9" s="7"/>
      <c r="C9" s="7"/>
      <c r="D9" s="7"/>
      <c r="E9" s="7"/>
      <c r="F9" s="3"/>
      <c r="G9" s="3"/>
      <c r="H9" s="3"/>
      <c r="I9" s="3"/>
      <c r="J9" s="8" t="s">
        <v>48</v>
      </c>
      <c r="K9" s="9"/>
      <c r="L9" s="9"/>
      <c r="M9" s="9"/>
      <c r="N9" s="9"/>
      <c r="O9" s="10"/>
      <c r="P9" s="11"/>
      <c r="Q9" s="3"/>
      <c r="R9" s="3"/>
      <c r="S9" s="3"/>
      <c r="T9" s="3"/>
      <c r="U9" s="3"/>
      <c r="V9" s="3"/>
      <c r="W9" s="3"/>
      <c r="X9" s="3"/>
      <c r="Y9" s="3"/>
    </row>
    <row r="10" spans="1:25" ht="14" x14ac:dyDescent="0.15">
      <c r="A10" s="7" t="s">
        <v>47</v>
      </c>
      <c r="B10" s="7"/>
      <c r="C10" s="7"/>
      <c r="D10" s="7"/>
      <c r="E10" s="7"/>
      <c r="F10" s="3"/>
      <c r="G10" s="3"/>
      <c r="H10" s="3"/>
      <c r="I10" s="3"/>
      <c r="J10" s="12" t="s">
        <v>98</v>
      </c>
      <c r="K10" s="11"/>
      <c r="L10" s="11"/>
      <c r="M10" s="11"/>
      <c r="N10" s="11"/>
      <c r="O10" s="13"/>
      <c r="P10" s="11"/>
      <c r="Q10" s="3"/>
      <c r="R10" s="3"/>
      <c r="S10" s="3"/>
      <c r="T10" s="3"/>
      <c r="U10" s="3"/>
      <c r="V10" s="3"/>
      <c r="W10" s="3"/>
      <c r="X10" s="3"/>
      <c r="Y10" s="3"/>
    </row>
    <row r="11" spans="1:25" ht="14" x14ac:dyDescent="0.15">
      <c r="A11" s="7"/>
      <c r="B11" s="7"/>
      <c r="C11" s="7"/>
      <c r="D11" s="7"/>
      <c r="E11" s="7"/>
      <c r="F11" s="3"/>
      <c r="G11" s="3"/>
      <c r="H11" s="3"/>
      <c r="I11" s="3"/>
      <c r="J11" s="12" t="s">
        <v>29</v>
      </c>
      <c r="K11" s="11"/>
      <c r="L11" s="11"/>
      <c r="M11" s="11"/>
      <c r="N11" s="11"/>
      <c r="O11" s="13"/>
      <c r="P11" s="11"/>
      <c r="Q11" s="3"/>
      <c r="R11" s="3"/>
      <c r="S11" s="3"/>
      <c r="T11" s="3"/>
      <c r="U11" s="3"/>
      <c r="V11" s="3"/>
      <c r="W11" s="3"/>
      <c r="X11" s="3"/>
      <c r="Y11" s="3"/>
    </row>
    <row r="12" spans="1:25" ht="14" x14ac:dyDescent="0.15">
      <c r="A12" s="62" t="s">
        <v>40</v>
      </c>
      <c r="B12" s="7"/>
      <c r="C12" s="7"/>
      <c r="D12" s="7"/>
      <c r="E12" s="7"/>
      <c r="F12" s="3"/>
      <c r="G12" s="3"/>
      <c r="H12" s="3"/>
      <c r="I12" s="3"/>
      <c r="J12" s="12" t="s">
        <v>25</v>
      </c>
      <c r="K12" s="11"/>
      <c r="L12" s="11"/>
      <c r="M12" s="11"/>
      <c r="N12" s="11"/>
      <c r="O12" s="13"/>
      <c r="P12" s="11"/>
      <c r="Q12" s="3"/>
      <c r="R12" s="3"/>
      <c r="S12" s="3"/>
      <c r="T12" s="3"/>
      <c r="U12" s="3"/>
      <c r="V12" s="3"/>
      <c r="W12" s="3"/>
      <c r="X12" s="3"/>
      <c r="Y12" s="3"/>
    </row>
    <row r="13" spans="1:25" ht="15" thickBot="1" x14ac:dyDescent="0.2">
      <c r="A13" s="63" t="s">
        <v>135</v>
      </c>
      <c r="B13" s="7"/>
      <c r="C13" s="7"/>
      <c r="D13" s="7"/>
      <c r="E13" s="7"/>
      <c r="F13" s="3"/>
      <c r="G13" s="3"/>
      <c r="H13" s="3"/>
      <c r="I13" s="3"/>
      <c r="J13" s="14" t="s">
        <v>142</v>
      </c>
      <c r="K13" s="15"/>
      <c r="L13" s="15"/>
      <c r="M13" s="15"/>
      <c r="N13" s="15"/>
      <c r="O13" s="16"/>
      <c r="P13" s="11"/>
      <c r="Q13" s="3"/>
      <c r="R13" s="3"/>
      <c r="S13" s="3"/>
      <c r="T13" s="3"/>
      <c r="U13" s="3"/>
      <c r="V13" s="3"/>
      <c r="W13" s="3"/>
      <c r="X13" s="3"/>
      <c r="Y13" s="3"/>
    </row>
    <row r="14" spans="1:25" ht="14" x14ac:dyDescent="0.15">
      <c r="A14" s="52"/>
      <c r="B14" s="7"/>
      <c r="C14" s="7"/>
      <c r="D14" s="7"/>
      <c r="E14" s="7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5" thickBot="1" x14ac:dyDescent="0.2">
      <c r="A15" s="62" t="s">
        <v>143</v>
      </c>
      <c r="B15" s="52"/>
      <c r="C15" s="52"/>
      <c r="D15" s="52"/>
      <c r="E15" s="52"/>
      <c r="F15" s="63"/>
      <c r="G15" s="3"/>
      <c r="H15" s="60" t="s">
        <v>50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4" x14ac:dyDescent="0.15">
      <c r="A16" s="52" t="s">
        <v>296</v>
      </c>
      <c r="B16" s="52"/>
      <c r="C16" s="52"/>
      <c r="D16" s="52"/>
      <c r="E16" s="52"/>
      <c r="F16" s="63"/>
      <c r="G16" s="3"/>
      <c r="H16" s="51" t="s">
        <v>34</v>
      </c>
      <c r="I16" s="3"/>
      <c r="J16" s="8" t="s">
        <v>144</v>
      </c>
      <c r="K16" s="9"/>
      <c r="L16" s="9"/>
      <c r="M16" s="9"/>
      <c r="N16" s="17"/>
      <c r="O16" s="17"/>
      <c r="P16" s="18"/>
      <c r="Q16" s="3"/>
      <c r="R16" s="3"/>
      <c r="S16" s="3"/>
      <c r="T16" s="3"/>
      <c r="U16" s="3"/>
      <c r="V16" s="3"/>
      <c r="W16" s="3"/>
      <c r="X16" s="3"/>
      <c r="Y16" s="3"/>
    </row>
    <row r="17" spans="1:25" ht="14" x14ac:dyDescent="0.15">
      <c r="A17" s="52" t="s">
        <v>297</v>
      </c>
      <c r="B17" s="52"/>
      <c r="C17" s="52"/>
      <c r="D17" s="52"/>
      <c r="E17" s="52"/>
      <c r="F17" s="63"/>
      <c r="G17" s="3"/>
      <c r="H17" s="51" t="s">
        <v>35</v>
      </c>
      <c r="I17" s="3"/>
      <c r="J17" s="12" t="s">
        <v>3</v>
      </c>
      <c r="K17" s="11"/>
      <c r="L17" s="11"/>
      <c r="M17" s="11"/>
      <c r="N17" s="11"/>
      <c r="O17" s="11"/>
      <c r="P17" s="13"/>
      <c r="Q17" s="3"/>
      <c r="R17" s="3"/>
      <c r="T17" s="3"/>
      <c r="U17" s="3"/>
      <c r="V17" s="3"/>
      <c r="W17" s="3"/>
      <c r="X17" s="3"/>
      <c r="Y17" s="3"/>
    </row>
    <row r="18" spans="1:25" ht="14" x14ac:dyDescent="0.15">
      <c r="A18" s="52" t="s">
        <v>298</v>
      </c>
      <c r="B18" s="52"/>
      <c r="C18" s="52"/>
      <c r="D18" s="52"/>
      <c r="E18" s="52"/>
      <c r="F18" s="63"/>
      <c r="G18" s="3"/>
      <c r="H18" s="51" t="s">
        <v>31</v>
      </c>
      <c r="I18" s="3"/>
      <c r="J18" s="12" t="s">
        <v>65</v>
      </c>
      <c r="K18" s="11"/>
      <c r="L18" s="11"/>
      <c r="M18" s="11"/>
      <c r="N18" s="11"/>
      <c r="O18" s="11"/>
      <c r="P18" s="13"/>
      <c r="Q18" s="3"/>
      <c r="R18" s="3"/>
      <c r="S18" s="3"/>
      <c r="T18" s="3"/>
      <c r="U18" s="3"/>
      <c r="V18" s="3"/>
      <c r="W18" s="3"/>
      <c r="X18" s="3"/>
      <c r="Y18" s="3"/>
    </row>
    <row r="19" spans="1:25" ht="14" x14ac:dyDescent="0.15">
      <c r="A19" s="52" t="s">
        <v>299</v>
      </c>
      <c r="B19" s="52"/>
      <c r="C19" s="52"/>
      <c r="D19" s="52"/>
      <c r="E19" s="52"/>
      <c r="F19" s="63"/>
      <c r="G19" s="3"/>
      <c r="H19" s="248" t="s">
        <v>272</v>
      </c>
      <c r="I19" s="3"/>
      <c r="J19" s="12" t="s">
        <v>51</v>
      </c>
      <c r="K19" s="11"/>
      <c r="L19" s="11"/>
      <c r="M19" s="11"/>
      <c r="N19" s="11"/>
      <c r="O19" s="11"/>
      <c r="P19" s="13"/>
      <c r="Q19" s="3"/>
      <c r="R19" s="3"/>
      <c r="S19" s="3"/>
      <c r="T19" s="3"/>
      <c r="U19" s="3"/>
      <c r="V19" s="3"/>
      <c r="W19" s="3"/>
      <c r="X19" s="3"/>
      <c r="Y19" s="3"/>
    </row>
    <row r="20" spans="1:25" ht="14" x14ac:dyDescent="0.15">
      <c r="A20" s="52" t="s">
        <v>300</v>
      </c>
      <c r="B20" s="52"/>
      <c r="C20" s="52"/>
      <c r="D20" s="52"/>
      <c r="E20" s="52"/>
      <c r="F20" s="63"/>
      <c r="G20" s="3"/>
      <c r="H20" s="3"/>
      <c r="I20" s="3"/>
      <c r="J20" s="12" t="s">
        <v>44</v>
      </c>
      <c r="K20" s="11"/>
      <c r="L20" s="11"/>
      <c r="M20" s="11"/>
      <c r="N20" s="3"/>
      <c r="O20" s="3"/>
      <c r="P20" s="19"/>
      <c r="Q20" s="3"/>
      <c r="R20" s="3"/>
      <c r="S20" s="3"/>
      <c r="T20" s="3"/>
      <c r="U20" s="3"/>
      <c r="V20" s="3"/>
      <c r="W20" s="3"/>
      <c r="X20" s="3"/>
      <c r="Y20" s="3"/>
    </row>
    <row r="21" spans="1:25" ht="15" thickBot="1" x14ac:dyDescent="0.2">
      <c r="A21" s="52" t="s">
        <v>301</v>
      </c>
      <c r="B21" s="52"/>
      <c r="C21" s="52"/>
      <c r="D21" s="52"/>
      <c r="E21" s="52"/>
      <c r="F21" s="63"/>
      <c r="G21" s="3"/>
      <c r="H21" s="3"/>
      <c r="I21" s="3"/>
      <c r="J21" s="12" t="s">
        <v>100</v>
      </c>
      <c r="K21" s="11"/>
      <c r="L21" s="11"/>
      <c r="M21" s="11"/>
      <c r="N21" s="3"/>
      <c r="O21" s="3"/>
      <c r="P21" s="19"/>
      <c r="Q21" s="3"/>
      <c r="R21" s="3"/>
      <c r="S21" s="3"/>
      <c r="T21" s="3"/>
      <c r="U21" s="3"/>
      <c r="V21" s="3"/>
      <c r="W21" s="3"/>
      <c r="X21" s="3"/>
      <c r="Y21" s="3"/>
    </row>
    <row r="22" spans="1:25" ht="14" x14ac:dyDescent="0.15">
      <c r="A22" s="52" t="s">
        <v>276</v>
      </c>
      <c r="B22" s="52"/>
      <c r="C22" s="52"/>
      <c r="D22" s="52"/>
      <c r="E22" s="52"/>
      <c r="F22" s="63"/>
      <c r="G22" s="3"/>
      <c r="H22" s="53" t="s">
        <v>36</v>
      </c>
      <c r="I22" s="3"/>
      <c r="J22" s="12" t="s">
        <v>0</v>
      </c>
      <c r="K22" s="11"/>
      <c r="L22" s="11"/>
      <c r="M22" s="11"/>
      <c r="N22" s="3"/>
      <c r="O22" s="3"/>
      <c r="P22" s="19"/>
      <c r="Q22" s="3"/>
      <c r="R22" s="3"/>
      <c r="S22" s="3"/>
      <c r="T22" s="3"/>
      <c r="U22" s="3"/>
      <c r="V22" s="3"/>
      <c r="W22" s="3"/>
      <c r="X22" s="3"/>
      <c r="Y22" s="3"/>
    </row>
    <row r="23" spans="1:25" ht="14" x14ac:dyDescent="0.15">
      <c r="A23" s="52" t="s">
        <v>277</v>
      </c>
      <c r="B23" s="52"/>
      <c r="C23" s="52"/>
      <c r="D23" s="52"/>
      <c r="E23" s="52"/>
      <c r="F23" s="63"/>
      <c r="G23" s="3"/>
      <c r="H23" s="257" t="s">
        <v>294</v>
      </c>
      <c r="I23" s="3"/>
      <c r="J23" s="12" t="s">
        <v>13</v>
      </c>
      <c r="K23" s="11"/>
      <c r="L23" s="11"/>
      <c r="M23" s="11"/>
      <c r="P23" s="20"/>
      <c r="Q23" s="3"/>
      <c r="R23" s="3"/>
      <c r="S23" s="3"/>
      <c r="T23" s="3"/>
      <c r="U23" s="3"/>
      <c r="V23" s="3"/>
      <c r="W23" s="3"/>
      <c r="X23" s="3"/>
      <c r="Y23" s="3"/>
    </row>
    <row r="24" spans="1:25" ht="15" thickBot="1" x14ac:dyDescent="0.2">
      <c r="A24" s="52" t="s">
        <v>278</v>
      </c>
      <c r="B24" s="63"/>
      <c r="C24" s="63"/>
      <c r="D24" s="63"/>
      <c r="E24" s="63"/>
      <c r="F24" s="63"/>
      <c r="H24" s="251" t="s">
        <v>283</v>
      </c>
      <c r="I24" s="3"/>
      <c r="J24" s="14" t="s">
        <v>59</v>
      </c>
      <c r="K24" s="15"/>
      <c r="L24" s="15"/>
      <c r="M24" s="15"/>
      <c r="N24" s="21"/>
      <c r="O24" s="21"/>
      <c r="P24" s="22"/>
      <c r="Q24" s="3"/>
      <c r="R24" s="3"/>
      <c r="S24" s="3"/>
      <c r="T24" s="3"/>
      <c r="U24" s="3"/>
      <c r="V24" s="3"/>
      <c r="W24" s="3"/>
      <c r="X24" s="3"/>
      <c r="Y24" s="3"/>
    </row>
    <row r="25" spans="1:25" ht="14" x14ac:dyDescent="0.15">
      <c r="A25" s="52" t="s">
        <v>279</v>
      </c>
      <c r="B25" s="7"/>
      <c r="C25" s="7"/>
      <c r="D25" s="7"/>
      <c r="E25" s="7"/>
      <c r="F25" s="3"/>
      <c r="G25" s="3"/>
      <c r="H25" s="247" t="s">
        <v>275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4" x14ac:dyDescent="0.15">
      <c r="A26" s="52" t="s">
        <v>215</v>
      </c>
      <c r="B26" s="3"/>
      <c r="C26" s="3"/>
      <c r="D26" s="3"/>
      <c r="E26" s="3"/>
      <c r="F26" s="3"/>
      <c r="G26" s="3"/>
      <c r="H26" s="200" t="s">
        <v>256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4" x14ac:dyDescent="0.15">
      <c r="A27" s="52" t="s">
        <v>216</v>
      </c>
      <c r="B27" s="3"/>
      <c r="C27" s="3"/>
      <c r="D27" s="3"/>
      <c r="E27" s="3"/>
      <c r="F27" s="3"/>
      <c r="G27" s="3"/>
      <c r="H27" s="136" t="s">
        <v>214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4" x14ac:dyDescent="0.15">
      <c r="A28" s="52" t="s">
        <v>280</v>
      </c>
      <c r="B28" s="3"/>
      <c r="C28" s="3"/>
      <c r="D28" s="3"/>
      <c r="E28" s="3"/>
      <c r="F28" s="3"/>
      <c r="G28" s="3"/>
      <c r="H28" s="126" t="s">
        <v>209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4" x14ac:dyDescent="0.15">
      <c r="A29" s="52" t="s">
        <v>281</v>
      </c>
      <c r="B29" s="3"/>
      <c r="C29" s="3"/>
      <c r="D29" s="3"/>
      <c r="E29" s="3"/>
      <c r="F29" s="3"/>
      <c r="G29" s="3"/>
      <c r="H29" s="122" t="s">
        <v>207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4" x14ac:dyDescent="0.15">
      <c r="A30" s="52" t="s">
        <v>282</v>
      </c>
      <c r="B30" s="3"/>
      <c r="C30" s="3"/>
      <c r="D30" s="3"/>
      <c r="E30" s="3"/>
      <c r="F30" s="3"/>
      <c r="G30" s="3"/>
      <c r="H30" s="96" t="s">
        <v>28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4" x14ac:dyDescent="0.15">
      <c r="A31" s="52" t="s">
        <v>284</v>
      </c>
      <c r="B31" s="6"/>
      <c r="C31" s="6"/>
      <c r="D31" s="6"/>
      <c r="E31" s="6"/>
      <c r="F31" s="6"/>
      <c r="G31" s="3"/>
      <c r="H31" s="61" t="s">
        <v>37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4" x14ac:dyDescent="0.15">
      <c r="A32" s="52" t="s">
        <v>302</v>
      </c>
      <c r="B32" s="6"/>
      <c r="C32" s="6"/>
      <c r="D32" s="6"/>
      <c r="E32" s="6"/>
      <c r="F32" s="6"/>
      <c r="H32" s="54" t="s">
        <v>38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5" thickBot="1" x14ac:dyDescent="0.2">
      <c r="A33" s="52" t="s">
        <v>208</v>
      </c>
      <c r="B33" s="7"/>
      <c r="C33" s="7"/>
      <c r="D33" s="7"/>
      <c r="E33" s="7"/>
      <c r="F33" s="3"/>
      <c r="G33" s="3"/>
      <c r="H33" s="55" t="s">
        <v>39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4" x14ac:dyDescent="0.15">
      <c r="A34" s="6"/>
      <c r="B34" s="7"/>
      <c r="C34" s="7"/>
      <c r="D34" s="7"/>
      <c r="E34" s="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4" x14ac:dyDescent="0.15">
      <c r="A35" s="6" t="s">
        <v>1</v>
      </c>
      <c r="B35" s="7"/>
      <c r="C35" s="7"/>
      <c r="D35" s="7"/>
      <c r="E35" s="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4" x14ac:dyDescent="0.15">
      <c r="A36" s="7" t="s">
        <v>295</v>
      </c>
      <c r="B36" s="7"/>
      <c r="C36" s="7"/>
      <c r="D36" s="7"/>
      <c r="E36" s="7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4" x14ac:dyDescent="0.15">
      <c r="A37" s="7" t="s">
        <v>99</v>
      </c>
      <c r="B37" s="7"/>
      <c r="C37" s="7"/>
      <c r="D37" s="7"/>
      <c r="E37" s="7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4" x14ac:dyDescent="0.15">
      <c r="A38" s="7"/>
      <c r="B38" s="7"/>
      <c r="C38" s="7"/>
      <c r="D38" s="7"/>
      <c r="E38" s="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4" x14ac:dyDescent="0.15">
      <c r="A39" s="7" t="s">
        <v>205</v>
      </c>
      <c r="B39" s="7"/>
      <c r="C39" s="7"/>
      <c r="D39" s="7"/>
      <c r="E39" s="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4" x14ac:dyDescent="0.15">
      <c r="A40" s="7" t="s">
        <v>77</v>
      </c>
      <c r="B40" s="3"/>
      <c r="C40" s="3"/>
      <c r="D40" s="3"/>
      <c r="E40" s="3"/>
      <c r="F40" s="3"/>
      <c r="G40" s="2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4" x14ac:dyDescent="0.15">
      <c r="A42" s="7" t="s">
        <v>206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4" x14ac:dyDescent="0.15">
      <c r="A43" s="7" t="s">
        <v>49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4" x14ac:dyDescent="0.15">
      <c r="A44" s="7" t="s">
        <v>78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x14ac:dyDescent="0.15">
      <c r="A155" s="3"/>
      <c r="B155" s="3"/>
      <c r="C155" s="3"/>
      <c r="D155" s="3"/>
      <c r="E155" s="3"/>
      <c r="F155" s="3"/>
      <c r="G155" s="3"/>
    </row>
  </sheetData>
  <sheetProtection algorithmName="SHA-512" hashValue="tsj5/aLe4TAlLv7tG2hpCK3EvDUE0oUImZy1QFXJd31oXMYJ9m716WwnmPnivAr205DkhxCfwT88C2mhM6ZtYA==" saltValue="MNC9tK6NeuiNRm/aG0Zlhw==" spinCount="100000" sheet="1" objects="1" scenarios="1"/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E23"/>
  <sheetViews>
    <sheetView zoomScale="150" workbookViewId="0">
      <selection activeCell="B20" sqref="B20"/>
    </sheetView>
  </sheetViews>
  <sheetFormatPr baseColWidth="10" defaultRowHeight="13" x14ac:dyDescent="0.15"/>
  <cols>
    <col min="1" max="1" width="21.33203125" style="34" customWidth="1"/>
    <col min="2" max="2" width="24" style="34" customWidth="1"/>
    <col min="3" max="3" width="21.1640625" style="34" customWidth="1"/>
    <col min="4" max="4" width="21.83203125" style="34" customWidth="1"/>
    <col min="5" max="5" width="20.1640625" style="34" customWidth="1"/>
    <col min="6" max="16384" width="10.83203125" style="34"/>
  </cols>
  <sheetData>
    <row r="1" spans="1:5" x14ac:dyDescent="0.15">
      <c r="A1" s="47" t="s">
        <v>123</v>
      </c>
    </row>
    <row r="2" spans="1:5" x14ac:dyDescent="0.15">
      <c r="A2" s="64"/>
      <c r="B2" s="64"/>
      <c r="C2" s="64"/>
      <c r="D2" s="64"/>
      <c r="E2" s="64"/>
    </row>
    <row r="3" spans="1:5" x14ac:dyDescent="0.15">
      <c r="A3" s="36" t="s">
        <v>22</v>
      </c>
    </row>
    <row r="5" spans="1:5" x14ac:dyDescent="0.15">
      <c r="A5" s="37" t="s">
        <v>8</v>
      </c>
      <c r="B5" s="37" t="s">
        <v>258</v>
      </c>
      <c r="C5" s="38">
        <v>12000</v>
      </c>
    </row>
    <row r="7" spans="1:5" x14ac:dyDescent="0.15">
      <c r="A7" s="37" t="s">
        <v>139</v>
      </c>
    </row>
    <row r="8" spans="1:5" x14ac:dyDescent="0.15">
      <c r="B8" s="48" t="s">
        <v>63</v>
      </c>
      <c r="C8" s="48" t="s">
        <v>64</v>
      </c>
      <c r="D8" s="48" t="s">
        <v>31</v>
      </c>
    </row>
    <row r="9" spans="1:5" x14ac:dyDescent="0.15">
      <c r="A9" s="34" t="s">
        <v>140</v>
      </c>
      <c r="B9" s="49">
        <f>IF($C5&gt;'Tariffs 2015'!E7,'Tariffs 2015'!E7*'Tariffs 2015'!E8/100*1.1,$C5*'Tariffs 2015'!E8/100*1.1)</f>
        <v>115.35656</v>
      </c>
      <c r="C9" s="49">
        <f>IF($C5&gt;'Tariffs 2015'!F7,'Tariffs 2015'!F7*'Tariffs 2015'!F8/100*1.1,$C5*'Tariffs 2015'!F8/100*1.1)</f>
        <v>117.83730200000001</v>
      </c>
      <c r="D9" s="49">
        <f>IF($C5&gt;'Tariffs 2015'!G7,'Tariffs 2015'!G7*'Tariffs 2015'!G8/100*1.1,$C5*'Tariffs 2015'!G8/100*1.1)</f>
        <v>115.35656</v>
      </c>
    </row>
    <row r="10" spans="1:5" x14ac:dyDescent="0.15">
      <c r="A10" s="34" t="s">
        <v>73</v>
      </c>
      <c r="B10" s="49">
        <f>IF(($C5&lt;'Tariffs 2015'!E7),(0),($C5-'Tariffs 2015'!E7)*'Tariffs 2015'!E9/100*1.1)</f>
        <v>236.50858000000005</v>
      </c>
      <c r="C10" s="49">
        <f>IF(($C5&lt;'Tariffs 2015'!F7),(0),($C5-'Tariffs 2015'!F7)*'Tariffs 2015'!F9/100*1.1)</f>
        <v>234.77315400000001</v>
      </c>
      <c r="D10" s="49">
        <f>IF(($C5&lt;'Tariffs 2015'!G7),(0),($C5-'Tariffs 2015'!G7)*'Tariffs 2015'!G9/100*1.1)</f>
        <v>236.50858000000005</v>
      </c>
    </row>
    <row r="11" spans="1:5" x14ac:dyDescent="0.15">
      <c r="A11" s="34" t="s">
        <v>74</v>
      </c>
      <c r="B11" s="49">
        <f>'Tariffs 2015'!E10*91/100*1.1</f>
        <v>69.879810000000006</v>
      </c>
      <c r="C11" s="49">
        <f>'Tariffs 2015'!F10*91/100*1.1</f>
        <v>66.726659999999995</v>
      </c>
      <c r="D11" s="49">
        <f>'Tariffs 2015'!G10*91/100*1.1</f>
        <v>69.879810000000006</v>
      </c>
    </row>
    <row r="12" spans="1:5" x14ac:dyDescent="0.15">
      <c r="A12" s="34" t="s">
        <v>14</v>
      </c>
      <c r="B12" s="49">
        <f>B9+B10+B11</f>
        <v>421.74495000000007</v>
      </c>
      <c r="C12" s="49">
        <f>C9+C10+C11</f>
        <v>419.33711599999998</v>
      </c>
      <c r="D12" s="49">
        <f>D9+D10+D11</f>
        <v>421.74495000000007</v>
      </c>
    </row>
    <row r="13" spans="1:5" x14ac:dyDescent="0.15">
      <c r="A13" s="39" t="s">
        <v>125</v>
      </c>
      <c r="B13" s="50">
        <f>B12*4</f>
        <v>1686.9798000000003</v>
      </c>
      <c r="C13" s="50">
        <f>C12*4</f>
        <v>1677.3484639999999</v>
      </c>
      <c r="D13" s="50">
        <f>D12*4</f>
        <v>1686.9798000000003</v>
      </c>
    </row>
    <row r="15" spans="1:5" x14ac:dyDescent="0.15">
      <c r="A15" s="39"/>
      <c r="B15" s="40"/>
      <c r="C15" s="40"/>
      <c r="D15" s="40"/>
    </row>
    <row r="16" spans="1:5" x14ac:dyDescent="0.15">
      <c r="A16" s="37" t="s">
        <v>9</v>
      </c>
      <c r="B16" s="48" t="s">
        <v>43</v>
      </c>
      <c r="C16" s="48" t="s">
        <v>64</v>
      </c>
      <c r="D16" s="48" t="s">
        <v>31</v>
      </c>
    </row>
    <row r="17" spans="1:5" x14ac:dyDescent="0.15">
      <c r="A17" s="34" t="s">
        <v>10</v>
      </c>
      <c r="B17" s="41" t="s">
        <v>69</v>
      </c>
      <c r="C17" s="41" t="s">
        <v>33</v>
      </c>
      <c r="D17" s="41" t="s">
        <v>33</v>
      </c>
    </row>
    <row r="18" spans="1:5" x14ac:dyDescent="0.15">
      <c r="A18" s="34" t="s">
        <v>12</v>
      </c>
      <c r="B18" s="34" t="s">
        <v>69</v>
      </c>
      <c r="C18" s="34" t="s">
        <v>32</v>
      </c>
      <c r="D18" s="34" t="s">
        <v>32</v>
      </c>
    </row>
    <row r="19" spans="1:5" x14ac:dyDescent="0.15">
      <c r="A19" s="34" t="s">
        <v>67</v>
      </c>
      <c r="B19" s="42" t="s">
        <v>69</v>
      </c>
      <c r="C19" s="42" t="s">
        <v>33</v>
      </c>
      <c r="D19" s="42" t="s">
        <v>69</v>
      </c>
    </row>
    <row r="20" spans="1:5" x14ac:dyDescent="0.15">
      <c r="A20" s="34" t="s">
        <v>68</v>
      </c>
      <c r="B20" s="34" t="s">
        <v>69</v>
      </c>
      <c r="C20" s="34" t="s">
        <v>4</v>
      </c>
      <c r="D20" s="34" t="s">
        <v>4</v>
      </c>
    </row>
    <row r="21" spans="1:5" x14ac:dyDescent="0.15">
      <c r="A21" s="34" t="s">
        <v>71</v>
      </c>
      <c r="B21" s="42">
        <v>15</v>
      </c>
      <c r="C21" s="42" t="s">
        <v>69</v>
      </c>
      <c r="D21" s="42">
        <v>12</v>
      </c>
    </row>
    <row r="22" spans="1:5" x14ac:dyDescent="0.15">
      <c r="A22" s="34" t="s">
        <v>60</v>
      </c>
      <c r="B22" s="34" t="s">
        <v>61</v>
      </c>
      <c r="C22" s="42">
        <v>12</v>
      </c>
      <c r="D22" s="34" t="s">
        <v>33</v>
      </c>
    </row>
    <row r="23" spans="1:5" x14ac:dyDescent="0.15">
      <c r="A23" s="64"/>
      <c r="B23" s="64"/>
      <c r="C23" s="64"/>
      <c r="D23" s="64"/>
      <c r="E23" s="64"/>
    </row>
  </sheetData>
  <sheetProtection algorithmName="SHA-512" hashValue="HatxLFgFv4S+oHzxuCc0vxTY7xLpcak+LviQeWKMXUUOV+dwAt1qfK1p69dLxIZc+jLhQZW8/bPNLZ0km+DgNw==" saltValue="PMlRRgRmXJrmpDp+mQE37w==" spinCount="100000" sheet="1" objects="1" scenarios="1"/>
  <phoneticPr fontId="4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E23"/>
  <sheetViews>
    <sheetView zoomScale="150" workbookViewId="0">
      <selection activeCell="C5" sqref="C5"/>
    </sheetView>
  </sheetViews>
  <sheetFormatPr baseColWidth="10" defaultRowHeight="13" x14ac:dyDescent="0.15"/>
  <cols>
    <col min="1" max="1" width="21.33203125" style="34" customWidth="1"/>
    <col min="2" max="2" width="24" style="34" customWidth="1"/>
    <col min="3" max="3" width="21.1640625" style="34" customWidth="1"/>
    <col min="4" max="4" width="7.1640625" style="34" customWidth="1"/>
    <col min="5" max="5" width="20.1640625" style="34" customWidth="1"/>
    <col min="6" max="16384" width="10.83203125" style="34"/>
  </cols>
  <sheetData>
    <row r="1" spans="1:5" x14ac:dyDescent="0.15">
      <c r="A1" s="47" t="s">
        <v>123</v>
      </c>
    </row>
    <row r="2" spans="1:5" x14ac:dyDescent="0.15">
      <c r="A2" s="56"/>
      <c r="B2" s="56"/>
      <c r="C2" s="56"/>
      <c r="D2" s="56"/>
      <c r="E2" s="56"/>
    </row>
    <row r="3" spans="1:5" x14ac:dyDescent="0.15">
      <c r="A3" s="36" t="s">
        <v>2</v>
      </c>
    </row>
    <row r="5" spans="1:5" x14ac:dyDescent="0.15">
      <c r="A5" s="37" t="s">
        <v>8</v>
      </c>
      <c r="B5" s="37" t="s">
        <v>258</v>
      </c>
      <c r="C5" s="38">
        <v>12000</v>
      </c>
    </row>
    <row r="7" spans="1:5" x14ac:dyDescent="0.15">
      <c r="A7" s="37" t="s">
        <v>139</v>
      </c>
    </row>
    <row r="8" spans="1:5" x14ac:dyDescent="0.15">
      <c r="B8" s="48" t="s">
        <v>63</v>
      </c>
      <c r="C8" s="48" t="s">
        <v>64</v>
      </c>
    </row>
    <row r="9" spans="1:5" x14ac:dyDescent="0.15">
      <c r="A9" s="34" t="s">
        <v>140</v>
      </c>
      <c r="B9" s="49">
        <f>IF($C5&gt;'Tariffs 2014'!E7,'Tariffs 2014'!E7*'Tariffs 2014'!E8/100,$C5*'Tariffs 2014'!E8/100)</f>
        <v>118.19521999999999</v>
      </c>
      <c r="C9" s="49">
        <f>IF($C5&gt;'Tariffs 2014'!F7,'Tariffs 2014'!F7*'Tariffs 2014'!F8/100,$C5*'Tariffs 2014'!F8/100)</f>
        <v>120.12880000000001</v>
      </c>
    </row>
    <row r="10" spans="1:5" x14ac:dyDescent="0.15">
      <c r="A10" s="34" t="s">
        <v>73</v>
      </c>
      <c r="B10" s="49">
        <f>IF(($C5&lt;'Tariffs 2014'!E7),(0),($C5-'Tariffs 2014'!E7)*'Tariffs 2014'!E9/100)</f>
        <v>242.77792000000002</v>
      </c>
      <c r="C10" s="49">
        <f>IF(($C5&lt;'Tariffs 2014'!F7),(0),($C5-'Tariffs 2014'!F7)*'Tariffs 2014'!F9/100)</f>
        <v>253.49939999999998</v>
      </c>
    </row>
    <row r="11" spans="1:5" x14ac:dyDescent="0.15">
      <c r="A11" s="34" t="s">
        <v>74</v>
      </c>
      <c r="B11" s="49">
        <f>'Tariffs 2014'!E10*91/100</f>
        <v>66.726659999999995</v>
      </c>
      <c r="C11" s="49">
        <f>'Tariffs 2014'!F10*91/100</f>
        <v>79.079000000000008</v>
      </c>
    </row>
    <row r="12" spans="1:5" x14ac:dyDescent="0.15">
      <c r="A12" s="34" t="s">
        <v>14</v>
      </c>
      <c r="B12" s="49">
        <f>B9+B10+B11</f>
        <v>427.69979999999998</v>
      </c>
      <c r="C12" s="49">
        <f>C9+C10+C11</f>
        <v>452.7072</v>
      </c>
    </row>
    <row r="13" spans="1:5" x14ac:dyDescent="0.15">
      <c r="A13" s="39" t="s">
        <v>125</v>
      </c>
      <c r="B13" s="50">
        <f>B12*4</f>
        <v>1710.7991999999999</v>
      </c>
      <c r="C13" s="50">
        <f>C12*4</f>
        <v>1810.8288</v>
      </c>
    </row>
    <row r="15" spans="1:5" x14ac:dyDescent="0.15">
      <c r="A15" s="39"/>
      <c r="B15" s="40"/>
      <c r="C15" s="40"/>
    </row>
    <row r="16" spans="1:5" x14ac:dyDescent="0.15">
      <c r="A16" s="37" t="s">
        <v>9</v>
      </c>
      <c r="B16" s="48" t="s">
        <v>43</v>
      </c>
      <c r="C16" s="48" t="s">
        <v>64</v>
      </c>
    </row>
    <row r="17" spans="1:5" x14ac:dyDescent="0.15">
      <c r="A17" s="34" t="s">
        <v>10</v>
      </c>
      <c r="B17" s="41" t="s">
        <v>69</v>
      </c>
      <c r="C17" s="41" t="s">
        <v>41</v>
      </c>
    </row>
    <row r="18" spans="1:5" x14ac:dyDescent="0.15">
      <c r="A18" s="34" t="s">
        <v>12</v>
      </c>
      <c r="B18" s="34" t="s">
        <v>69</v>
      </c>
      <c r="C18" s="34" t="s">
        <v>66</v>
      </c>
    </row>
    <row r="19" spans="1:5" x14ac:dyDescent="0.15">
      <c r="A19" s="34" t="s">
        <v>67</v>
      </c>
      <c r="B19" s="42" t="s">
        <v>69</v>
      </c>
      <c r="C19" s="42">
        <v>90</v>
      </c>
    </row>
    <row r="20" spans="1:5" x14ac:dyDescent="0.15">
      <c r="A20" s="34" t="s">
        <v>68</v>
      </c>
      <c r="B20" s="34" t="s">
        <v>69</v>
      </c>
      <c r="C20" s="34" t="s">
        <v>42</v>
      </c>
    </row>
    <row r="21" spans="1:5" x14ac:dyDescent="0.15">
      <c r="A21" s="34" t="s">
        <v>71</v>
      </c>
      <c r="B21" s="42">
        <v>15</v>
      </c>
      <c r="C21" s="42" t="s">
        <v>69</v>
      </c>
    </row>
    <row r="22" spans="1:5" x14ac:dyDescent="0.15">
      <c r="A22" s="34" t="s">
        <v>60</v>
      </c>
      <c r="B22" s="34" t="s">
        <v>61</v>
      </c>
      <c r="C22" s="43" t="s">
        <v>69</v>
      </c>
    </row>
    <row r="23" spans="1:5" x14ac:dyDescent="0.15">
      <c r="A23" s="56"/>
      <c r="B23" s="56"/>
      <c r="C23" s="56"/>
      <c r="D23" s="56"/>
      <c r="E23" s="56"/>
    </row>
  </sheetData>
  <sheetProtection algorithmName="SHA-512" hashValue="NuhBjPWgO8+2b1JQNTGD65AD/C5aJjyS7r9nHyd0aSEuDo13+4uTml8tqhA1qLtlBnqZBg/mNqsXiF1rDpOKGQ==" saltValue="SlsO64rwM8BB6pJ2g3FomA==" spinCount="100000" sheet="1" objects="1" scenarios="1"/>
  <phoneticPr fontId="4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E23"/>
  <sheetViews>
    <sheetView zoomScale="150" workbookViewId="0">
      <selection activeCell="B10" sqref="B10"/>
    </sheetView>
  </sheetViews>
  <sheetFormatPr baseColWidth="10" defaultRowHeight="13" x14ac:dyDescent="0.15"/>
  <cols>
    <col min="1" max="1" width="21.33203125" style="34" customWidth="1"/>
    <col min="2" max="2" width="24" style="34" customWidth="1"/>
    <col min="3" max="3" width="21.1640625" style="34" customWidth="1"/>
    <col min="4" max="4" width="7.1640625" style="34" customWidth="1"/>
    <col min="5" max="5" width="20.1640625" style="34" customWidth="1"/>
    <col min="6" max="7" width="10" style="34" customWidth="1"/>
    <col min="8" max="16384" width="10.83203125" style="34"/>
  </cols>
  <sheetData>
    <row r="1" spans="1:5" x14ac:dyDescent="0.15">
      <c r="A1" s="47" t="s">
        <v>123</v>
      </c>
    </row>
    <row r="2" spans="1:5" x14ac:dyDescent="0.15">
      <c r="A2" s="35"/>
      <c r="B2" s="35"/>
      <c r="C2" s="35"/>
      <c r="D2" s="35"/>
      <c r="E2" s="35"/>
    </row>
    <row r="3" spans="1:5" x14ac:dyDescent="0.15">
      <c r="A3" s="36" t="s">
        <v>126</v>
      </c>
    </row>
    <row r="5" spans="1:5" x14ac:dyDescent="0.15">
      <c r="A5" s="37" t="s">
        <v>8</v>
      </c>
      <c r="B5" s="37" t="s">
        <v>258</v>
      </c>
      <c r="C5" s="38">
        <v>12000</v>
      </c>
    </row>
    <row r="7" spans="1:5" x14ac:dyDescent="0.15">
      <c r="A7" s="37" t="s">
        <v>139</v>
      </c>
    </row>
    <row r="8" spans="1:5" x14ac:dyDescent="0.15">
      <c r="B8" s="48" t="s">
        <v>63</v>
      </c>
      <c r="C8" s="48" t="s">
        <v>64</v>
      </c>
    </row>
    <row r="9" spans="1:5" x14ac:dyDescent="0.15">
      <c r="A9" s="34" t="s">
        <v>140</v>
      </c>
      <c r="B9" s="49">
        <f>IF($C5&gt;'Tariffs 2013'!E7,'Tariffs 2013'!E7*'Tariffs 2013'!E8/100,$C5*'Tariffs 2013'!E8/100)</f>
        <v>103.83736</v>
      </c>
      <c r="C9" s="49">
        <f>IF($C5&gt;'Tariffs 2013'!F7,'Tariffs 2013'!F7*'Tariffs 2013'!F8/100,$C5*'Tariffs 2013'!F8/100)</f>
        <v>111.07800000000002</v>
      </c>
    </row>
    <row r="10" spans="1:5" x14ac:dyDescent="0.15">
      <c r="A10" s="34" t="s">
        <v>73</v>
      </c>
      <c r="B10" s="49">
        <f>IF(($C5&lt;'Tariffs 2013'!E7),(0),($C5-'Tariffs 2013'!E7)*'Tariffs 2013'!E9/100)</f>
        <v>211.52207999999999</v>
      </c>
      <c r="C10" s="49">
        <f>IF(($C5&lt;'Tariffs 2013'!F7),(0),($C5-'Tariffs 2013'!F7)*'Tariffs 2013'!F9/100)</f>
        <v>236.23599999999999</v>
      </c>
    </row>
    <row r="11" spans="1:5" x14ac:dyDescent="0.15">
      <c r="A11" s="34" t="s">
        <v>74</v>
      </c>
      <c r="B11" s="49">
        <f>'Tariffs 2013'!E10*91/100</f>
        <v>58.248190000000001</v>
      </c>
      <c r="C11" s="49">
        <f>'Tariffs 2013'!F10*91/100</f>
        <v>70.069999999999993</v>
      </c>
    </row>
    <row r="12" spans="1:5" x14ac:dyDescent="0.15">
      <c r="A12" s="34" t="s">
        <v>14</v>
      </c>
      <c r="B12" s="49">
        <f>B9+B10+B11</f>
        <v>373.60763000000003</v>
      </c>
      <c r="C12" s="49">
        <f>C9+C10+C11</f>
        <v>417.38400000000001</v>
      </c>
    </row>
    <row r="13" spans="1:5" x14ac:dyDescent="0.15">
      <c r="A13" s="39" t="s">
        <v>125</v>
      </c>
      <c r="B13" s="50">
        <f>B12*4</f>
        <v>1494.4305200000001</v>
      </c>
      <c r="C13" s="50">
        <f>C12*4</f>
        <v>1669.5360000000001</v>
      </c>
    </row>
    <row r="15" spans="1:5" x14ac:dyDescent="0.15">
      <c r="A15" s="39"/>
      <c r="B15" s="40"/>
      <c r="C15" s="40"/>
    </row>
    <row r="16" spans="1:5" x14ac:dyDescent="0.15">
      <c r="A16" s="37" t="s">
        <v>9</v>
      </c>
      <c r="B16" s="48" t="s">
        <v>63</v>
      </c>
      <c r="C16" s="48" t="s">
        <v>64</v>
      </c>
    </row>
    <row r="17" spans="1:5" x14ac:dyDescent="0.15">
      <c r="A17" s="34" t="s">
        <v>10</v>
      </c>
      <c r="B17" s="41" t="s">
        <v>62</v>
      </c>
      <c r="C17" s="41" t="s">
        <v>11</v>
      </c>
    </row>
    <row r="18" spans="1:5" x14ac:dyDescent="0.15">
      <c r="A18" s="34" t="s">
        <v>12</v>
      </c>
      <c r="B18" s="34" t="s">
        <v>15</v>
      </c>
      <c r="C18" s="34" t="s">
        <v>66</v>
      </c>
    </row>
    <row r="19" spans="1:5" x14ac:dyDescent="0.15">
      <c r="A19" s="34" t="s">
        <v>67</v>
      </c>
      <c r="B19" s="42" t="s">
        <v>16</v>
      </c>
      <c r="C19" s="42">
        <v>90</v>
      </c>
    </row>
    <row r="20" spans="1:5" x14ac:dyDescent="0.15">
      <c r="A20" s="34" t="s">
        <v>68</v>
      </c>
      <c r="B20" s="34" t="s">
        <v>69</v>
      </c>
      <c r="C20" s="34" t="s">
        <v>70</v>
      </c>
    </row>
    <row r="21" spans="1:5" x14ac:dyDescent="0.15">
      <c r="A21" s="34" t="s">
        <v>71</v>
      </c>
      <c r="B21" s="42">
        <v>16</v>
      </c>
      <c r="C21" s="42" t="s">
        <v>72</v>
      </c>
    </row>
    <row r="22" spans="1:5" x14ac:dyDescent="0.15">
      <c r="A22" s="34" t="s">
        <v>60</v>
      </c>
      <c r="B22" s="34" t="s">
        <v>61</v>
      </c>
      <c r="C22" s="43" t="s">
        <v>62</v>
      </c>
    </row>
    <row r="23" spans="1:5" x14ac:dyDescent="0.15">
      <c r="A23" s="44"/>
      <c r="B23" s="44"/>
      <c r="C23" s="44"/>
      <c r="D23" s="35"/>
      <c r="E23" s="35"/>
    </row>
  </sheetData>
  <sheetProtection algorithmName="SHA-512" hashValue="1z7Kxf9W80judlVDF2MYRWvWG5RCp8LsLWu+RLTYRlXq2II7FaqzbOuLgIaaiAInuXLOYXrJEyyWpxlqgaJYKw==" saltValue="JhjSjk1GHl/zUnMS0bsJCw==" spinCount="100000" sheet="1" objects="1" scenarios="1"/>
  <phoneticPr fontId="4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B2CF-0869-A242-8580-94C0C742310E}">
  <sheetPr codeName="Sheet23"/>
  <dimension ref="A1:BS6"/>
  <sheetViews>
    <sheetView zoomScale="150" zoomScaleNormal="150" workbookViewId="0">
      <selection activeCell="M4" sqref="M4:N4"/>
    </sheetView>
  </sheetViews>
  <sheetFormatPr baseColWidth="10" defaultRowHeight="13" x14ac:dyDescent="0.15"/>
  <cols>
    <col min="1" max="1" width="5.33203125" style="176" bestFit="1" customWidth="1"/>
    <col min="2" max="2" width="10.83203125" style="176"/>
    <col min="3" max="3" width="6.33203125" style="176" customWidth="1"/>
    <col min="4" max="4" width="18.6640625" style="176" customWidth="1"/>
    <col min="5" max="5" width="10.83203125" style="176"/>
    <col min="6" max="6" width="16.1640625" style="176" customWidth="1"/>
    <col min="7" max="7" width="16.5" style="176" customWidth="1"/>
    <col min="8" max="64" width="10.83203125" style="176"/>
    <col min="65" max="65" width="11.83203125" style="176" customWidth="1"/>
    <col min="66" max="66" width="12.1640625" style="176" customWidth="1"/>
    <col min="67" max="67" width="10.83203125" style="176" customWidth="1"/>
    <col min="68" max="69" width="10.83203125" style="176"/>
    <col min="70" max="70" width="20.5" style="176" customWidth="1"/>
    <col min="71" max="71" width="43.33203125" style="176" customWidth="1"/>
    <col min="72" max="16384" width="10.83203125" style="176"/>
  </cols>
  <sheetData>
    <row r="1" spans="1:71" ht="20" customHeight="1" x14ac:dyDescent="0.15">
      <c r="A1" s="159"/>
      <c r="B1" s="159"/>
      <c r="C1" s="160"/>
      <c r="D1" s="161"/>
      <c r="E1" s="159"/>
      <c r="F1" s="160"/>
      <c r="G1" s="161"/>
      <c r="H1" s="162"/>
      <c r="I1" s="146"/>
      <c r="J1" s="163"/>
      <c r="K1" s="259" t="s">
        <v>253</v>
      </c>
      <c r="L1" s="259"/>
      <c r="M1" s="259"/>
      <c r="N1" s="259"/>
      <c r="O1" s="164"/>
      <c r="P1" s="165"/>
      <c r="Q1" s="147"/>
      <c r="R1" s="147"/>
      <c r="S1" s="147"/>
      <c r="T1" s="147"/>
      <c r="U1" s="147"/>
      <c r="V1" s="148"/>
      <c r="W1" s="166"/>
      <c r="X1" s="166"/>
      <c r="Y1" s="166"/>
      <c r="Z1" s="166"/>
      <c r="AA1" s="166"/>
      <c r="AB1" s="167"/>
      <c r="AC1" s="168"/>
      <c r="AD1" s="168"/>
      <c r="AE1" s="168"/>
      <c r="AF1" s="168"/>
      <c r="AG1" s="168"/>
      <c r="AH1" s="169"/>
      <c r="AI1" s="170"/>
      <c r="AJ1" s="170"/>
      <c r="AK1" s="170"/>
      <c r="AL1" s="170"/>
      <c r="AM1" s="170"/>
      <c r="AN1" s="171"/>
      <c r="AO1" s="172"/>
      <c r="AP1" s="172"/>
      <c r="AQ1" s="172"/>
      <c r="AR1" s="173"/>
      <c r="AS1" s="157"/>
      <c r="AT1" s="150"/>
      <c r="AU1" s="151"/>
      <c r="AV1" s="150"/>
      <c r="AW1" s="152"/>
      <c r="AX1" s="153"/>
      <c r="AY1" s="152"/>
      <c r="AZ1" s="154"/>
      <c r="BA1" s="155"/>
      <c r="BB1" s="154"/>
      <c r="BC1" s="155"/>
      <c r="BD1" s="153"/>
      <c r="BE1" s="156"/>
      <c r="BF1" s="174"/>
      <c r="BG1" s="174"/>
      <c r="BH1" s="175"/>
      <c r="BI1" s="174"/>
      <c r="BJ1" s="174"/>
      <c r="BK1" s="174"/>
      <c r="BL1" s="174"/>
      <c r="BM1" s="174"/>
      <c r="BN1" s="174"/>
      <c r="BO1" s="174"/>
      <c r="BP1" s="174"/>
      <c r="BQ1" s="158"/>
      <c r="BR1" s="160"/>
      <c r="BS1" s="174"/>
    </row>
    <row r="2" spans="1:71" ht="59" customHeight="1" x14ac:dyDescent="0.15">
      <c r="A2" s="159" t="s">
        <v>52</v>
      </c>
      <c r="B2" s="159" t="s">
        <v>53</v>
      </c>
      <c r="C2" s="160" t="s">
        <v>54</v>
      </c>
      <c r="D2" s="161" t="s">
        <v>55</v>
      </c>
      <c r="E2" s="159" t="s">
        <v>56</v>
      </c>
      <c r="F2" s="160" t="s">
        <v>57</v>
      </c>
      <c r="G2" s="161" t="s">
        <v>58</v>
      </c>
      <c r="H2" s="162" t="s">
        <v>155</v>
      </c>
      <c r="I2" s="146" t="s">
        <v>239</v>
      </c>
      <c r="J2" s="163" t="s">
        <v>240</v>
      </c>
      <c r="K2" s="164" t="s">
        <v>156</v>
      </c>
      <c r="L2" s="164" t="s">
        <v>157</v>
      </c>
      <c r="M2" s="164" t="s">
        <v>108</v>
      </c>
      <c r="N2" s="164" t="s">
        <v>113</v>
      </c>
      <c r="O2" s="164" t="s">
        <v>114</v>
      </c>
      <c r="P2" s="165" t="s">
        <v>115</v>
      </c>
      <c r="Q2" s="147" t="s">
        <v>241</v>
      </c>
      <c r="R2" s="147" t="s">
        <v>242</v>
      </c>
      <c r="S2" s="147" t="s">
        <v>243</v>
      </c>
      <c r="T2" s="147" t="s">
        <v>244</v>
      </c>
      <c r="U2" s="147" t="s">
        <v>245</v>
      </c>
      <c r="V2" s="148" t="s">
        <v>246</v>
      </c>
      <c r="W2" s="166" t="s">
        <v>116</v>
      </c>
      <c r="X2" s="166" t="s">
        <v>117</v>
      </c>
      <c r="Y2" s="166" t="s">
        <v>118</v>
      </c>
      <c r="Z2" s="166" t="s">
        <v>119</v>
      </c>
      <c r="AA2" s="166" t="s">
        <v>120</v>
      </c>
      <c r="AB2" s="167" t="s">
        <v>121</v>
      </c>
      <c r="AC2" s="168" t="s">
        <v>122</v>
      </c>
      <c r="AD2" s="168" t="s">
        <v>136</v>
      </c>
      <c r="AE2" s="168" t="s">
        <v>137</v>
      </c>
      <c r="AF2" s="168" t="s">
        <v>138</v>
      </c>
      <c r="AG2" s="168" t="s">
        <v>101</v>
      </c>
      <c r="AH2" s="169" t="s">
        <v>102</v>
      </c>
      <c r="AI2" s="170" t="s">
        <v>103</v>
      </c>
      <c r="AJ2" s="170" t="s">
        <v>163</v>
      </c>
      <c r="AK2" s="170" t="s">
        <v>164</v>
      </c>
      <c r="AL2" s="170" t="s">
        <v>165</v>
      </c>
      <c r="AM2" s="170" t="s">
        <v>166</v>
      </c>
      <c r="AN2" s="171" t="s">
        <v>167</v>
      </c>
      <c r="AO2" s="172" t="s">
        <v>168</v>
      </c>
      <c r="AP2" s="172" t="s">
        <v>75</v>
      </c>
      <c r="AQ2" s="172" t="s">
        <v>173</v>
      </c>
      <c r="AR2" s="173" t="s">
        <v>174</v>
      </c>
      <c r="AS2" s="157" t="s">
        <v>251</v>
      </c>
      <c r="AT2" s="150" t="s">
        <v>175</v>
      </c>
      <c r="AU2" s="151" t="s">
        <v>176</v>
      </c>
      <c r="AV2" s="150" t="s">
        <v>177</v>
      </c>
      <c r="AW2" s="152" t="s">
        <v>178</v>
      </c>
      <c r="AX2" s="153" t="s">
        <v>179</v>
      </c>
      <c r="AY2" s="152" t="s">
        <v>180</v>
      </c>
      <c r="AZ2" s="154" t="s">
        <v>249</v>
      </c>
      <c r="BA2" s="155" t="s">
        <v>250</v>
      </c>
      <c r="BB2" s="154" t="s">
        <v>217</v>
      </c>
      <c r="BC2" s="155" t="s">
        <v>218</v>
      </c>
      <c r="BD2" s="153" t="s">
        <v>183</v>
      </c>
      <c r="BE2" s="156" t="s">
        <v>93</v>
      </c>
      <c r="BF2" s="174" t="s">
        <v>94</v>
      </c>
      <c r="BG2" s="174" t="s">
        <v>95</v>
      </c>
      <c r="BH2" s="175" t="s">
        <v>96</v>
      </c>
      <c r="BI2" s="174" t="s">
        <v>97</v>
      </c>
      <c r="BJ2" s="174" t="s">
        <v>219</v>
      </c>
      <c r="BK2" s="174" t="s">
        <v>220</v>
      </c>
      <c r="BL2" s="174" t="s">
        <v>221</v>
      </c>
      <c r="BM2" s="174" t="s">
        <v>109</v>
      </c>
      <c r="BN2" s="174" t="s">
        <v>110</v>
      </c>
      <c r="BO2" s="174" t="s">
        <v>111</v>
      </c>
      <c r="BP2" s="174" t="s">
        <v>80</v>
      </c>
      <c r="BQ2" s="158" t="s">
        <v>252</v>
      </c>
      <c r="BR2" s="160" t="s">
        <v>81</v>
      </c>
      <c r="BS2" s="174" t="s">
        <v>82</v>
      </c>
    </row>
    <row r="3" spans="1:71" customFormat="1" ht="13" customHeight="1" x14ac:dyDescent="0.15">
      <c r="A3" s="204">
        <v>456</v>
      </c>
      <c r="B3" s="258">
        <v>43719</v>
      </c>
      <c r="C3" s="206" t="s">
        <v>222</v>
      </c>
      <c r="D3" s="204" t="s">
        <v>223</v>
      </c>
      <c r="E3" s="205">
        <v>43662</v>
      </c>
      <c r="F3" s="206" t="s">
        <v>224</v>
      </c>
      <c r="G3" s="204" t="s">
        <v>303</v>
      </c>
      <c r="H3" s="207">
        <v>57</v>
      </c>
      <c r="I3" s="208"/>
      <c r="J3" s="208"/>
      <c r="K3" s="209" t="s">
        <v>266</v>
      </c>
      <c r="L3" s="210">
        <v>2465.7539999999999</v>
      </c>
      <c r="M3" s="210">
        <v>26531.508000000002</v>
      </c>
      <c r="N3" s="210">
        <v>89358.906000000003</v>
      </c>
      <c r="O3" s="204"/>
      <c r="P3" s="204"/>
      <c r="Q3" s="204"/>
      <c r="R3" s="204"/>
      <c r="S3" s="204"/>
      <c r="T3" s="204"/>
      <c r="U3" s="204"/>
      <c r="V3" s="204"/>
      <c r="W3" s="207">
        <v>3.5</v>
      </c>
      <c r="X3" s="207">
        <v>2.9545454545454541</v>
      </c>
      <c r="Y3" s="207">
        <v>2.5545454545454542</v>
      </c>
      <c r="Z3" s="207">
        <v>2.2999999999999998</v>
      </c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11" t="s">
        <v>228</v>
      </c>
      <c r="AP3" s="211"/>
      <c r="AQ3" s="211"/>
      <c r="AR3" s="211"/>
      <c r="AS3" s="204"/>
      <c r="AT3" s="211">
        <v>0</v>
      </c>
      <c r="AU3" s="211">
        <v>0</v>
      </c>
      <c r="AV3" s="211">
        <v>0</v>
      </c>
      <c r="AW3" s="211">
        <v>0</v>
      </c>
      <c r="AX3" s="211">
        <v>0</v>
      </c>
      <c r="AY3" s="211">
        <v>0</v>
      </c>
      <c r="AZ3" s="211">
        <v>0</v>
      </c>
      <c r="BA3" s="211">
        <v>0</v>
      </c>
      <c r="BB3" s="211">
        <v>0</v>
      </c>
      <c r="BC3" s="211">
        <v>0</v>
      </c>
      <c r="BD3" s="211">
        <v>0</v>
      </c>
      <c r="BE3" s="211">
        <v>0</v>
      </c>
      <c r="BF3" s="211"/>
      <c r="BG3" s="211" t="s">
        <v>228</v>
      </c>
      <c r="BH3" s="211">
        <v>12</v>
      </c>
      <c r="BI3" s="211" t="s">
        <v>228</v>
      </c>
      <c r="BJ3" s="211"/>
      <c r="BK3" s="211"/>
      <c r="BL3" s="211"/>
      <c r="BM3" s="206"/>
      <c r="BN3" s="204"/>
      <c r="BO3" s="211"/>
      <c r="BP3" s="211" t="s">
        <v>229</v>
      </c>
      <c r="BQ3" s="211"/>
      <c r="BR3" s="206"/>
      <c r="BS3" s="204" t="s">
        <v>304</v>
      </c>
    </row>
    <row r="4" spans="1:71" customFormat="1" ht="13" customHeight="1" x14ac:dyDescent="0.15">
      <c r="A4" s="204">
        <v>3493</v>
      </c>
      <c r="B4" s="258">
        <v>43719</v>
      </c>
      <c r="C4" s="206" t="s">
        <v>222</v>
      </c>
      <c r="D4" s="204" t="s">
        <v>223</v>
      </c>
      <c r="E4" s="205">
        <v>43678</v>
      </c>
      <c r="F4" s="206" t="s">
        <v>85</v>
      </c>
      <c r="G4" s="204" t="s">
        <v>286</v>
      </c>
      <c r="H4" s="207">
        <v>80.799999999999983</v>
      </c>
      <c r="I4" s="208"/>
      <c r="J4" s="208"/>
      <c r="K4" s="209" t="s">
        <v>266</v>
      </c>
      <c r="L4" s="210">
        <v>2465.7599999999998</v>
      </c>
      <c r="M4" s="260">
        <v>26531.508000000002</v>
      </c>
      <c r="N4" s="260">
        <v>89358.906000000003</v>
      </c>
      <c r="O4" s="204"/>
      <c r="P4" s="204"/>
      <c r="Q4" s="204"/>
      <c r="R4" s="204"/>
      <c r="S4" s="204"/>
      <c r="T4" s="204"/>
      <c r="U4" s="204"/>
      <c r="V4" s="204"/>
      <c r="W4" s="207">
        <v>4.6636363636363631</v>
      </c>
      <c r="X4" s="207">
        <v>3.9181818181818175</v>
      </c>
      <c r="Y4" s="207">
        <v>3.7454545454545451</v>
      </c>
      <c r="Z4" s="207">
        <v>3.6363636363636362</v>
      </c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11" t="s">
        <v>228</v>
      </c>
      <c r="AP4" s="211"/>
      <c r="AQ4" s="211"/>
      <c r="AR4" s="211"/>
      <c r="AS4" s="204"/>
      <c r="AT4" s="211">
        <v>18</v>
      </c>
      <c r="AU4" s="211">
        <v>0</v>
      </c>
      <c r="AV4" s="211">
        <v>0</v>
      </c>
      <c r="AW4" s="211">
        <v>0</v>
      </c>
      <c r="AX4" s="211">
        <v>0</v>
      </c>
      <c r="AY4" s="211">
        <v>0</v>
      </c>
      <c r="AZ4" s="211">
        <v>0</v>
      </c>
      <c r="BA4" s="211">
        <v>0</v>
      </c>
      <c r="BB4" s="211">
        <v>0</v>
      </c>
      <c r="BC4" s="211">
        <v>0</v>
      </c>
      <c r="BD4" s="211">
        <v>0</v>
      </c>
      <c r="BE4" s="211">
        <v>0</v>
      </c>
      <c r="BF4" s="211"/>
      <c r="BG4" s="211" t="s">
        <v>232</v>
      </c>
      <c r="BH4" s="211">
        <v>12</v>
      </c>
      <c r="BI4" s="211" t="s">
        <v>228</v>
      </c>
      <c r="BJ4" s="211"/>
      <c r="BK4" s="211"/>
      <c r="BL4" s="211"/>
      <c r="BM4" s="206"/>
      <c r="BN4" s="204"/>
      <c r="BO4" s="211"/>
      <c r="BP4" s="211" t="s">
        <v>229</v>
      </c>
      <c r="BQ4" s="211"/>
      <c r="BR4" s="206"/>
      <c r="BS4" s="212" t="s">
        <v>305</v>
      </c>
    </row>
    <row r="5" spans="1:71" customFormat="1" ht="13" customHeight="1" x14ac:dyDescent="0.15">
      <c r="A5" s="204">
        <v>540</v>
      </c>
      <c r="B5" s="258">
        <v>43719</v>
      </c>
      <c r="C5" s="206" t="s">
        <v>222</v>
      </c>
      <c r="D5" s="204" t="s">
        <v>223</v>
      </c>
      <c r="E5" s="205">
        <v>43677</v>
      </c>
      <c r="F5" s="206" t="s">
        <v>234</v>
      </c>
      <c r="G5" s="204" t="s">
        <v>270</v>
      </c>
      <c r="H5" s="207">
        <v>53.927272727272722</v>
      </c>
      <c r="I5" s="208"/>
      <c r="J5" s="208"/>
      <c r="K5" s="209" t="s">
        <v>266</v>
      </c>
      <c r="L5" s="210">
        <v>2465.7539999999999</v>
      </c>
      <c r="M5" s="210">
        <v>26531.508000000002</v>
      </c>
      <c r="N5" s="210">
        <v>89358.906000000003</v>
      </c>
      <c r="O5" s="204"/>
      <c r="P5" s="204"/>
      <c r="Q5" s="204"/>
      <c r="R5" s="204"/>
      <c r="S5" s="204"/>
      <c r="T5" s="204"/>
      <c r="U5" s="204"/>
      <c r="V5" s="204"/>
      <c r="W5" s="207">
        <v>3.1727272727272728</v>
      </c>
      <c r="X5" s="207">
        <v>2.6909090909090905</v>
      </c>
      <c r="Y5" s="207">
        <v>2.3454545454545452</v>
      </c>
      <c r="Z5" s="207">
        <v>2.4636363636363634</v>
      </c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11" t="s">
        <v>228</v>
      </c>
      <c r="AP5" s="211"/>
      <c r="AQ5" s="211"/>
      <c r="AR5" s="211"/>
      <c r="AS5" s="204"/>
      <c r="AT5" s="211">
        <v>0</v>
      </c>
      <c r="AU5" s="211">
        <v>0</v>
      </c>
      <c r="AV5" s="211">
        <v>0</v>
      </c>
      <c r="AW5" s="211">
        <v>0</v>
      </c>
      <c r="AX5" s="211">
        <v>0</v>
      </c>
      <c r="AY5" s="211">
        <v>0</v>
      </c>
      <c r="AZ5" s="211">
        <v>0</v>
      </c>
      <c r="BA5" s="211">
        <v>0</v>
      </c>
      <c r="BB5" s="211">
        <v>0</v>
      </c>
      <c r="BC5" s="211">
        <v>0</v>
      </c>
      <c r="BD5" s="211">
        <v>0</v>
      </c>
      <c r="BE5" s="211">
        <v>0</v>
      </c>
      <c r="BF5" s="211"/>
      <c r="BG5" s="211" t="s">
        <v>228</v>
      </c>
      <c r="BH5" s="211">
        <v>12</v>
      </c>
      <c r="BI5" s="211" t="s">
        <v>228</v>
      </c>
      <c r="BJ5" s="211"/>
      <c r="BK5" s="211"/>
      <c r="BL5" s="211"/>
      <c r="BM5" s="206"/>
      <c r="BN5" s="204"/>
      <c r="BO5" s="214"/>
      <c r="BP5" s="211" t="s">
        <v>229</v>
      </c>
      <c r="BQ5" s="211"/>
      <c r="BR5" s="206"/>
      <c r="BS5" s="213" t="s">
        <v>306</v>
      </c>
    </row>
    <row r="6" spans="1:71" customFormat="1" ht="13" customHeight="1" x14ac:dyDescent="0.15">
      <c r="A6" s="204">
        <v>3014</v>
      </c>
      <c r="B6" s="258">
        <v>43719</v>
      </c>
      <c r="C6" s="206" t="s">
        <v>222</v>
      </c>
      <c r="D6" s="204" t="s">
        <v>223</v>
      </c>
      <c r="E6" s="253">
        <v>43646</v>
      </c>
      <c r="F6" s="206" t="s">
        <v>292</v>
      </c>
      <c r="G6" s="204" t="s">
        <v>273</v>
      </c>
      <c r="H6" s="207">
        <v>62</v>
      </c>
      <c r="I6" s="208"/>
      <c r="J6" s="208"/>
      <c r="K6" s="209" t="s">
        <v>266</v>
      </c>
      <c r="L6" s="210">
        <v>2465.7599999999998</v>
      </c>
      <c r="M6" s="210">
        <v>26531.52</v>
      </c>
      <c r="N6" s="210">
        <v>89358.900000000009</v>
      </c>
      <c r="O6" s="204"/>
      <c r="P6" s="204"/>
      <c r="Q6" s="204"/>
      <c r="R6" s="204"/>
      <c r="S6" s="204"/>
      <c r="T6" s="204"/>
      <c r="U6" s="204"/>
      <c r="V6" s="204"/>
      <c r="W6" s="207">
        <v>3.1818181818181817</v>
      </c>
      <c r="X6" s="207">
        <v>2.5818181818181816</v>
      </c>
      <c r="Y6" s="207">
        <v>2.3818181818181818</v>
      </c>
      <c r="Z6" s="207">
        <v>2.1818181818181817</v>
      </c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11" t="s">
        <v>228</v>
      </c>
      <c r="AP6" s="211"/>
      <c r="AQ6" s="211"/>
      <c r="AR6" s="211"/>
      <c r="AS6" s="204"/>
      <c r="AT6" s="211">
        <v>0</v>
      </c>
      <c r="AU6" s="211">
        <v>0</v>
      </c>
      <c r="AV6" s="211">
        <v>0</v>
      </c>
      <c r="AW6" s="211">
        <v>0</v>
      </c>
      <c r="AX6" s="211">
        <v>0</v>
      </c>
      <c r="AY6" s="211">
        <v>0</v>
      </c>
      <c r="AZ6" s="211">
        <v>0</v>
      </c>
      <c r="BA6" s="211">
        <v>0</v>
      </c>
      <c r="BB6" s="211">
        <v>0</v>
      </c>
      <c r="BC6" s="211">
        <v>0</v>
      </c>
      <c r="BD6" s="211">
        <v>0</v>
      </c>
      <c r="BE6" s="211">
        <v>0</v>
      </c>
      <c r="BF6" s="211"/>
      <c r="BG6" s="211" t="s">
        <v>228</v>
      </c>
      <c r="BH6" s="211"/>
      <c r="BI6" s="211" t="s">
        <v>228</v>
      </c>
      <c r="BJ6" s="211"/>
      <c r="BK6" s="211"/>
      <c r="BL6" s="254"/>
      <c r="BM6" s="206"/>
      <c r="BN6" s="204"/>
      <c r="BO6" s="214"/>
      <c r="BP6" s="211" t="s">
        <v>229</v>
      </c>
      <c r="BQ6" s="211"/>
      <c r="BR6" s="206"/>
      <c r="BS6" s="213" t="s">
        <v>307</v>
      </c>
    </row>
  </sheetData>
  <sheetProtection algorithmName="SHA-512" hashValue="0z8LkW12QNQcQRtNCx+VB2fR6IVJfltGvqHoVhUvEMWEAlP2eq4PFdnkUXIb3doDF9F2mjlL+gwN7r0MuC6I3w==" saltValue="yTSJyrBOR+cjjB+Z2Q4p2A==" spinCount="100000" sheet="1" objects="1" scenarios="1"/>
  <mergeCells count="1">
    <mergeCell ref="K1:N1"/>
  </mergeCells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46061-F6CC-274C-ADF5-678CD699ACCC}">
  <sheetPr codeName="Sheet20"/>
  <dimension ref="A1:BT6"/>
  <sheetViews>
    <sheetView zoomScale="150" zoomScaleNormal="150" workbookViewId="0">
      <selection activeCell="M4" sqref="M4:N4"/>
    </sheetView>
  </sheetViews>
  <sheetFormatPr baseColWidth="10" defaultRowHeight="13" x14ac:dyDescent="0.15"/>
  <cols>
    <col min="1" max="1" width="5.33203125" style="176" bestFit="1" customWidth="1"/>
    <col min="2" max="2" width="10.83203125" style="176"/>
    <col min="3" max="3" width="6.33203125" style="176" customWidth="1"/>
    <col min="4" max="4" width="18.6640625" style="176" customWidth="1"/>
    <col min="5" max="5" width="10.83203125" style="176"/>
    <col min="6" max="6" width="16.1640625" style="176" customWidth="1"/>
    <col min="7" max="7" width="16.5" style="176" customWidth="1"/>
    <col min="8" max="64" width="10.83203125" style="176"/>
    <col min="65" max="65" width="11.83203125" style="176" customWidth="1"/>
    <col min="66" max="66" width="12.1640625" style="176" customWidth="1"/>
    <col min="67" max="67" width="10.83203125" style="176" customWidth="1"/>
    <col min="68" max="69" width="10.83203125" style="176"/>
    <col min="70" max="70" width="20.5" style="176" customWidth="1"/>
    <col min="71" max="71" width="43.33203125" style="176" customWidth="1"/>
    <col min="72" max="16384" width="10.83203125" style="176"/>
  </cols>
  <sheetData>
    <row r="1" spans="1:72" ht="20" customHeight="1" x14ac:dyDescent="0.15">
      <c r="A1" s="159"/>
      <c r="B1" s="159"/>
      <c r="C1" s="160"/>
      <c r="D1" s="161"/>
      <c r="E1" s="159"/>
      <c r="F1" s="160"/>
      <c r="G1" s="161"/>
      <c r="H1" s="162"/>
      <c r="I1" s="146"/>
      <c r="J1" s="163"/>
      <c r="K1" s="259" t="s">
        <v>253</v>
      </c>
      <c r="L1" s="259"/>
      <c r="M1" s="259"/>
      <c r="N1" s="259"/>
      <c r="O1" s="164"/>
      <c r="P1" s="165"/>
      <c r="Q1" s="147"/>
      <c r="R1" s="147"/>
      <c r="S1" s="147"/>
      <c r="T1" s="147"/>
      <c r="U1" s="147"/>
      <c r="V1" s="148"/>
      <c r="W1" s="166"/>
      <c r="X1" s="166"/>
      <c r="Y1" s="166"/>
      <c r="Z1" s="166"/>
      <c r="AA1" s="166"/>
      <c r="AB1" s="167"/>
      <c r="AC1" s="168"/>
      <c r="AD1" s="168"/>
      <c r="AE1" s="168"/>
      <c r="AF1" s="168"/>
      <c r="AG1" s="168"/>
      <c r="AH1" s="169"/>
      <c r="AI1" s="170"/>
      <c r="AJ1" s="170"/>
      <c r="AK1" s="170"/>
      <c r="AL1" s="170"/>
      <c r="AM1" s="170"/>
      <c r="AN1" s="171"/>
      <c r="AO1" s="172"/>
      <c r="AP1" s="172"/>
      <c r="AQ1" s="172"/>
      <c r="AR1" s="173"/>
      <c r="AS1" s="157"/>
      <c r="AT1" s="150"/>
      <c r="AU1" s="151"/>
      <c r="AV1" s="150"/>
      <c r="AW1" s="152"/>
      <c r="AX1" s="153"/>
      <c r="AY1" s="152"/>
      <c r="AZ1" s="154"/>
      <c r="BA1" s="155"/>
      <c r="BB1" s="154"/>
      <c r="BC1" s="155"/>
      <c r="BD1" s="153"/>
      <c r="BE1" s="156"/>
      <c r="BF1" s="174"/>
      <c r="BG1" s="174"/>
      <c r="BH1" s="175"/>
      <c r="BI1" s="174"/>
      <c r="BJ1" s="174"/>
      <c r="BK1" s="174"/>
      <c r="BL1" s="174"/>
      <c r="BM1" s="174"/>
      <c r="BN1" s="174"/>
      <c r="BO1" s="174"/>
      <c r="BP1" s="174"/>
      <c r="BQ1" s="158"/>
      <c r="BR1" s="160"/>
      <c r="BS1" s="174"/>
      <c r="BT1" s="159"/>
    </row>
    <row r="2" spans="1:72" ht="59" customHeight="1" x14ac:dyDescent="0.15">
      <c r="A2" s="159" t="s">
        <v>52</v>
      </c>
      <c r="B2" s="159" t="s">
        <v>53</v>
      </c>
      <c r="C2" s="160" t="s">
        <v>54</v>
      </c>
      <c r="D2" s="161" t="s">
        <v>55</v>
      </c>
      <c r="E2" s="159" t="s">
        <v>56</v>
      </c>
      <c r="F2" s="160" t="s">
        <v>57</v>
      </c>
      <c r="G2" s="161" t="s">
        <v>58</v>
      </c>
      <c r="H2" s="162" t="s">
        <v>155</v>
      </c>
      <c r="I2" s="146" t="s">
        <v>239</v>
      </c>
      <c r="J2" s="163" t="s">
        <v>240</v>
      </c>
      <c r="K2" s="164" t="s">
        <v>156</v>
      </c>
      <c r="L2" s="164" t="s">
        <v>157</v>
      </c>
      <c r="M2" s="164" t="s">
        <v>108</v>
      </c>
      <c r="N2" s="164" t="s">
        <v>113</v>
      </c>
      <c r="O2" s="164" t="s">
        <v>114</v>
      </c>
      <c r="P2" s="165" t="s">
        <v>115</v>
      </c>
      <c r="Q2" s="147" t="s">
        <v>241</v>
      </c>
      <c r="R2" s="147" t="s">
        <v>242</v>
      </c>
      <c r="S2" s="147" t="s">
        <v>243</v>
      </c>
      <c r="T2" s="147" t="s">
        <v>244</v>
      </c>
      <c r="U2" s="147" t="s">
        <v>245</v>
      </c>
      <c r="V2" s="148" t="s">
        <v>246</v>
      </c>
      <c r="W2" s="166" t="s">
        <v>116</v>
      </c>
      <c r="X2" s="166" t="s">
        <v>117</v>
      </c>
      <c r="Y2" s="166" t="s">
        <v>118</v>
      </c>
      <c r="Z2" s="166" t="s">
        <v>119</v>
      </c>
      <c r="AA2" s="166" t="s">
        <v>120</v>
      </c>
      <c r="AB2" s="167" t="s">
        <v>121</v>
      </c>
      <c r="AC2" s="168" t="s">
        <v>122</v>
      </c>
      <c r="AD2" s="168" t="s">
        <v>136</v>
      </c>
      <c r="AE2" s="168" t="s">
        <v>137</v>
      </c>
      <c r="AF2" s="168" t="s">
        <v>138</v>
      </c>
      <c r="AG2" s="168" t="s">
        <v>101</v>
      </c>
      <c r="AH2" s="169" t="s">
        <v>102</v>
      </c>
      <c r="AI2" s="170" t="s">
        <v>103</v>
      </c>
      <c r="AJ2" s="170" t="s">
        <v>163</v>
      </c>
      <c r="AK2" s="170" t="s">
        <v>164</v>
      </c>
      <c r="AL2" s="170" t="s">
        <v>165</v>
      </c>
      <c r="AM2" s="170" t="s">
        <v>166</v>
      </c>
      <c r="AN2" s="171" t="s">
        <v>167</v>
      </c>
      <c r="AO2" s="172" t="s">
        <v>168</v>
      </c>
      <c r="AP2" s="172" t="s">
        <v>75</v>
      </c>
      <c r="AQ2" s="172" t="s">
        <v>173</v>
      </c>
      <c r="AR2" s="173" t="s">
        <v>174</v>
      </c>
      <c r="AS2" s="157" t="s">
        <v>251</v>
      </c>
      <c r="AT2" s="150" t="s">
        <v>175</v>
      </c>
      <c r="AU2" s="151" t="s">
        <v>176</v>
      </c>
      <c r="AV2" s="150" t="s">
        <v>177</v>
      </c>
      <c r="AW2" s="152" t="s">
        <v>178</v>
      </c>
      <c r="AX2" s="153" t="s">
        <v>179</v>
      </c>
      <c r="AY2" s="152" t="s">
        <v>180</v>
      </c>
      <c r="AZ2" s="154" t="s">
        <v>249</v>
      </c>
      <c r="BA2" s="155" t="s">
        <v>250</v>
      </c>
      <c r="BB2" s="154" t="s">
        <v>217</v>
      </c>
      <c r="BC2" s="155" t="s">
        <v>218</v>
      </c>
      <c r="BD2" s="153" t="s">
        <v>183</v>
      </c>
      <c r="BE2" s="156" t="s">
        <v>93</v>
      </c>
      <c r="BF2" s="174" t="s">
        <v>94</v>
      </c>
      <c r="BG2" s="174" t="s">
        <v>95</v>
      </c>
      <c r="BH2" s="175" t="s">
        <v>96</v>
      </c>
      <c r="BI2" s="174" t="s">
        <v>97</v>
      </c>
      <c r="BJ2" s="174" t="s">
        <v>219</v>
      </c>
      <c r="BK2" s="174" t="s">
        <v>220</v>
      </c>
      <c r="BL2" s="174" t="s">
        <v>221</v>
      </c>
      <c r="BM2" s="174" t="s">
        <v>109</v>
      </c>
      <c r="BN2" s="174" t="s">
        <v>110</v>
      </c>
      <c r="BO2" s="174" t="s">
        <v>111</v>
      </c>
      <c r="BP2" s="174" t="s">
        <v>80</v>
      </c>
      <c r="BQ2" s="158" t="s">
        <v>252</v>
      </c>
      <c r="BR2" s="160" t="s">
        <v>81</v>
      </c>
      <c r="BS2" s="174" t="s">
        <v>82</v>
      </c>
      <c r="BT2" s="159" t="s">
        <v>83</v>
      </c>
    </row>
    <row r="3" spans="1:72" customFormat="1" ht="13" customHeight="1" x14ac:dyDescent="0.15">
      <c r="A3" s="204">
        <v>456</v>
      </c>
      <c r="B3" s="252">
        <v>43292</v>
      </c>
      <c r="C3" s="206" t="s">
        <v>222</v>
      </c>
      <c r="D3" s="204" t="s">
        <v>223</v>
      </c>
      <c r="E3" s="205">
        <v>43281</v>
      </c>
      <c r="F3" s="206" t="s">
        <v>224</v>
      </c>
      <c r="G3" s="204" t="s">
        <v>225</v>
      </c>
      <c r="H3" s="207">
        <v>75.999999999999986</v>
      </c>
      <c r="I3" s="208"/>
      <c r="J3" s="208"/>
      <c r="K3" s="209" t="s">
        <v>266</v>
      </c>
      <c r="L3" s="210">
        <v>2465.7539999999999</v>
      </c>
      <c r="M3" s="210">
        <v>26531.508000000002</v>
      </c>
      <c r="N3" s="210">
        <v>89358.906000000003</v>
      </c>
      <c r="O3" s="204"/>
      <c r="P3" s="204"/>
      <c r="Q3" s="204"/>
      <c r="R3" s="204"/>
      <c r="S3" s="204"/>
      <c r="T3" s="204"/>
      <c r="U3" s="204"/>
      <c r="V3" s="204"/>
      <c r="W3" s="207">
        <v>3.8818181818181809</v>
      </c>
      <c r="X3" s="207">
        <v>3.1999999999999997</v>
      </c>
      <c r="Y3" s="207">
        <v>2.918181818181818</v>
      </c>
      <c r="Z3" s="207">
        <v>2.6818181818181817</v>
      </c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11" t="s">
        <v>228</v>
      </c>
      <c r="AP3" s="211"/>
      <c r="AQ3" s="211"/>
      <c r="AR3" s="211"/>
      <c r="AS3" s="204"/>
      <c r="AT3" s="211">
        <v>0</v>
      </c>
      <c r="AU3" s="211">
        <v>0</v>
      </c>
      <c r="AV3" s="211">
        <v>0</v>
      </c>
      <c r="AW3" s="211">
        <v>0</v>
      </c>
      <c r="AX3" s="211">
        <v>0</v>
      </c>
      <c r="AY3" s="211">
        <v>0</v>
      </c>
      <c r="AZ3" s="211">
        <v>0</v>
      </c>
      <c r="BA3" s="211">
        <v>0</v>
      </c>
      <c r="BB3" s="211">
        <v>0</v>
      </c>
      <c r="BC3" s="211">
        <v>0</v>
      </c>
      <c r="BD3" s="211">
        <v>0</v>
      </c>
      <c r="BE3" s="211">
        <v>0</v>
      </c>
      <c r="BF3" s="211"/>
      <c r="BG3" s="211" t="s">
        <v>228</v>
      </c>
      <c r="BH3" s="211"/>
      <c r="BI3" s="211" t="s">
        <v>228</v>
      </c>
      <c r="BJ3" s="211"/>
      <c r="BK3" s="211"/>
      <c r="BL3" s="211"/>
      <c r="BM3" s="206"/>
      <c r="BN3" s="204"/>
      <c r="BO3" s="211"/>
      <c r="BP3" s="211" t="s">
        <v>229</v>
      </c>
      <c r="BQ3" s="211"/>
      <c r="BR3" s="206"/>
      <c r="BS3" s="204" t="s">
        <v>285</v>
      </c>
      <c r="BT3" s="204" t="s">
        <v>195</v>
      </c>
    </row>
    <row r="4" spans="1:72" customFormat="1" ht="13" customHeight="1" x14ac:dyDescent="0.15">
      <c r="A4" s="204">
        <v>3493</v>
      </c>
      <c r="B4" s="252">
        <v>43292</v>
      </c>
      <c r="C4" s="206" t="s">
        <v>222</v>
      </c>
      <c r="D4" s="204" t="s">
        <v>223</v>
      </c>
      <c r="E4" s="205">
        <v>43281</v>
      </c>
      <c r="F4" s="206" t="s">
        <v>85</v>
      </c>
      <c r="G4" s="204" t="s">
        <v>286</v>
      </c>
      <c r="H4" s="207">
        <v>75.436363636363637</v>
      </c>
      <c r="I4" s="208"/>
      <c r="J4" s="208"/>
      <c r="K4" s="209" t="s">
        <v>266</v>
      </c>
      <c r="L4" s="210">
        <v>2465.7599999999998</v>
      </c>
      <c r="M4" s="210">
        <v>162246.6</v>
      </c>
      <c r="N4" s="210">
        <v>657862.98</v>
      </c>
      <c r="O4" s="204"/>
      <c r="P4" s="204"/>
      <c r="Q4" s="204"/>
      <c r="R4" s="204"/>
      <c r="S4" s="204"/>
      <c r="T4" s="204"/>
      <c r="U4" s="204"/>
      <c r="V4" s="204"/>
      <c r="W4" s="207">
        <v>3.7909090909090906</v>
      </c>
      <c r="X4" s="207">
        <v>3.2727272727272725</v>
      </c>
      <c r="Y4" s="207">
        <v>3.1727272727272728</v>
      </c>
      <c r="Z4" s="207">
        <v>2.9999999999999996</v>
      </c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11" t="s">
        <v>228</v>
      </c>
      <c r="AP4" s="211"/>
      <c r="AQ4" s="211"/>
      <c r="AR4" s="211"/>
      <c r="AS4" s="204"/>
      <c r="AT4" s="211">
        <v>5</v>
      </c>
      <c r="AU4" s="211">
        <v>0</v>
      </c>
      <c r="AV4" s="211">
        <v>0</v>
      </c>
      <c r="AW4" s="211">
        <v>0</v>
      </c>
      <c r="AX4" s="211">
        <v>0</v>
      </c>
      <c r="AY4" s="211">
        <v>0</v>
      </c>
      <c r="AZ4" s="211">
        <v>0</v>
      </c>
      <c r="BA4" s="211">
        <v>0</v>
      </c>
      <c r="BB4" s="211">
        <v>0</v>
      </c>
      <c r="BC4" s="211">
        <v>0</v>
      </c>
      <c r="BD4" s="211">
        <v>0</v>
      </c>
      <c r="BE4" s="211">
        <v>0</v>
      </c>
      <c r="BF4" s="211"/>
      <c r="BG4" s="211" t="s">
        <v>232</v>
      </c>
      <c r="BH4" s="211">
        <v>12</v>
      </c>
      <c r="BI4" s="211" t="s">
        <v>228</v>
      </c>
      <c r="BJ4" s="211"/>
      <c r="BK4" s="211"/>
      <c r="BL4" s="211"/>
      <c r="BM4" s="206" t="s">
        <v>287</v>
      </c>
      <c r="BN4" s="204" t="s">
        <v>288</v>
      </c>
      <c r="BO4" s="211">
        <v>25</v>
      </c>
      <c r="BP4" s="211" t="s">
        <v>229</v>
      </c>
      <c r="BQ4" s="211"/>
      <c r="BR4" s="206" t="s">
        <v>289</v>
      </c>
      <c r="BS4" s="212" t="s">
        <v>290</v>
      </c>
      <c r="BT4" s="204" t="s">
        <v>195</v>
      </c>
    </row>
    <row r="5" spans="1:72" customFormat="1" ht="13" customHeight="1" x14ac:dyDescent="0.15">
      <c r="A5" s="204">
        <v>540</v>
      </c>
      <c r="B5" s="252">
        <v>43292</v>
      </c>
      <c r="C5" s="206" t="s">
        <v>222</v>
      </c>
      <c r="D5" s="204" t="s">
        <v>223</v>
      </c>
      <c r="E5" s="205">
        <v>43281</v>
      </c>
      <c r="F5" s="206" t="s">
        <v>234</v>
      </c>
      <c r="G5" s="204" t="s">
        <v>270</v>
      </c>
      <c r="H5" s="207">
        <v>55.409090909090907</v>
      </c>
      <c r="I5" s="208"/>
      <c r="J5" s="208"/>
      <c r="K5" s="209" t="s">
        <v>266</v>
      </c>
      <c r="L5" s="210">
        <v>2465.7539999999999</v>
      </c>
      <c r="M5" s="210">
        <v>26531.508000000002</v>
      </c>
      <c r="N5" s="210">
        <v>89358.906000000003</v>
      </c>
      <c r="O5" s="204"/>
      <c r="P5" s="204"/>
      <c r="Q5" s="204"/>
      <c r="R5" s="204"/>
      <c r="S5" s="204"/>
      <c r="T5" s="204"/>
      <c r="U5" s="204"/>
      <c r="V5" s="204"/>
      <c r="W5" s="207">
        <v>3.0909090909090904</v>
      </c>
      <c r="X5" s="207">
        <v>2.6181818181818177</v>
      </c>
      <c r="Y5" s="207">
        <v>2.4818181818181815</v>
      </c>
      <c r="Z5" s="207">
        <v>2.3636363636363633</v>
      </c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11" t="s">
        <v>228</v>
      </c>
      <c r="AP5" s="211"/>
      <c r="AQ5" s="211"/>
      <c r="AR5" s="211"/>
      <c r="AS5" s="204"/>
      <c r="AT5" s="211">
        <v>0</v>
      </c>
      <c r="AU5" s="211">
        <v>0</v>
      </c>
      <c r="AV5" s="211">
        <v>0</v>
      </c>
      <c r="AW5" s="211">
        <v>0</v>
      </c>
      <c r="AX5" s="211">
        <v>0</v>
      </c>
      <c r="AY5" s="211">
        <v>0</v>
      </c>
      <c r="AZ5" s="211">
        <v>0</v>
      </c>
      <c r="BA5" s="211">
        <v>0</v>
      </c>
      <c r="BB5" s="211">
        <v>0</v>
      </c>
      <c r="BC5" s="211">
        <v>0</v>
      </c>
      <c r="BD5" s="211">
        <v>0</v>
      </c>
      <c r="BE5" s="211">
        <v>0</v>
      </c>
      <c r="BF5" s="211"/>
      <c r="BG5" s="211" t="s">
        <v>228</v>
      </c>
      <c r="BH5" s="211">
        <v>12</v>
      </c>
      <c r="BI5" s="211" t="s">
        <v>228</v>
      </c>
      <c r="BJ5" s="211"/>
      <c r="BK5" s="211"/>
      <c r="BL5" s="211"/>
      <c r="BM5" s="206"/>
      <c r="BN5" s="204"/>
      <c r="BO5" s="214"/>
      <c r="BP5" s="211" t="s">
        <v>229</v>
      </c>
      <c r="BQ5" s="211"/>
      <c r="BR5" s="206"/>
      <c r="BS5" s="213" t="s">
        <v>291</v>
      </c>
      <c r="BT5" s="204" t="s">
        <v>195</v>
      </c>
    </row>
    <row r="6" spans="1:72" customFormat="1" ht="13" customHeight="1" x14ac:dyDescent="0.15">
      <c r="A6" s="204">
        <v>3014</v>
      </c>
      <c r="B6" s="252">
        <v>43292</v>
      </c>
      <c r="C6" s="206" t="s">
        <v>222</v>
      </c>
      <c r="D6" s="204" t="s">
        <v>223</v>
      </c>
      <c r="E6" s="253">
        <v>43281</v>
      </c>
      <c r="F6" s="206" t="s">
        <v>292</v>
      </c>
      <c r="G6" s="204" t="s">
        <v>273</v>
      </c>
      <c r="H6" s="207">
        <v>55.990909090909092</v>
      </c>
      <c r="I6" s="208"/>
      <c r="J6" s="208"/>
      <c r="K6" s="209" t="s">
        <v>266</v>
      </c>
      <c r="L6" s="210">
        <v>2465.7599999999998</v>
      </c>
      <c r="M6" s="210">
        <v>26531.52</v>
      </c>
      <c r="N6" s="210">
        <v>89358.900000000009</v>
      </c>
      <c r="O6" s="204"/>
      <c r="P6" s="204"/>
      <c r="Q6" s="204"/>
      <c r="R6" s="204"/>
      <c r="S6" s="204"/>
      <c r="T6" s="204"/>
      <c r="U6" s="204"/>
      <c r="V6" s="204"/>
      <c r="W6" s="207">
        <v>2.8909090909090907</v>
      </c>
      <c r="X6" s="207">
        <v>2.3909090909090907</v>
      </c>
      <c r="Y6" s="207">
        <v>2.1818181818181817</v>
      </c>
      <c r="Z6" s="207">
        <v>1.9818181818181817</v>
      </c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11" t="s">
        <v>228</v>
      </c>
      <c r="AP6" s="211"/>
      <c r="AQ6" s="211"/>
      <c r="AR6" s="211"/>
      <c r="AS6" s="204"/>
      <c r="AT6" s="211">
        <v>0</v>
      </c>
      <c r="AU6" s="211">
        <v>0</v>
      </c>
      <c r="AV6" s="211">
        <v>0</v>
      </c>
      <c r="AW6" s="211">
        <v>0</v>
      </c>
      <c r="AX6" s="211">
        <v>0</v>
      </c>
      <c r="AY6" s="211">
        <v>0</v>
      </c>
      <c r="AZ6" s="211">
        <v>0</v>
      </c>
      <c r="BA6" s="211">
        <v>0</v>
      </c>
      <c r="BB6" s="211">
        <v>0</v>
      </c>
      <c r="BC6" s="211">
        <v>0</v>
      </c>
      <c r="BD6" s="211">
        <v>0</v>
      </c>
      <c r="BE6" s="211">
        <v>0</v>
      </c>
      <c r="BF6" s="211"/>
      <c r="BG6" s="211" t="s">
        <v>228</v>
      </c>
      <c r="BH6" s="211"/>
      <c r="BI6" s="211" t="s">
        <v>228</v>
      </c>
      <c r="BJ6" s="211"/>
      <c r="BK6" s="211"/>
      <c r="BL6" s="254">
        <v>43707</v>
      </c>
      <c r="BM6" s="206"/>
      <c r="BN6" s="204"/>
      <c r="BO6" s="214"/>
      <c r="BP6" s="211" t="s">
        <v>229</v>
      </c>
      <c r="BQ6" s="211"/>
      <c r="BR6" s="206"/>
      <c r="BS6" s="213" t="s">
        <v>293</v>
      </c>
      <c r="BT6" s="204" t="s">
        <v>195</v>
      </c>
    </row>
  </sheetData>
  <sheetProtection algorithmName="SHA-512" hashValue="1qpe9r6cr5RFDMlVW+UrwZbqfL6kphOYkRmmJbMz0XnUOmj2nlD5eSFzqT3xi58y4NfhR+K5tD5QMjPIxp4XeA==" saltValue="6Kv8WcxI8H8fjuBY6hxWZg==" spinCount="100000" sheet="1" objects="1" scenarios="1"/>
  <mergeCells count="1">
    <mergeCell ref="K1:N1"/>
  </mergeCells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C324-7D67-2348-BE75-4B2C37D77452}">
  <sheetPr codeName="Sheet19"/>
  <dimension ref="A1:BT6"/>
  <sheetViews>
    <sheetView zoomScale="108" workbookViewId="0">
      <selection activeCell="BR20" sqref="BR20"/>
    </sheetView>
  </sheetViews>
  <sheetFormatPr baseColWidth="10" defaultRowHeight="13" x14ac:dyDescent="0.15"/>
  <cols>
    <col min="1" max="1" width="5.33203125" style="176" bestFit="1" customWidth="1"/>
    <col min="2" max="2" width="10.83203125" style="176"/>
    <col min="3" max="3" width="6.33203125" style="176" customWidth="1"/>
    <col min="4" max="4" width="18.6640625" style="176" customWidth="1"/>
    <col min="5" max="5" width="10.83203125" style="176"/>
    <col min="6" max="6" width="16.1640625" style="176" customWidth="1"/>
    <col min="7" max="7" width="16.5" style="176" customWidth="1"/>
    <col min="8" max="64" width="10.83203125" style="176"/>
    <col min="65" max="65" width="11.83203125" style="176" customWidth="1"/>
    <col min="66" max="66" width="12.1640625" style="176" customWidth="1"/>
    <col min="67" max="67" width="10.83203125" style="176" customWidth="1"/>
    <col min="68" max="69" width="10.83203125" style="176"/>
    <col min="70" max="70" width="20.5" style="176" customWidth="1"/>
    <col min="71" max="71" width="43.33203125" style="176" customWidth="1"/>
    <col min="72" max="16384" width="10.83203125" style="176"/>
  </cols>
  <sheetData>
    <row r="1" spans="1:72" ht="20" customHeight="1" x14ac:dyDescent="0.15">
      <c r="A1" s="159"/>
      <c r="B1" s="159"/>
      <c r="C1" s="160"/>
      <c r="D1" s="161"/>
      <c r="E1" s="159"/>
      <c r="F1" s="160"/>
      <c r="G1" s="161"/>
      <c r="H1" s="162"/>
      <c r="I1" s="146"/>
      <c r="J1" s="163"/>
      <c r="K1" s="259" t="s">
        <v>253</v>
      </c>
      <c r="L1" s="259"/>
      <c r="M1" s="259"/>
      <c r="N1" s="259"/>
      <c r="O1" s="164"/>
      <c r="P1" s="165"/>
      <c r="Q1" s="147"/>
      <c r="R1" s="147"/>
      <c r="S1" s="147"/>
      <c r="T1" s="147"/>
      <c r="U1" s="147"/>
      <c r="V1" s="148"/>
      <c r="W1" s="166"/>
      <c r="X1" s="166"/>
      <c r="Y1" s="166"/>
      <c r="Z1" s="166"/>
      <c r="AA1" s="166"/>
      <c r="AB1" s="167"/>
      <c r="AC1" s="168"/>
      <c r="AD1" s="168"/>
      <c r="AE1" s="168"/>
      <c r="AF1" s="168"/>
      <c r="AG1" s="168"/>
      <c r="AH1" s="169"/>
      <c r="AI1" s="170"/>
      <c r="AJ1" s="170"/>
      <c r="AK1" s="170"/>
      <c r="AL1" s="170"/>
      <c r="AM1" s="170"/>
      <c r="AN1" s="171"/>
      <c r="AO1" s="172"/>
      <c r="AP1" s="172"/>
      <c r="AQ1" s="172"/>
      <c r="AR1" s="173"/>
      <c r="AS1" s="157"/>
      <c r="AT1" s="150"/>
      <c r="AU1" s="151"/>
      <c r="AV1" s="150"/>
      <c r="AW1" s="152"/>
      <c r="AX1" s="153"/>
      <c r="AY1" s="152"/>
      <c r="AZ1" s="154"/>
      <c r="BA1" s="155"/>
      <c r="BB1" s="154"/>
      <c r="BC1" s="155"/>
      <c r="BD1" s="153"/>
      <c r="BE1" s="156"/>
      <c r="BF1" s="174"/>
      <c r="BG1" s="174"/>
      <c r="BH1" s="175"/>
      <c r="BI1" s="174"/>
      <c r="BJ1" s="174"/>
      <c r="BK1" s="174"/>
      <c r="BL1" s="174"/>
      <c r="BM1" s="174"/>
      <c r="BN1" s="174"/>
      <c r="BO1" s="174"/>
      <c r="BP1" s="174"/>
      <c r="BQ1" s="158"/>
      <c r="BR1" s="160"/>
      <c r="BS1" s="174"/>
      <c r="BT1" s="159"/>
    </row>
    <row r="2" spans="1:72" ht="59" customHeight="1" x14ac:dyDescent="0.15">
      <c r="A2" s="159" t="s">
        <v>52</v>
      </c>
      <c r="B2" s="159" t="s">
        <v>53</v>
      </c>
      <c r="C2" s="160" t="s">
        <v>54</v>
      </c>
      <c r="D2" s="161" t="s">
        <v>55</v>
      </c>
      <c r="E2" s="159" t="s">
        <v>56</v>
      </c>
      <c r="F2" s="160" t="s">
        <v>57</v>
      </c>
      <c r="G2" s="161" t="s">
        <v>58</v>
      </c>
      <c r="H2" s="162" t="s">
        <v>155</v>
      </c>
      <c r="I2" s="146" t="s">
        <v>239</v>
      </c>
      <c r="J2" s="163" t="s">
        <v>240</v>
      </c>
      <c r="K2" s="164" t="s">
        <v>156</v>
      </c>
      <c r="L2" s="164" t="s">
        <v>157</v>
      </c>
      <c r="M2" s="164" t="s">
        <v>108</v>
      </c>
      <c r="N2" s="164" t="s">
        <v>113</v>
      </c>
      <c r="O2" s="164" t="s">
        <v>114</v>
      </c>
      <c r="P2" s="165" t="s">
        <v>115</v>
      </c>
      <c r="Q2" s="147" t="s">
        <v>241</v>
      </c>
      <c r="R2" s="147" t="s">
        <v>242</v>
      </c>
      <c r="S2" s="147" t="s">
        <v>243</v>
      </c>
      <c r="T2" s="147" t="s">
        <v>244</v>
      </c>
      <c r="U2" s="147" t="s">
        <v>245</v>
      </c>
      <c r="V2" s="148" t="s">
        <v>246</v>
      </c>
      <c r="W2" s="166" t="s">
        <v>116</v>
      </c>
      <c r="X2" s="166" t="s">
        <v>117</v>
      </c>
      <c r="Y2" s="166" t="s">
        <v>118</v>
      </c>
      <c r="Z2" s="166" t="s">
        <v>119</v>
      </c>
      <c r="AA2" s="166" t="s">
        <v>120</v>
      </c>
      <c r="AB2" s="167" t="s">
        <v>121</v>
      </c>
      <c r="AC2" s="168" t="s">
        <v>122</v>
      </c>
      <c r="AD2" s="168" t="s">
        <v>136</v>
      </c>
      <c r="AE2" s="168" t="s">
        <v>137</v>
      </c>
      <c r="AF2" s="168" t="s">
        <v>138</v>
      </c>
      <c r="AG2" s="168" t="s">
        <v>101</v>
      </c>
      <c r="AH2" s="169" t="s">
        <v>102</v>
      </c>
      <c r="AI2" s="170" t="s">
        <v>103</v>
      </c>
      <c r="AJ2" s="170" t="s">
        <v>163</v>
      </c>
      <c r="AK2" s="170" t="s">
        <v>164</v>
      </c>
      <c r="AL2" s="170" t="s">
        <v>165</v>
      </c>
      <c r="AM2" s="170" t="s">
        <v>166</v>
      </c>
      <c r="AN2" s="171" t="s">
        <v>167</v>
      </c>
      <c r="AO2" s="172" t="s">
        <v>168</v>
      </c>
      <c r="AP2" s="172" t="s">
        <v>75</v>
      </c>
      <c r="AQ2" s="172" t="s">
        <v>173</v>
      </c>
      <c r="AR2" s="173" t="s">
        <v>174</v>
      </c>
      <c r="AS2" s="157" t="s">
        <v>251</v>
      </c>
      <c r="AT2" s="150" t="s">
        <v>175</v>
      </c>
      <c r="AU2" s="151" t="s">
        <v>176</v>
      </c>
      <c r="AV2" s="150" t="s">
        <v>177</v>
      </c>
      <c r="AW2" s="152" t="s">
        <v>178</v>
      </c>
      <c r="AX2" s="153" t="s">
        <v>179</v>
      </c>
      <c r="AY2" s="152" t="s">
        <v>180</v>
      </c>
      <c r="AZ2" s="154" t="s">
        <v>249</v>
      </c>
      <c r="BA2" s="155" t="s">
        <v>250</v>
      </c>
      <c r="BB2" s="154" t="s">
        <v>217</v>
      </c>
      <c r="BC2" s="155" t="s">
        <v>218</v>
      </c>
      <c r="BD2" s="153" t="s">
        <v>183</v>
      </c>
      <c r="BE2" s="156" t="s">
        <v>93</v>
      </c>
      <c r="BF2" s="174" t="s">
        <v>94</v>
      </c>
      <c r="BG2" s="174" t="s">
        <v>95</v>
      </c>
      <c r="BH2" s="175" t="s">
        <v>96</v>
      </c>
      <c r="BI2" s="174" t="s">
        <v>97</v>
      </c>
      <c r="BJ2" s="174" t="s">
        <v>219</v>
      </c>
      <c r="BK2" s="174" t="s">
        <v>220</v>
      </c>
      <c r="BL2" s="174" t="s">
        <v>221</v>
      </c>
      <c r="BM2" s="174" t="s">
        <v>109</v>
      </c>
      <c r="BN2" s="174" t="s">
        <v>110</v>
      </c>
      <c r="BO2" s="174" t="s">
        <v>111</v>
      </c>
      <c r="BP2" s="174" t="s">
        <v>80</v>
      </c>
      <c r="BQ2" s="158" t="s">
        <v>252</v>
      </c>
      <c r="BR2" s="160" t="s">
        <v>81</v>
      </c>
      <c r="BS2" s="174" t="s">
        <v>82</v>
      </c>
      <c r="BT2" s="159" t="s">
        <v>83</v>
      </c>
    </row>
    <row r="3" spans="1:72" customFormat="1" x14ac:dyDescent="0.15">
      <c r="A3" s="90">
        <v>456</v>
      </c>
      <c r="B3" s="91">
        <v>42932</v>
      </c>
      <c r="C3" s="90" t="s">
        <v>263</v>
      </c>
      <c r="D3" s="90" t="s">
        <v>223</v>
      </c>
      <c r="E3" s="91">
        <v>42916</v>
      </c>
      <c r="F3" s="90" t="s">
        <v>264</v>
      </c>
      <c r="G3" s="90" t="s">
        <v>265</v>
      </c>
      <c r="H3" s="243">
        <v>75.999999999999986</v>
      </c>
      <c r="I3" s="243"/>
      <c r="J3" s="243"/>
      <c r="K3" s="90" t="s">
        <v>266</v>
      </c>
      <c r="L3" s="120">
        <v>2465.7539999999999</v>
      </c>
      <c r="M3" s="120">
        <v>26531.508000000002</v>
      </c>
      <c r="N3" s="120">
        <v>89358.906000000003</v>
      </c>
      <c r="O3" s="90"/>
      <c r="P3" s="90"/>
      <c r="Q3" s="90"/>
      <c r="R3" s="90"/>
      <c r="S3" s="90"/>
      <c r="T3" s="90"/>
      <c r="U3" s="90"/>
      <c r="V3" s="90"/>
      <c r="W3" s="243">
        <v>3.5727272727272728</v>
      </c>
      <c r="X3" s="243">
        <v>3.0272727272727269</v>
      </c>
      <c r="Y3" s="243">
        <v>2.8</v>
      </c>
      <c r="Z3" s="243">
        <v>2.5999999999999996</v>
      </c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90" t="s">
        <v>232</v>
      </c>
      <c r="AP3" s="90"/>
      <c r="AQ3" s="90"/>
      <c r="AR3" s="90"/>
      <c r="AS3" s="90"/>
      <c r="AT3" s="90">
        <v>0</v>
      </c>
      <c r="AU3" s="90">
        <v>0</v>
      </c>
      <c r="AV3" s="90">
        <v>0</v>
      </c>
      <c r="AW3" s="90">
        <v>0</v>
      </c>
      <c r="AX3" s="90">
        <v>0</v>
      </c>
      <c r="AY3" s="90">
        <v>0</v>
      </c>
      <c r="AZ3" s="90">
        <v>0</v>
      </c>
      <c r="BA3" s="90">
        <v>0</v>
      </c>
      <c r="BB3" s="90">
        <v>0</v>
      </c>
      <c r="BC3" s="90">
        <v>0</v>
      </c>
      <c r="BD3" s="90">
        <v>0</v>
      </c>
      <c r="BE3" s="90">
        <v>0</v>
      </c>
      <c r="BF3" s="90"/>
      <c r="BG3" s="90" t="s">
        <v>232</v>
      </c>
      <c r="BH3" s="90"/>
      <c r="BI3" s="90" t="s">
        <v>232</v>
      </c>
      <c r="BJ3" s="90"/>
      <c r="BK3" s="90"/>
      <c r="BL3" s="90"/>
      <c r="BM3" s="90"/>
      <c r="BN3" s="90"/>
      <c r="BO3" s="90"/>
      <c r="BP3" s="90" t="s">
        <v>267</v>
      </c>
      <c r="BQ3" s="90"/>
      <c r="BR3" s="90"/>
      <c r="BS3" s="90" t="s">
        <v>212</v>
      </c>
      <c r="BT3" s="90" t="s">
        <v>195</v>
      </c>
    </row>
    <row r="4" spans="1:72" customFormat="1" x14ac:dyDescent="0.15">
      <c r="A4" s="90">
        <v>2181</v>
      </c>
      <c r="B4" s="91">
        <v>42932</v>
      </c>
      <c r="C4" s="90" t="s">
        <v>263</v>
      </c>
      <c r="D4" s="90" t="s">
        <v>223</v>
      </c>
      <c r="E4" s="91">
        <v>42947</v>
      </c>
      <c r="F4" s="90" t="s">
        <v>85</v>
      </c>
      <c r="G4" s="90" t="s">
        <v>260</v>
      </c>
      <c r="H4" s="243">
        <v>69</v>
      </c>
      <c r="I4" s="243"/>
      <c r="J4" s="243"/>
      <c r="K4" s="90" t="s">
        <v>266</v>
      </c>
      <c r="L4" s="120">
        <v>2465.7599999999998</v>
      </c>
      <c r="M4" s="120">
        <v>162246.6</v>
      </c>
      <c r="N4" s="120">
        <v>657862.98</v>
      </c>
      <c r="O4" s="90"/>
      <c r="P4" s="90"/>
      <c r="Q4" s="90"/>
      <c r="R4" s="90"/>
      <c r="S4" s="90"/>
      <c r="T4" s="90"/>
      <c r="U4" s="90"/>
      <c r="V4" s="90"/>
      <c r="W4" s="243">
        <v>3.4454545454545453</v>
      </c>
      <c r="X4" s="243">
        <v>2.9999999999999996</v>
      </c>
      <c r="Y4" s="243">
        <v>2.9090909090909092</v>
      </c>
      <c r="Z4" s="243">
        <v>2.7454545454545451</v>
      </c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90" t="s">
        <v>232</v>
      </c>
      <c r="AP4" s="90"/>
      <c r="AQ4" s="90"/>
      <c r="AR4" s="90"/>
      <c r="AS4" s="90"/>
      <c r="AT4" s="90">
        <v>16</v>
      </c>
      <c r="AU4" s="90">
        <v>0</v>
      </c>
      <c r="AV4" s="90">
        <v>0</v>
      </c>
      <c r="AW4" s="90">
        <v>0</v>
      </c>
      <c r="AX4" s="90">
        <v>0</v>
      </c>
      <c r="AY4" s="90">
        <v>0</v>
      </c>
      <c r="AZ4" s="90">
        <v>0</v>
      </c>
      <c r="BA4" s="90">
        <v>0</v>
      </c>
      <c r="BB4" s="90">
        <v>0</v>
      </c>
      <c r="BC4" s="90">
        <v>0</v>
      </c>
      <c r="BD4" s="90">
        <v>0</v>
      </c>
      <c r="BE4" s="90">
        <v>0</v>
      </c>
      <c r="BF4" s="90"/>
      <c r="BG4" s="90" t="s">
        <v>232</v>
      </c>
      <c r="BH4" s="90">
        <v>12</v>
      </c>
      <c r="BI4" s="90" t="s">
        <v>232</v>
      </c>
      <c r="BJ4" s="90"/>
      <c r="BK4" s="90">
        <v>12</v>
      </c>
      <c r="BL4" s="90"/>
      <c r="BM4" s="90"/>
      <c r="BN4" s="90"/>
      <c r="BO4" s="90"/>
      <c r="BP4" s="90" t="s">
        <v>267</v>
      </c>
      <c r="BQ4" s="90"/>
      <c r="BR4" s="90"/>
      <c r="BS4" s="90" t="s">
        <v>268</v>
      </c>
      <c r="BT4" s="138" t="s">
        <v>195</v>
      </c>
    </row>
    <row r="5" spans="1:72" customFormat="1" x14ac:dyDescent="0.15">
      <c r="A5" s="90">
        <v>540</v>
      </c>
      <c r="B5" s="91">
        <v>42932</v>
      </c>
      <c r="C5" s="90" t="s">
        <v>263</v>
      </c>
      <c r="D5" s="90" t="s">
        <v>223</v>
      </c>
      <c r="E5" s="91">
        <v>42916</v>
      </c>
      <c r="F5" s="90" t="s">
        <v>269</v>
      </c>
      <c r="G5" s="90" t="s">
        <v>270</v>
      </c>
      <c r="H5" s="243">
        <v>71.727272727272734</v>
      </c>
      <c r="I5" s="243"/>
      <c r="J5" s="243"/>
      <c r="K5" s="90" t="s">
        <v>266</v>
      </c>
      <c r="L5" s="120">
        <v>2465.7539999999999</v>
      </c>
      <c r="M5" s="120">
        <v>26520</v>
      </c>
      <c r="N5" s="120">
        <v>89340</v>
      </c>
      <c r="O5" s="90"/>
      <c r="P5" s="90"/>
      <c r="Q5" s="90"/>
      <c r="R5" s="90"/>
      <c r="S5" s="90"/>
      <c r="T5" s="90"/>
      <c r="U5" s="90"/>
      <c r="V5" s="90"/>
      <c r="W5" s="243">
        <v>3.3909090909090907</v>
      </c>
      <c r="X5" s="243">
        <v>2.8727272727272726</v>
      </c>
      <c r="Y5" s="243">
        <v>2.7181818181818183</v>
      </c>
      <c r="Z5" s="243">
        <v>2.5818181818181816</v>
      </c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90" t="s">
        <v>232</v>
      </c>
      <c r="AP5" s="90"/>
      <c r="AQ5" s="90"/>
      <c r="AR5" s="90"/>
      <c r="AS5" s="90"/>
      <c r="AT5" s="90">
        <v>0</v>
      </c>
      <c r="AU5" s="90">
        <v>0</v>
      </c>
      <c r="AV5" s="90">
        <v>0</v>
      </c>
      <c r="AW5" s="90">
        <v>0</v>
      </c>
      <c r="AX5" s="90">
        <v>0</v>
      </c>
      <c r="AY5" s="90">
        <v>0</v>
      </c>
      <c r="AZ5" s="90">
        <v>0</v>
      </c>
      <c r="BA5" s="90">
        <v>0</v>
      </c>
      <c r="BB5" s="90">
        <v>0</v>
      </c>
      <c r="BC5" s="90">
        <v>0</v>
      </c>
      <c r="BD5" s="90">
        <v>0</v>
      </c>
      <c r="BE5" s="90">
        <v>0</v>
      </c>
      <c r="BF5" s="90"/>
      <c r="BG5" s="90" t="s">
        <v>232</v>
      </c>
      <c r="BH5" s="90">
        <v>12</v>
      </c>
      <c r="BI5" s="90" t="s">
        <v>232</v>
      </c>
      <c r="BJ5" s="90"/>
      <c r="BK5" s="90"/>
      <c r="BL5" s="90"/>
      <c r="BM5" s="90"/>
      <c r="BN5" s="90"/>
      <c r="BO5" s="244"/>
      <c r="BP5" s="90" t="s">
        <v>267</v>
      </c>
      <c r="BQ5" s="90"/>
      <c r="BR5" s="90"/>
      <c r="BS5" s="90" t="s">
        <v>271</v>
      </c>
      <c r="BT5" s="90" t="s">
        <v>195</v>
      </c>
    </row>
    <row r="6" spans="1:72" x14ac:dyDescent="0.15">
      <c r="A6" s="90">
        <v>3014</v>
      </c>
      <c r="B6" s="91">
        <v>42932</v>
      </c>
      <c r="C6" s="90" t="s">
        <v>263</v>
      </c>
      <c r="D6" s="90" t="s">
        <v>223</v>
      </c>
      <c r="E6" s="91">
        <v>42916</v>
      </c>
      <c r="F6" s="90" t="s">
        <v>272</v>
      </c>
      <c r="G6" s="90" t="s">
        <v>273</v>
      </c>
      <c r="H6" s="243">
        <v>77.98181818181817</v>
      </c>
      <c r="I6" s="243"/>
      <c r="J6" s="243"/>
      <c r="K6" s="90" t="s">
        <v>266</v>
      </c>
      <c r="L6" s="120">
        <v>3700</v>
      </c>
      <c r="M6" s="120">
        <v>39800</v>
      </c>
      <c r="N6" s="120">
        <v>89340</v>
      </c>
      <c r="O6" s="90"/>
      <c r="P6" s="90"/>
      <c r="Q6" s="90"/>
      <c r="R6" s="90"/>
      <c r="S6" s="90"/>
      <c r="T6" s="90"/>
      <c r="U6" s="90"/>
      <c r="V6" s="90"/>
      <c r="W6" s="243">
        <v>2.8909090909090907</v>
      </c>
      <c r="X6" s="243">
        <v>2.3909090909090907</v>
      </c>
      <c r="Y6" s="243">
        <v>2.1818181818181817</v>
      </c>
      <c r="Z6" s="243">
        <v>1.9818181818181817</v>
      </c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90" t="s">
        <v>232</v>
      </c>
      <c r="AP6" s="90"/>
      <c r="AQ6" s="90"/>
      <c r="AR6" s="90"/>
      <c r="AS6" s="90"/>
      <c r="AT6" s="90">
        <v>0</v>
      </c>
      <c r="AU6" s="90">
        <v>0</v>
      </c>
      <c r="AV6" s="90">
        <v>0</v>
      </c>
      <c r="AW6" s="90">
        <v>0</v>
      </c>
      <c r="AX6" s="90">
        <v>0</v>
      </c>
      <c r="AY6" s="90">
        <v>0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90"/>
      <c r="BG6" s="90" t="s">
        <v>232</v>
      </c>
      <c r="BH6" s="90"/>
      <c r="BI6" s="90" t="s">
        <v>232</v>
      </c>
      <c r="BJ6" s="90"/>
      <c r="BK6" s="90"/>
      <c r="BL6" s="91">
        <v>43464</v>
      </c>
      <c r="BM6" s="90"/>
      <c r="BN6" s="90"/>
      <c r="BO6" s="244"/>
      <c r="BP6" s="90" t="s">
        <v>267</v>
      </c>
      <c r="BQ6" s="90"/>
      <c r="BR6" s="90"/>
      <c r="BS6" s="90" t="s">
        <v>274</v>
      </c>
      <c r="BT6" s="90" t="s">
        <v>195</v>
      </c>
    </row>
  </sheetData>
  <sheetProtection algorithmName="SHA-512" hashValue="6KdcWj0CesRSfk/symSpzd2pmrnr/+Rron5EREshx009OM0miud7oj+teN5CcXiLhjTX+bMP33YrC4ChrjKA2w==" saltValue="KEgjSQ289CIZ348tTctF/w==" spinCount="100000" sheet="1" objects="1" scenarios="1"/>
  <mergeCells count="1">
    <mergeCell ref="K1:N1"/>
  </mergeCells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AC4E7-609D-EC43-97F4-5341D8DE7F77}">
  <sheetPr codeName="Sheet10"/>
  <dimension ref="A1:BT5"/>
  <sheetViews>
    <sheetView zoomScale="108" workbookViewId="0">
      <selection activeCell="L10" sqref="L10"/>
    </sheetView>
  </sheetViews>
  <sheetFormatPr baseColWidth="10" defaultRowHeight="13" x14ac:dyDescent="0.15"/>
  <cols>
    <col min="1" max="1" width="5.33203125" style="176" bestFit="1" customWidth="1"/>
    <col min="2" max="2" width="10.83203125" style="176"/>
    <col min="3" max="3" width="6.33203125" style="176" customWidth="1"/>
    <col min="4" max="4" width="18.6640625" style="176" customWidth="1"/>
    <col min="5" max="5" width="10.83203125" style="176"/>
    <col min="6" max="6" width="16.1640625" style="176" customWidth="1"/>
    <col min="7" max="7" width="16.5" style="176" customWidth="1"/>
    <col min="8" max="64" width="10.83203125" style="176"/>
    <col min="65" max="65" width="11.83203125" style="176" customWidth="1"/>
    <col min="66" max="66" width="12.1640625" style="176" customWidth="1"/>
    <col min="67" max="67" width="10.83203125" style="176" customWidth="1"/>
    <col min="68" max="69" width="10.83203125" style="176"/>
    <col min="70" max="70" width="20.5" style="176" customWidth="1"/>
    <col min="71" max="71" width="43.33203125" style="176" customWidth="1"/>
    <col min="72" max="16384" width="10.83203125" style="176"/>
  </cols>
  <sheetData>
    <row r="1" spans="1:72" ht="20" customHeight="1" x14ac:dyDescent="0.15">
      <c r="A1" s="159"/>
      <c r="B1" s="159"/>
      <c r="C1" s="160"/>
      <c r="D1" s="161"/>
      <c r="E1" s="159"/>
      <c r="F1" s="160"/>
      <c r="G1" s="161"/>
      <c r="H1" s="162"/>
      <c r="I1" s="146"/>
      <c r="J1" s="163"/>
      <c r="K1" s="259" t="s">
        <v>253</v>
      </c>
      <c r="L1" s="259"/>
      <c r="M1" s="259"/>
      <c r="N1" s="259"/>
      <c r="O1" s="164"/>
      <c r="P1" s="165"/>
      <c r="Q1" s="147"/>
      <c r="R1" s="147"/>
      <c r="S1" s="147"/>
      <c r="T1" s="147"/>
      <c r="U1" s="147"/>
      <c r="V1" s="148"/>
      <c r="W1" s="166"/>
      <c r="X1" s="166"/>
      <c r="Y1" s="166"/>
      <c r="Z1" s="166"/>
      <c r="AA1" s="166"/>
      <c r="AB1" s="167"/>
      <c r="AC1" s="168"/>
      <c r="AD1" s="168"/>
      <c r="AE1" s="168"/>
      <c r="AF1" s="168"/>
      <c r="AG1" s="168"/>
      <c r="AH1" s="169"/>
      <c r="AI1" s="170"/>
      <c r="AJ1" s="170"/>
      <c r="AK1" s="170"/>
      <c r="AL1" s="170"/>
      <c r="AM1" s="170"/>
      <c r="AN1" s="171"/>
      <c r="AO1" s="172"/>
      <c r="AP1" s="172"/>
      <c r="AQ1" s="172"/>
      <c r="AR1" s="173"/>
      <c r="AS1" s="157"/>
      <c r="AT1" s="150"/>
      <c r="AU1" s="151"/>
      <c r="AV1" s="150"/>
      <c r="AW1" s="152"/>
      <c r="AX1" s="153"/>
      <c r="AY1" s="152"/>
      <c r="AZ1" s="154"/>
      <c r="BA1" s="155"/>
      <c r="BB1" s="154"/>
      <c r="BC1" s="155"/>
      <c r="BD1" s="153"/>
      <c r="BE1" s="156"/>
      <c r="BF1" s="174"/>
      <c r="BG1" s="174"/>
      <c r="BH1" s="175"/>
      <c r="BI1" s="174"/>
      <c r="BJ1" s="174"/>
      <c r="BK1" s="174"/>
      <c r="BL1" s="174"/>
      <c r="BM1" s="174"/>
      <c r="BN1" s="174"/>
      <c r="BO1" s="174"/>
      <c r="BP1" s="174"/>
      <c r="BQ1" s="158"/>
      <c r="BR1" s="160"/>
      <c r="BS1" s="174"/>
      <c r="BT1" s="159"/>
    </row>
    <row r="2" spans="1:72" ht="59" customHeight="1" x14ac:dyDescent="0.15">
      <c r="A2" s="159" t="s">
        <v>52</v>
      </c>
      <c r="B2" s="159" t="s">
        <v>53</v>
      </c>
      <c r="C2" s="160" t="s">
        <v>54</v>
      </c>
      <c r="D2" s="161" t="s">
        <v>55</v>
      </c>
      <c r="E2" s="159" t="s">
        <v>56</v>
      </c>
      <c r="F2" s="160" t="s">
        <v>57</v>
      </c>
      <c r="G2" s="161" t="s">
        <v>58</v>
      </c>
      <c r="H2" s="162" t="s">
        <v>155</v>
      </c>
      <c r="I2" s="146" t="s">
        <v>239</v>
      </c>
      <c r="J2" s="163" t="s">
        <v>240</v>
      </c>
      <c r="K2" s="164" t="s">
        <v>156</v>
      </c>
      <c r="L2" s="164" t="s">
        <v>157</v>
      </c>
      <c r="M2" s="164" t="s">
        <v>108</v>
      </c>
      <c r="N2" s="164" t="s">
        <v>113</v>
      </c>
      <c r="O2" s="164" t="s">
        <v>114</v>
      </c>
      <c r="P2" s="165" t="s">
        <v>115</v>
      </c>
      <c r="Q2" s="147" t="s">
        <v>241</v>
      </c>
      <c r="R2" s="147" t="s">
        <v>242</v>
      </c>
      <c r="S2" s="147" t="s">
        <v>243</v>
      </c>
      <c r="T2" s="147" t="s">
        <v>244</v>
      </c>
      <c r="U2" s="147" t="s">
        <v>245</v>
      </c>
      <c r="V2" s="148" t="s">
        <v>246</v>
      </c>
      <c r="W2" s="166" t="s">
        <v>116</v>
      </c>
      <c r="X2" s="166" t="s">
        <v>117</v>
      </c>
      <c r="Y2" s="166" t="s">
        <v>118</v>
      </c>
      <c r="Z2" s="166" t="s">
        <v>119</v>
      </c>
      <c r="AA2" s="166" t="s">
        <v>120</v>
      </c>
      <c r="AB2" s="167" t="s">
        <v>121</v>
      </c>
      <c r="AC2" s="168" t="s">
        <v>122</v>
      </c>
      <c r="AD2" s="168" t="s">
        <v>136</v>
      </c>
      <c r="AE2" s="168" t="s">
        <v>137</v>
      </c>
      <c r="AF2" s="168" t="s">
        <v>138</v>
      </c>
      <c r="AG2" s="168" t="s">
        <v>101</v>
      </c>
      <c r="AH2" s="169" t="s">
        <v>102</v>
      </c>
      <c r="AI2" s="170" t="s">
        <v>103</v>
      </c>
      <c r="AJ2" s="170" t="s">
        <v>163</v>
      </c>
      <c r="AK2" s="170" t="s">
        <v>164</v>
      </c>
      <c r="AL2" s="170" t="s">
        <v>165</v>
      </c>
      <c r="AM2" s="170" t="s">
        <v>166</v>
      </c>
      <c r="AN2" s="171" t="s">
        <v>167</v>
      </c>
      <c r="AO2" s="172" t="s">
        <v>168</v>
      </c>
      <c r="AP2" s="172" t="s">
        <v>75</v>
      </c>
      <c r="AQ2" s="172" t="s">
        <v>173</v>
      </c>
      <c r="AR2" s="173" t="s">
        <v>174</v>
      </c>
      <c r="AS2" s="157" t="s">
        <v>251</v>
      </c>
      <c r="AT2" s="150" t="s">
        <v>175</v>
      </c>
      <c r="AU2" s="151" t="s">
        <v>176</v>
      </c>
      <c r="AV2" s="150" t="s">
        <v>177</v>
      </c>
      <c r="AW2" s="152" t="s">
        <v>178</v>
      </c>
      <c r="AX2" s="153" t="s">
        <v>179</v>
      </c>
      <c r="AY2" s="152" t="s">
        <v>180</v>
      </c>
      <c r="AZ2" s="154" t="s">
        <v>249</v>
      </c>
      <c r="BA2" s="155" t="s">
        <v>250</v>
      </c>
      <c r="BB2" s="154" t="s">
        <v>217</v>
      </c>
      <c r="BC2" s="155" t="s">
        <v>218</v>
      </c>
      <c r="BD2" s="153" t="s">
        <v>183</v>
      </c>
      <c r="BE2" s="156" t="s">
        <v>93</v>
      </c>
      <c r="BF2" s="174" t="s">
        <v>94</v>
      </c>
      <c r="BG2" s="174" t="s">
        <v>95</v>
      </c>
      <c r="BH2" s="175" t="s">
        <v>96</v>
      </c>
      <c r="BI2" s="174" t="s">
        <v>97</v>
      </c>
      <c r="BJ2" s="174" t="s">
        <v>219</v>
      </c>
      <c r="BK2" s="174" t="s">
        <v>220</v>
      </c>
      <c r="BL2" s="174" t="s">
        <v>221</v>
      </c>
      <c r="BM2" s="174" t="s">
        <v>109</v>
      </c>
      <c r="BN2" s="174" t="s">
        <v>110</v>
      </c>
      <c r="BO2" s="174" t="s">
        <v>111</v>
      </c>
      <c r="BP2" s="174" t="s">
        <v>80</v>
      </c>
      <c r="BQ2" s="158" t="s">
        <v>252</v>
      </c>
      <c r="BR2" s="160" t="s">
        <v>81</v>
      </c>
      <c r="BS2" s="174" t="s">
        <v>82</v>
      </c>
      <c r="BT2" s="159" t="s">
        <v>83</v>
      </c>
    </row>
    <row r="3" spans="1:72" customFormat="1" x14ac:dyDescent="0.15">
      <c r="A3" s="204">
        <v>456</v>
      </c>
      <c r="B3" s="205">
        <v>42566</v>
      </c>
      <c r="C3" s="206" t="s">
        <v>222</v>
      </c>
      <c r="D3" s="204" t="s">
        <v>223</v>
      </c>
      <c r="E3" s="205">
        <v>42551</v>
      </c>
      <c r="F3" s="206" t="s">
        <v>224</v>
      </c>
      <c r="G3" s="204" t="s">
        <v>225</v>
      </c>
      <c r="H3" s="207">
        <v>78.72727272727272</v>
      </c>
      <c r="I3" s="207"/>
      <c r="J3" s="208"/>
      <c r="K3" s="209" t="s">
        <v>226</v>
      </c>
      <c r="L3" s="210">
        <v>2465.7539999999999</v>
      </c>
      <c r="M3" s="210">
        <v>26531.508000000002</v>
      </c>
      <c r="N3" s="210">
        <v>89358.906000000003</v>
      </c>
      <c r="O3" s="204"/>
      <c r="P3" s="204"/>
      <c r="Q3" s="204"/>
      <c r="R3" s="204"/>
      <c r="S3" s="204"/>
      <c r="T3" s="204"/>
      <c r="U3" s="204"/>
      <c r="V3" s="204"/>
      <c r="W3" s="207">
        <v>3.5818181818181816</v>
      </c>
      <c r="X3" s="207">
        <v>3.0727272727272723</v>
      </c>
      <c r="Y3" s="207">
        <v>2.8181818181818179</v>
      </c>
      <c r="Z3" s="207">
        <v>2.627272727272727</v>
      </c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11" t="s">
        <v>228</v>
      </c>
      <c r="AP3" s="211"/>
      <c r="AQ3" s="211"/>
      <c r="AR3" s="211"/>
      <c r="AS3" s="204"/>
      <c r="AT3" s="211">
        <v>0</v>
      </c>
      <c r="AU3" s="211">
        <v>0</v>
      </c>
      <c r="AV3" s="211">
        <v>0</v>
      </c>
      <c r="AW3" s="211">
        <v>0</v>
      </c>
      <c r="AX3" s="211">
        <v>0</v>
      </c>
      <c r="AY3" s="211">
        <v>0</v>
      </c>
      <c r="AZ3" s="211">
        <v>0</v>
      </c>
      <c r="BA3" s="211">
        <v>0</v>
      </c>
      <c r="BB3" s="211">
        <v>0</v>
      </c>
      <c r="BC3" s="211">
        <v>0</v>
      </c>
      <c r="BD3" s="211">
        <v>0</v>
      </c>
      <c r="BE3" s="211">
        <v>0</v>
      </c>
      <c r="BF3" s="211"/>
      <c r="BG3" s="211" t="s">
        <v>228</v>
      </c>
      <c r="BH3" s="211"/>
      <c r="BI3" s="211" t="s">
        <v>228</v>
      </c>
      <c r="BJ3" s="211"/>
      <c r="BK3" s="211"/>
      <c r="BL3" s="211"/>
      <c r="BM3" s="206"/>
      <c r="BN3" s="204"/>
      <c r="BO3" s="211"/>
      <c r="BP3" s="211" t="s">
        <v>229</v>
      </c>
      <c r="BQ3" s="211"/>
      <c r="BR3" s="206" t="s">
        <v>230</v>
      </c>
      <c r="BS3" s="212" t="s">
        <v>259</v>
      </c>
      <c r="BT3" s="204" t="s">
        <v>213</v>
      </c>
    </row>
    <row r="4" spans="1:72" customFormat="1" x14ac:dyDescent="0.15">
      <c r="A4" s="204">
        <v>2181</v>
      </c>
      <c r="B4" s="205">
        <v>42566</v>
      </c>
      <c r="C4" s="206" t="s">
        <v>222</v>
      </c>
      <c r="D4" s="204" t="s">
        <v>223</v>
      </c>
      <c r="E4" s="205">
        <v>42467</v>
      </c>
      <c r="F4" s="206" t="s">
        <v>85</v>
      </c>
      <c r="G4" s="204" t="s">
        <v>260</v>
      </c>
      <c r="H4" s="207">
        <v>69</v>
      </c>
      <c r="I4" s="207"/>
      <c r="J4" s="208"/>
      <c r="K4" s="209" t="s">
        <v>226</v>
      </c>
      <c r="L4" s="210">
        <v>2465.7599999999998</v>
      </c>
      <c r="M4" s="210">
        <v>162246.6</v>
      </c>
      <c r="N4" s="210">
        <v>657862.98</v>
      </c>
      <c r="O4" s="204"/>
      <c r="P4" s="204"/>
      <c r="Q4" s="204"/>
      <c r="R4" s="204"/>
      <c r="S4" s="204"/>
      <c r="T4" s="204"/>
      <c r="U4" s="204"/>
      <c r="V4" s="204"/>
      <c r="W4" s="207">
        <v>3.4454545454545453</v>
      </c>
      <c r="X4" s="207">
        <v>2.9999999999999996</v>
      </c>
      <c r="Y4" s="207">
        <v>2.9090909090909092</v>
      </c>
      <c r="Z4" s="207">
        <v>2.7454545454545451</v>
      </c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11" t="s">
        <v>228</v>
      </c>
      <c r="AP4" s="211"/>
      <c r="AQ4" s="211"/>
      <c r="AR4" s="211"/>
      <c r="AS4" s="204"/>
      <c r="AT4" s="211">
        <v>9</v>
      </c>
      <c r="AU4" s="211">
        <v>0</v>
      </c>
      <c r="AV4" s="211">
        <v>0</v>
      </c>
      <c r="AW4" s="211">
        <v>0</v>
      </c>
      <c r="AX4" s="211">
        <v>0</v>
      </c>
      <c r="AY4" s="211">
        <v>0</v>
      </c>
      <c r="AZ4" s="211">
        <v>0</v>
      </c>
      <c r="BA4" s="211">
        <v>0</v>
      </c>
      <c r="BB4" s="211">
        <v>0</v>
      </c>
      <c r="BC4" s="211">
        <v>0</v>
      </c>
      <c r="BD4" s="211">
        <v>0</v>
      </c>
      <c r="BE4" s="211">
        <v>0</v>
      </c>
      <c r="BF4" s="211"/>
      <c r="BG4" s="211" t="s">
        <v>232</v>
      </c>
      <c r="BH4" s="211">
        <v>12</v>
      </c>
      <c r="BI4" s="211" t="s">
        <v>228</v>
      </c>
      <c r="BJ4" s="211"/>
      <c r="BK4" s="211">
        <v>12</v>
      </c>
      <c r="BL4" s="211"/>
      <c r="BM4" s="206"/>
      <c r="BN4" s="204"/>
      <c r="BO4" s="211"/>
      <c r="BP4" s="211" t="s">
        <v>229</v>
      </c>
      <c r="BQ4" s="211"/>
      <c r="BR4" s="206"/>
      <c r="BS4" s="213" t="s">
        <v>261</v>
      </c>
      <c r="BT4" s="204" t="s">
        <v>213</v>
      </c>
    </row>
    <row r="5" spans="1:72" customFormat="1" x14ac:dyDescent="0.15">
      <c r="A5" s="204">
        <v>2180</v>
      </c>
      <c r="B5" s="205">
        <v>42566</v>
      </c>
      <c r="C5" s="206" t="s">
        <v>222</v>
      </c>
      <c r="D5" s="204" t="s">
        <v>223</v>
      </c>
      <c r="E5" s="205">
        <v>42565</v>
      </c>
      <c r="F5" s="206" t="s">
        <v>234</v>
      </c>
      <c r="G5" s="204" t="s">
        <v>235</v>
      </c>
      <c r="H5" s="207">
        <v>72.181818181818187</v>
      </c>
      <c r="I5" s="207"/>
      <c r="J5" s="208"/>
      <c r="K5" s="209" t="s">
        <v>226</v>
      </c>
      <c r="L5" s="210">
        <v>2465.7539999999999</v>
      </c>
      <c r="M5" s="210">
        <v>162246.576</v>
      </c>
      <c r="N5" s="210">
        <v>657863.01599999995</v>
      </c>
      <c r="O5" s="204"/>
      <c r="P5" s="204"/>
      <c r="Q5" s="204"/>
      <c r="R5" s="204"/>
      <c r="S5" s="204"/>
      <c r="T5" s="204"/>
      <c r="U5" s="204"/>
      <c r="V5" s="204"/>
      <c r="W5" s="207">
        <v>3.4181818181818175</v>
      </c>
      <c r="X5" s="207">
        <v>2.8454545454545452</v>
      </c>
      <c r="Y5" s="207">
        <v>2.6636363636363636</v>
      </c>
      <c r="Z5" s="207">
        <v>2.5090909090909088</v>
      </c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11" t="s">
        <v>228</v>
      </c>
      <c r="AP5" s="211"/>
      <c r="AQ5" s="211"/>
      <c r="AR5" s="211"/>
      <c r="AS5" s="204"/>
      <c r="AT5" s="211">
        <v>0</v>
      </c>
      <c r="AU5" s="211">
        <v>10</v>
      </c>
      <c r="AV5" s="211">
        <v>0</v>
      </c>
      <c r="AW5" s="211">
        <v>0</v>
      </c>
      <c r="AX5" s="211">
        <v>0</v>
      </c>
      <c r="AY5" s="211">
        <v>0</v>
      </c>
      <c r="AZ5" s="211">
        <v>0</v>
      </c>
      <c r="BA5" s="211">
        <v>0</v>
      </c>
      <c r="BB5" s="211">
        <v>0</v>
      </c>
      <c r="BC5" s="211">
        <v>0</v>
      </c>
      <c r="BD5" s="211">
        <v>0</v>
      </c>
      <c r="BE5" s="211">
        <v>0</v>
      </c>
      <c r="BF5" s="211"/>
      <c r="BG5" s="211" t="s">
        <v>228</v>
      </c>
      <c r="BH5" s="211">
        <v>12</v>
      </c>
      <c r="BI5" s="211" t="s">
        <v>228</v>
      </c>
      <c r="BJ5" s="211"/>
      <c r="BK5" s="211"/>
      <c r="BL5" s="211"/>
      <c r="BM5" s="206"/>
      <c r="BN5" s="204"/>
      <c r="BO5" s="214"/>
      <c r="BP5" s="211" t="s">
        <v>229</v>
      </c>
      <c r="BQ5" s="211"/>
      <c r="BR5" s="206"/>
      <c r="BS5" s="215" t="s">
        <v>262</v>
      </c>
      <c r="BT5" s="204" t="s">
        <v>195</v>
      </c>
    </row>
  </sheetData>
  <sheetProtection algorithmName="SHA-512" hashValue="4Ifc0BWax/pD19TZgrDxpBgkVsPygDz1WdPQ+51dK9llH881r1KfD7hm1cHZVXELDrWde1Ro+W0fvg8F2NujjQ==" saltValue="lPfzBfoWXMhOLWrZcPUbGA==" spinCount="100000" sheet="1" objects="1" scenarios="1"/>
  <mergeCells count="1">
    <mergeCell ref="K1:N1"/>
  </mergeCells>
  <hyperlinks>
    <hyperlink ref="BS4" r:id="rId1" xr:uid="{1659E8FB-7A35-9C4D-9503-C94C0BDCB0E0}"/>
  </hyperlinks>
  <pageMargins left="0.75" right="0.75" top="1" bottom="1" header="0.5" footer="0.5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4ED4C-31BE-3141-9392-7A76D7D98924}">
  <sheetPr codeName="Sheet11"/>
  <dimension ref="A1:BV4"/>
  <sheetViews>
    <sheetView workbookViewId="0">
      <selection activeCell="L10" sqref="L10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67" max="67" width="11.83203125" customWidth="1"/>
    <col min="68" max="68" width="12.1640625" customWidth="1"/>
    <col min="69" max="69" width="10.83203125" customWidth="1"/>
    <col min="72" max="72" width="20.5" customWidth="1"/>
    <col min="73" max="73" width="43.33203125" customWidth="1"/>
  </cols>
  <sheetData>
    <row r="1" spans="1:74" ht="70" x14ac:dyDescent="0.15">
      <c r="A1" s="69" t="s">
        <v>52</v>
      </c>
      <c r="B1" s="69" t="s">
        <v>53</v>
      </c>
      <c r="C1" s="70" t="s">
        <v>54</v>
      </c>
      <c r="D1" s="71" t="s">
        <v>55</v>
      </c>
      <c r="E1" s="69" t="s">
        <v>56</v>
      </c>
      <c r="F1" s="70" t="s">
        <v>57</v>
      </c>
      <c r="G1" s="71" t="s">
        <v>58</v>
      </c>
      <c r="H1" s="72" t="s">
        <v>155</v>
      </c>
      <c r="I1" s="146" t="s">
        <v>239</v>
      </c>
      <c r="J1" s="146" t="s">
        <v>240</v>
      </c>
      <c r="K1" s="73" t="s">
        <v>156</v>
      </c>
      <c r="L1" s="73" t="s">
        <v>157</v>
      </c>
      <c r="M1" s="73" t="s">
        <v>108</v>
      </c>
      <c r="N1" s="73" t="s">
        <v>113</v>
      </c>
      <c r="O1" s="73" t="s">
        <v>114</v>
      </c>
      <c r="P1" s="74" t="s">
        <v>115</v>
      </c>
      <c r="Q1" s="147" t="s">
        <v>241</v>
      </c>
      <c r="R1" s="147" t="s">
        <v>242</v>
      </c>
      <c r="S1" s="147" t="s">
        <v>243</v>
      </c>
      <c r="T1" s="147" t="s">
        <v>244</v>
      </c>
      <c r="U1" s="147" t="s">
        <v>245</v>
      </c>
      <c r="V1" s="148" t="s">
        <v>246</v>
      </c>
      <c r="W1" s="75" t="s">
        <v>116</v>
      </c>
      <c r="X1" s="75" t="s">
        <v>117</v>
      </c>
      <c r="Y1" s="75" t="s">
        <v>118</v>
      </c>
      <c r="Z1" s="75" t="s">
        <v>119</v>
      </c>
      <c r="AA1" s="75" t="s">
        <v>120</v>
      </c>
      <c r="AB1" s="76" t="s">
        <v>121</v>
      </c>
      <c r="AC1" s="77" t="s">
        <v>122</v>
      </c>
      <c r="AD1" s="77" t="s">
        <v>136</v>
      </c>
      <c r="AE1" s="77" t="s">
        <v>137</v>
      </c>
      <c r="AF1" s="77" t="s">
        <v>138</v>
      </c>
      <c r="AG1" s="77" t="s">
        <v>101</v>
      </c>
      <c r="AH1" s="78" t="s">
        <v>102</v>
      </c>
      <c r="AI1" s="79" t="s">
        <v>103</v>
      </c>
      <c r="AJ1" s="79" t="s">
        <v>163</v>
      </c>
      <c r="AK1" s="79" t="s">
        <v>164</v>
      </c>
      <c r="AL1" s="79" t="s">
        <v>165</v>
      </c>
      <c r="AM1" s="79" t="s">
        <v>166</v>
      </c>
      <c r="AN1" s="80" t="s">
        <v>167</v>
      </c>
      <c r="AO1" s="81" t="s">
        <v>168</v>
      </c>
      <c r="AP1" s="81" t="s">
        <v>75</v>
      </c>
      <c r="AQ1" s="81" t="s">
        <v>173</v>
      </c>
      <c r="AR1" s="82" t="s">
        <v>174</v>
      </c>
      <c r="AS1" s="149" t="s">
        <v>247</v>
      </c>
      <c r="AT1" s="149" t="s">
        <v>248</v>
      </c>
      <c r="AU1" s="157" t="s">
        <v>251</v>
      </c>
      <c r="AV1" s="150" t="s">
        <v>175</v>
      </c>
      <c r="AW1" s="151" t="s">
        <v>176</v>
      </c>
      <c r="AX1" s="150" t="s">
        <v>177</v>
      </c>
      <c r="AY1" s="152" t="s">
        <v>178</v>
      </c>
      <c r="AZ1" s="153" t="s">
        <v>179</v>
      </c>
      <c r="BA1" s="152" t="s">
        <v>180</v>
      </c>
      <c r="BB1" s="154" t="s">
        <v>249</v>
      </c>
      <c r="BC1" s="155" t="s">
        <v>250</v>
      </c>
      <c r="BD1" s="154" t="s">
        <v>217</v>
      </c>
      <c r="BE1" s="155" t="s">
        <v>218</v>
      </c>
      <c r="BF1" s="153" t="s">
        <v>183</v>
      </c>
      <c r="BG1" s="156" t="s">
        <v>93</v>
      </c>
      <c r="BH1" s="86" t="s">
        <v>94</v>
      </c>
      <c r="BI1" s="86" t="s">
        <v>95</v>
      </c>
      <c r="BJ1" s="144" t="s">
        <v>96</v>
      </c>
      <c r="BK1" s="86" t="s">
        <v>97</v>
      </c>
      <c r="BL1" s="86" t="s">
        <v>219</v>
      </c>
      <c r="BM1" s="86" t="s">
        <v>220</v>
      </c>
      <c r="BN1" s="86" t="s">
        <v>221</v>
      </c>
      <c r="BO1" s="86" t="s">
        <v>109</v>
      </c>
      <c r="BP1" s="86" t="s">
        <v>110</v>
      </c>
      <c r="BQ1" s="86" t="s">
        <v>111</v>
      </c>
      <c r="BR1" s="86" t="s">
        <v>80</v>
      </c>
      <c r="BS1" s="158" t="s">
        <v>252</v>
      </c>
      <c r="BT1" s="70" t="s">
        <v>81</v>
      </c>
      <c r="BU1" s="86" t="s">
        <v>82</v>
      </c>
      <c r="BV1" s="69" t="s">
        <v>83</v>
      </c>
    </row>
    <row r="2" spans="1:74" x14ac:dyDescent="0.15">
      <c r="A2" s="88">
        <v>456</v>
      </c>
      <c r="B2" s="137">
        <v>42202</v>
      </c>
      <c r="C2" s="89" t="s">
        <v>222</v>
      </c>
      <c r="D2" s="138" t="s">
        <v>223</v>
      </c>
      <c r="E2" s="91">
        <v>42185</v>
      </c>
      <c r="F2" s="89" t="s">
        <v>224</v>
      </c>
      <c r="G2" s="90" t="s">
        <v>225</v>
      </c>
      <c r="H2" s="139">
        <v>78.72727272727272</v>
      </c>
      <c r="I2" s="139"/>
      <c r="J2" s="139"/>
      <c r="K2" s="92" t="s">
        <v>226</v>
      </c>
      <c r="L2" s="120">
        <v>2465.7539999999999</v>
      </c>
      <c r="M2" s="120">
        <v>26531.508000000002</v>
      </c>
      <c r="N2" s="120">
        <v>89358.06</v>
      </c>
      <c r="O2" s="90"/>
      <c r="P2" s="90"/>
      <c r="Q2" s="90"/>
      <c r="R2" s="90"/>
      <c r="S2" s="90"/>
      <c r="T2" s="90"/>
      <c r="U2" s="90"/>
      <c r="V2" s="90"/>
      <c r="W2" s="140">
        <v>3.5818181818181816</v>
      </c>
      <c r="X2" s="140">
        <v>3.0727272727272723</v>
      </c>
      <c r="Y2" s="140">
        <v>2.8181818181818179</v>
      </c>
      <c r="Z2" s="140">
        <v>2.627272727272727</v>
      </c>
      <c r="AA2" s="140" t="s">
        <v>227</v>
      </c>
      <c r="AB2" s="140" t="s">
        <v>227</v>
      </c>
      <c r="AC2" s="140" t="s">
        <v>227</v>
      </c>
      <c r="AD2" s="140" t="s">
        <v>227</v>
      </c>
      <c r="AE2" s="140" t="s">
        <v>227</v>
      </c>
      <c r="AF2" s="140" t="s">
        <v>227</v>
      </c>
      <c r="AG2" s="140" t="s">
        <v>227</v>
      </c>
      <c r="AH2" s="140" t="s">
        <v>227</v>
      </c>
      <c r="AI2" s="140" t="s">
        <v>227</v>
      </c>
      <c r="AJ2" s="140" t="s">
        <v>227</v>
      </c>
      <c r="AK2" s="140" t="s">
        <v>227</v>
      </c>
      <c r="AL2" s="140" t="s">
        <v>227</v>
      </c>
      <c r="AM2" s="140" t="s">
        <v>227</v>
      </c>
      <c r="AN2" s="140" t="s">
        <v>227</v>
      </c>
      <c r="AO2" s="93" t="s">
        <v>228</v>
      </c>
      <c r="AP2" s="93"/>
      <c r="AQ2" s="93"/>
      <c r="AR2" s="93"/>
      <c r="AS2" s="93"/>
      <c r="AT2" s="93"/>
      <c r="AU2" s="93"/>
      <c r="AV2" s="93">
        <v>0</v>
      </c>
      <c r="AW2" s="93">
        <v>0</v>
      </c>
      <c r="AX2" s="93">
        <v>0</v>
      </c>
      <c r="AY2" s="93">
        <v>0</v>
      </c>
      <c r="AZ2" s="93">
        <v>0</v>
      </c>
      <c r="BA2" s="93">
        <v>0</v>
      </c>
      <c r="BB2" s="93">
        <v>0</v>
      </c>
      <c r="BC2" s="93">
        <v>0</v>
      </c>
      <c r="BD2" s="93">
        <v>0</v>
      </c>
      <c r="BE2" s="93">
        <v>0</v>
      </c>
      <c r="BF2" s="93">
        <v>0</v>
      </c>
      <c r="BG2" s="93">
        <v>0</v>
      </c>
      <c r="BH2" s="93"/>
      <c r="BI2" s="93" t="s">
        <v>228</v>
      </c>
      <c r="BJ2" s="93"/>
      <c r="BK2" s="93" t="s">
        <v>228</v>
      </c>
      <c r="BL2" s="93"/>
      <c r="BM2" s="93"/>
      <c r="BN2" s="93"/>
      <c r="BO2" s="89"/>
      <c r="BP2" s="90"/>
      <c r="BQ2" s="93"/>
      <c r="BR2" s="93" t="s">
        <v>229</v>
      </c>
      <c r="BS2" s="93"/>
      <c r="BT2" s="89" t="s">
        <v>230</v>
      </c>
      <c r="BU2" s="145" t="s">
        <v>231</v>
      </c>
      <c r="BV2" s="138" t="s">
        <v>195</v>
      </c>
    </row>
    <row r="3" spans="1:74" x14ac:dyDescent="0.15">
      <c r="A3" s="88">
        <v>2181</v>
      </c>
      <c r="B3" s="137">
        <v>42202</v>
      </c>
      <c r="C3" s="89" t="s">
        <v>222</v>
      </c>
      <c r="D3" s="138" t="s">
        <v>223</v>
      </c>
      <c r="E3" s="91">
        <v>42195</v>
      </c>
      <c r="F3" s="89" t="s">
        <v>85</v>
      </c>
      <c r="G3" s="138" t="s">
        <v>238</v>
      </c>
      <c r="H3" s="139">
        <v>67.900000000000006</v>
      </c>
      <c r="I3" s="139"/>
      <c r="J3" s="139"/>
      <c r="K3" s="92" t="s">
        <v>226</v>
      </c>
      <c r="L3" s="120">
        <v>2465.7599999999998</v>
      </c>
      <c r="M3" s="120">
        <v>26531.508000000002</v>
      </c>
      <c r="N3" s="120">
        <v>89358.06</v>
      </c>
      <c r="O3" s="90"/>
      <c r="P3" s="90"/>
      <c r="Q3" s="90"/>
      <c r="R3" s="90"/>
      <c r="S3" s="90"/>
      <c r="T3" s="90"/>
      <c r="U3" s="90"/>
      <c r="V3" s="90"/>
      <c r="W3" s="140">
        <v>3.39</v>
      </c>
      <c r="X3" s="140">
        <v>2.95</v>
      </c>
      <c r="Y3" s="140">
        <v>2.86</v>
      </c>
      <c r="Z3" s="140">
        <v>2.7</v>
      </c>
      <c r="AA3" s="140" t="s">
        <v>227</v>
      </c>
      <c r="AB3" s="140" t="s">
        <v>227</v>
      </c>
      <c r="AC3" s="140" t="s">
        <v>227</v>
      </c>
      <c r="AD3" s="140" t="s">
        <v>227</v>
      </c>
      <c r="AE3" s="140" t="s">
        <v>227</v>
      </c>
      <c r="AF3" s="140" t="s">
        <v>227</v>
      </c>
      <c r="AG3" s="140" t="s">
        <v>227</v>
      </c>
      <c r="AH3" s="140" t="s">
        <v>227</v>
      </c>
      <c r="AI3" s="140" t="s">
        <v>227</v>
      </c>
      <c r="AJ3" s="140" t="s">
        <v>227</v>
      </c>
      <c r="AK3" s="140" t="s">
        <v>227</v>
      </c>
      <c r="AL3" s="140" t="s">
        <v>227</v>
      </c>
      <c r="AM3" s="140" t="s">
        <v>227</v>
      </c>
      <c r="AN3" s="140" t="s">
        <v>227</v>
      </c>
      <c r="AO3" s="93" t="s">
        <v>228</v>
      </c>
      <c r="AP3" s="93"/>
      <c r="AQ3" s="93"/>
      <c r="AR3" s="93"/>
      <c r="AS3" s="93"/>
      <c r="AT3" s="93"/>
      <c r="AU3" s="93"/>
      <c r="AV3" s="93">
        <v>9</v>
      </c>
      <c r="AW3" s="93">
        <v>0</v>
      </c>
      <c r="AX3" s="93">
        <v>0</v>
      </c>
      <c r="AY3" s="93">
        <v>0</v>
      </c>
      <c r="AZ3" s="93">
        <v>0</v>
      </c>
      <c r="BA3" s="93">
        <v>0</v>
      </c>
      <c r="BB3" s="93">
        <v>0</v>
      </c>
      <c r="BC3" s="93">
        <v>0</v>
      </c>
      <c r="BD3" s="93">
        <v>0</v>
      </c>
      <c r="BE3" s="93">
        <v>0</v>
      </c>
      <c r="BF3" s="93">
        <v>0</v>
      </c>
      <c r="BG3" s="93">
        <v>0</v>
      </c>
      <c r="BH3" s="93"/>
      <c r="BI3" s="141" t="s">
        <v>232</v>
      </c>
      <c r="BJ3" s="93">
        <v>12</v>
      </c>
      <c r="BK3" s="93" t="s">
        <v>228</v>
      </c>
      <c r="BL3" s="93"/>
      <c r="BM3" s="93">
        <v>12</v>
      </c>
      <c r="BN3" s="93"/>
      <c r="BO3" s="89"/>
      <c r="BP3" s="90"/>
      <c r="BQ3" s="93"/>
      <c r="BR3" s="93" t="s">
        <v>229</v>
      </c>
      <c r="BS3" s="93"/>
      <c r="BT3" s="89"/>
      <c r="BU3" s="145" t="s">
        <v>237</v>
      </c>
      <c r="BV3" s="138" t="s">
        <v>233</v>
      </c>
    </row>
    <row r="4" spans="1:74" x14ac:dyDescent="0.15">
      <c r="A4" s="88">
        <v>2180</v>
      </c>
      <c r="B4" s="137">
        <v>42202</v>
      </c>
      <c r="C4" s="89" t="s">
        <v>222</v>
      </c>
      <c r="D4" s="138" t="s">
        <v>223</v>
      </c>
      <c r="E4" s="91">
        <v>42192</v>
      </c>
      <c r="F4" s="89" t="s">
        <v>234</v>
      </c>
      <c r="G4" s="138" t="s">
        <v>235</v>
      </c>
      <c r="H4" s="139">
        <v>72.25454545454545</v>
      </c>
      <c r="I4" s="139"/>
      <c r="J4" s="139"/>
      <c r="K4" s="92" t="s">
        <v>226</v>
      </c>
      <c r="L4" s="120">
        <v>2465.7539999999999</v>
      </c>
      <c r="M4" s="120">
        <v>26531.508000000002</v>
      </c>
      <c r="N4" s="120">
        <v>89358.06</v>
      </c>
      <c r="O4" s="90"/>
      <c r="P4" s="90"/>
      <c r="Q4" s="90"/>
      <c r="R4" s="90"/>
      <c r="S4" s="90"/>
      <c r="T4" s="90"/>
      <c r="U4" s="90"/>
      <c r="V4" s="90"/>
      <c r="W4" s="140">
        <v>3.4272727272727268</v>
      </c>
      <c r="X4" s="140">
        <v>2.9090909090909092</v>
      </c>
      <c r="Y4" s="140">
        <v>2.7272727272727271</v>
      </c>
      <c r="Z4" s="140">
        <v>2.5818181818181816</v>
      </c>
      <c r="AA4" s="140" t="s">
        <v>227</v>
      </c>
      <c r="AB4" s="140" t="s">
        <v>227</v>
      </c>
      <c r="AC4" s="140" t="s">
        <v>227</v>
      </c>
      <c r="AD4" s="140" t="s">
        <v>227</v>
      </c>
      <c r="AE4" s="140" t="s">
        <v>227</v>
      </c>
      <c r="AF4" s="140" t="s">
        <v>227</v>
      </c>
      <c r="AG4" s="140" t="s">
        <v>227</v>
      </c>
      <c r="AH4" s="140" t="s">
        <v>227</v>
      </c>
      <c r="AI4" s="140" t="s">
        <v>227</v>
      </c>
      <c r="AJ4" s="140" t="s">
        <v>227</v>
      </c>
      <c r="AK4" s="140" t="s">
        <v>227</v>
      </c>
      <c r="AL4" s="140" t="s">
        <v>227</v>
      </c>
      <c r="AM4" s="140" t="s">
        <v>227</v>
      </c>
      <c r="AN4" s="140" t="s">
        <v>227</v>
      </c>
      <c r="AO4" s="93" t="s">
        <v>228</v>
      </c>
      <c r="AP4" s="93"/>
      <c r="AQ4" s="93"/>
      <c r="AR4" s="93"/>
      <c r="AS4" s="93"/>
      <c r="AT4" s="93"/>
      <c r="AU4" s="93"/>
      <c r="AV4" s="93">
        <v>0</v>
      </c>
      <c r="AW4" s="93">
        <v>10</v>
      </c>
      <c r="AX4" s="93">
        <v>0</v>
      </c>
      <c r="AY4" s="93">
        <v>0</v>
      </c>
      <c r="AZ4" s="93">
        <v>0</v>
      </c>
      <c r="BA4" s="93">
        <v>0</v>
      </c>
      <c r="BB4" s="93">
        <v>0</v>
      </c>
      <c r="BC4" s="93">
        <v>0</v>
      </c>
      <c r="BD4" s="93">
        <v>0</v>
      </c>
      <c r="BE4" s="93">
        <v>0</v>
      </c>
      <c r="BF4" s="93">
        <v>0</v>
      </c>
      <c r="BG4" s="93">
        <v>0</v>
      </c>
      <c r="BH4" s="90"/>
      <c r="BI4" s="93" t="s">
        <v>228</v>
      </c>
      <c r="BJ4" s="93">
        <v>12</v>
      </c>
      <c r="BK4" s="93" t="s">
        <v>228</v>
      </c>
      <c r="BL4" s="93"/>
      <c r="BM4" s="93"/>
      <c r="BN4" s="93"/>
      <c r="BO4" s="142"/>
      <c r="BP4" s="138"/>
      <c r="BQ4" s="143"/>
      <c r="BR4" s="93" t="s">
        <v>229</v>
      </c>
      <c r="BS4" s="93"/>
      <c r="BT4" s="142"/>
      <c r="BU4" s="145" t="s">
        <v>236</v>
      </c>
      <c r="BV4" s="138" t="s">
        <v>233</v>
      </c>
    </row>
  </sheetData>
  <sheetProtection algorithmName="SHA-512" hashValue="tyo0qDFrNuSb2lJdF+nhHkWhEkd2HVluUAoMEulN17RnrPWg70/ZTWmquC6jWdp/+fwlQmVzy0Tg2GAk2ptE1w==" saltValue="beRVQX/34lvmx3+eNp+fxw==" spinCount="100000" sheet="1" objects="1" scenarios="1"/>
  <hyperlinks>
    <hyperlink ref="BU2" r:id="rId1" xr:uid="{F4EE4AB4-37ED-9F4C-9C8F-ADD12FD310AC}"/>
    <hyperlink ref="BU4" r:id="rId2" xr:uid="{D1602FE7-F527-C444-81B2-DB910D65079C}"/>
    <hyperlink ref="BU3" r:id="rId3" xr:uid="{060551A6-6A8C-4A4B-80E7-B69A1C2F3DFD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9B5C-FBAA-2E4A-92F5-CF92E508C157}">
  <sheetPr codeName="Sheet12"/>
  <dimension ref="A1:BE4"/>
  <sheetViews>
    <sheetView topLeftCell="AF1" workbookViewId="0">
      <selection activeCell="G4" sqref="G4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69" t="s">
        <v>52</v>
      </c>
      <c r="B1" s="69" t="s">
        <v>53</v>
      </c>
      <c r="C1" s="70" t="s">
        <v>54</v>
      </c>
      <c r="D1" s="71" t="s">
        <v>55</v>
      </c>
      <c r="E1" s="69" t="s">
        <v>56</v>
      </c>
      <c r="F1" s="70" t="s">
        <v>57</v>
      </c>
      <c r="G1" s="71" t="s">
        <v>58</v>
      </c>
      <c r="H1" s="72" t="s">
        <v>155</v>
      </c>
      <c r="I1" s="73" t="s">
        <v>156</v>
      </c>
      <c r="J1" s="73" t="s">
        <v>157</v>
      </c>
      <c r="K1" s="73" t="s">
        <v>108</v>
      </c>
      <c r="L1" s="73" t="s">
        <v>113</v>
      </c>
      <c r="M1" s="73" t="s">
        <v>114</v>
      </c>
      <c r="N1" s="74" t="s">
        <v>115</v>
      </c>
      <c r="O1" s="75" t="s">
        <v>116</v>
      </c>
      <c r="P1" s="75" t="s">
        <v>117</v>
      </c>
      <c r="Q1" s="75" t="s">
        <v>118</v>
      </c>
      <c r="R1" s="75" t="s">
        <v>119</v>
      </c>
      <c r="S1" s="75" t="s">
        <v>120</v>
      </c>
      <c r="T1" s="76" t="s">
        <v>121</v>
      </c>
      <c r="U1" s="77" t="s">
        <v>122</v>
      </c>
      <c r="V1" s="77" t="s">
        <v>136</v>
      </c>
      <c r="W1" s="77" t="s">
        <v>137</v>
      </c>
      <c r="X1" s="77" t="s">
        <v>138</v>
      </c>
      <c r="Y1" s="77" t="s">
        <v>101</v>
      </c>
      <c r="Z1" s="78" t="s">
        <v>102</v>
      </c>
      <c r="AA1" s="79" t="s">
        <v>103</v>
      </c>
      <c r="AB1" s="79" t="s">
        <v>163</v>
      </c>
      <c r="AC1" s="79" t="s">
        <v>164</v>
      </c>
      <c r="AD1" s="79" t="s">
        <v>165</v>
      </c>
      <c r="AE1" s="79" t="s">
        <v>166</v>
      </c>
      <c r="AF1" s="80" t="s">
        <v>167</v>
      </c>
      <c r="AG1" s="81" t="s">
        <v>168</v>
      </c>
      <c r="AH1" s="81" t="s">
        <v>75</v>
      </c>
      <c r="AI1" s="81" t="s">
        <v>173</v>
      </c>
      <c r="AJ1" s="82" t="s">
        <v>174</v>
      </c>
      <c r="AK1" s="83" t="s">
        <v>175</v>
      </c>
      <c r="AL1" s="84" t="s">
        <v>176</v>
      </c>
      <c r="AM1" s="83" t="s">
        <v>177</v>
      </c>
      <c r="AN1" s="75" t="s">
        <v>178</v>
      </c>
      <c r="AO1" s="85" t="s">
        <v>179</v>
      </c>
      <c r="AP1" s="75" t="s">
        <v>180</v>
      </c>
      <c r="AQ1" s="85" t="s">
        <v>181</v>
      </c>
      <c r="AR1" s="76" t="s">
        <v>182</v>
      </c>
      <c r="AS1" s="85" t="s">
        <v>183</v>
      </c>
      <c r="AT1" s="76" t="s">
        <v>93</v>
      </c>
      <c r="AU1" s="69" t="s">
        <v>94</v>
      </c>
      <c r="AV1" s="86" t="s">
        <v>95</v>
      </c>
      <c r="AW1" s="87" t="s">
        <v>96</v>
      </c>
      <c r="AX1" s="86" t="s">
        <v>97</v>
      </c>
      <c r="AY1" s="69" t="s">
        <v>109</v>
      </c>
      <c r="AZ1" s="70" t="s">
        <v>110</v>
      </c>
      <c r="BA1" s="86" t="s">
        <v>111</v>
      </c>
      <c r="BB1" s="86" t="s">
        <v>80</v>
      </c>
      <c r="BC1" s="70" t="s">
        <v>81</v>
      </c>
      <c r="BD1" s="86" t="s">
        <v>82</v>
      </c>
      <c r="BE1" s="69" t="s">
        <v>83</v>
      </c>
    </row>
    <row r="2" spans="1:57" x14ac:dyDescent="0.15">
      <c r="A2" s="88">
        <v>456</v>
      </c>
      <c r="B2" s="130">
        <v>41829</v>
      </c>
      <c r="C2" s="89" t="s">
        <v>107</v>
      </c>
      <c r="D2" s="90" t="s">
        <v>172</v>
      </c>
      <c r="E2" s="91">
        <v>41820</v>
      </c>
      <c r="F2" s="89" t="s">
        <v>34</v>
      </c>
      <c r="G2" s="90" t="s">
        <v>79</v>
      </c>
      <c r="H2" s="90">
        <v>77.62</v>
      </c>
      <c r="I2" s="92" t="s">
        <v>210</v>
      </c>
      <c r="J2" s="120">
        <v>2465.7539999999999</v>
      </c>
      <c r="K2" s="120">
        <v>162246.576</v>
      </c>
      <c r="L2" s="120">
        <v>657863.01599999995</v>
      </c>
      <c r="M2" s="90"/>
      <c r="N2" s="90"/>
      <c r="O2" s="90">
        <v>3.5070000000000001</v>
      </c>
      <c r="P2" s="90">
        <v>3.0230000000000001</v>
      </c>
      <c r="Q2" s="90">
        <v>2.7749999999999999</v>
      </c>
      <c r="R2" s="90">
        <v>2.5939999999999999</v>
      </c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3" t="s">
        <v>104</v>
      </c>
      <c r="AH2" s="93"/>
      <c r="AI2" s="93"/>
      <c r="AJ2" s="93"/>
      <c r="AK2" s="93">
        <v>0</v>
      </c>
      <c r="AL2" s="93">
        <v>0</v>
      </c>
      <c r="AM2" s="93">
        <v>0</v>
      </c>
      <c r="AN2" s="93">
        <v>0</v>
      </c>
      <c r="AO2" s="93">
        <v>0</v>
      </c>
      <c r="AP2" s="93">
        <v>0</v>
      </c>
      <c r="AQ2" s="93">
        <v>0</v>
      </c>
      <c r="AR2" s="93">
        <v>0</v>
      </c>
      <c r="AS2" s="93">
        <v>0</v>
      </c>
      <c r="AT2" s="93">
        <v>0</v>
      </c>
      <c r="AU2" s="93"/>
      <c r="AV2" s="93" t="s">
        <v>104</v>
      </c>
      <c r="AW2" s="93"/>
      <c r="AX2" s="93" t="s">
        <v>104</v>
      </c>
      <c r="AY2" s="89"/>
      <c r="AZ2" s="90"/>
      <c r="BA2" s="93"/>
      <c r="BB2" s="93" t="s">
        <v>105</v>
      </c>
      <c r="BC2" s="89" t="s">
        <v>211</v>
      </c>
      <c r="BD2" t="s">
        <v>194</v>
      </c>
      <c r="BE2" t="s">
        <v>195</v>
      </c>
    </row>
    <row r="3" spans="1:57" x14ac:dyDescent="0.15">
      <c r="A3" s="88">
        <v>455</v>
      </c>
      <c r="B3" s="130">
        <v>41829</v>
      </c>
      <c r="C3" s="89" t="s">
        <v>107</v>
      </c>
      <c r="D3" s="90" t="s">
        <v>172</v>
      </c>
      <c r="E3" s="91">
        <v>41761</v>
      </c>
      <c r="F3" s="89" t="s">
        <v>85</v>
      </c>
      <c r="G3" s="90" t="s">
        <v>152</v>
      </c>
      <c r="H3" s="90">
        <v>67.900000000000006</v>
      </c>
      <c r="I3" s="92" t="s">
        <v>210</v>
      </c>
      <c r="J3" s="120">
        <v>2465.7599999999998</v>
      </c>
      <c r="K3" s="120">
        <v>162246.6</v>
      </c>
      <c r="L3" s="120">
        <v>657862.98</v>
      </c>
      <c r="M3" s="90"/>
      <c r="N3" s="90"/>
      <c r="O3" s="90">
        <v>3.39</v>
      </c>
      <c r="P3" s="90">
        <v>2.95</v>
      </c>
      <c r="Q3" s="90">
        <v>2.86</v>
      </c>
      <c r="R3" s="90">
        <v>2.7</v>
      </c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3" t="s">
        <v>104</v>
      </c>
      <c r="AH3" s="93"/>
      <c r="AI3" s="93"/>
      <c r="AJ3" s="93"/>
      <c r="AK3" s="93">
        <v>0</v>
      </c>
      <c r="AL3" s="93">
        <v>0</v>
      </c>
      <c r="AM3" s="93">
        <v>0</v>
      </c>
      <c r="AN3" s="93">
        <v>11</v>
      </c>
      <c r="AO3" s="93">
        <v>0</v>
      </c>
      <c r="AP3" s="93">
        <v>0</v>
      </c>
      <c r="AQ3" s="93">
        <v>0</v>
      </c>
      <c r="AR3" s="93">
        <v>0</v>
      </c>
      <c r="AS3" s="93">
        <v>0</v>
      </c>
      <c r="AT3" s="93">
        <v>0</v>
      </c>
      <c r="AU3" s="90"/>
      <c r="AV3" s="93" t="s">
        <v>104</v>
      </c>
      <c r="AW3" s="93">
        <v>12</v>
      </c>
      <c r="AX3" s="93" t="s">
        <v>104</v>
      </c>
      <c r="AY3" s="89"/>
      <c r="AZ3" s="90"/>
      <c r="BA3" s="93"/>
      <c r="BB3" s="93" t="s">
        <v>105</v>
      </c>
      <c r="BC3" s="89"/>
      <c r="BD3" s="131" t="s">
        <v>212</v>
      </c>
      <c r="BE3" s="131" t="s">
        <v>213</v>
      </c>
    </row>
    <row r="4" spans="1:57" x14ac:dyDescent="0.15">
      <c r="A4" s="88">
        <v>532</v>
      </c>
      <c r="B4" s="130">
        <v>41829</v>
      </c>
      <c r="C4" s="89" t="s">
        <v>107</v>
      </c>
      <c r="D4" s="90" t="s">
        <v>172</v>
      </c>
      <c r="E4" s="91">
        <v>41820</v>
      </c>
      <c r="F4" s="89" t="s">
        <v>91</v>
      </c>
      <c r="G4" s="90" t="s">
        <v>92</v>
      </c>
      <c r="H4" s="90">
        <v>72</v>
      </c>
      <c r="I4" s="92" t="s">
        <v>210</v>
      </c>
      <c r="J4" s="120">
        <v>2465.7539999999999</v>
      </c>
      <c r="K4" s="120">
        <v>162246.576</v>
      </c>
      <c r="L4" s="120">
        <v>657863.01599999995</v>
      </c>
      <c r="M4" s="90"/>
      <c r="N4" s="90"/>
      <c r="O4" s="90">
        <v>3.32</v>
      </c>
      <c r="P4" s="90">
        <v>2.8250000000000002</v>
      </c>
      <c r="Q4" s="90">
        <v>2.65</v>
      </c>
      <c r="R4" s="90">
        <v>2.5</v>
      </c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3" t="s">
        <v>104</v>
      </c>
      <c r="AH4" s="93"/>
      <c r="AI4" s="93"/>
      <c r="AJ4" s="93"/>
      <c r="AK4" s="93">
        <v>0</v>
      </c>
      <c r="AL4" s="93">
        <v>0</v>
      </c>
      <c r="AM4" s="93">
        <v>0</v>
      </c>
      <c r="AN4" s="93">
        <v>10</v>
      </c>
      <c r="AO4" s="93">
        <v>0</v>
      </c>
      <c r="AP4" s="132">
        <v>0</v>
      </c>
      <c r="AQ4" s="93">
        <v>0</v>
      </c>
      <c r="AR4" s="93">
        <v>0</v>
      </c>
      <c r="AS4" s="93">
        <v>0</v>
      </c>
      <c r="AT4" s="93">
        <v>0</v>
      </c>
      <c r="AU4" s="90"/>
      <c r="AV4" s="93" t="s">
        <v>104</v>
      </c>
      <c r="AW4" s="93">
        <v>12</v>
      </c>
      <c r="AX4" s="93" t="s">
        <v>104</v>
      </c>
      <c r="AY4" s="89"/>
      <c r="AZ4" s="90"/>
      <c r="BA4" s="93"/>
      <c r="BB4" s="93" t="s">
        <v>105</v>
      </c>
      <c r="BC4" s="89"/>
      <c r="BD4" s="131" t="s">
        <v>212</v>
      </c>
      <c r="BE4" s="131" t="s">
        <v>195</v>
      </c>
    </row>
  </sheetData>
  <sheetProtection algorithmName="SHA-512" hashValue="a+5QN4BWLa6SdDfE9CATCj1V+OWnGZ1nkyfLVDjYVA+m6ChiJ+IbR4grxzVsup/bmr79zGwWYuc61Ei1UsdZ2A==" saltValue="Ob59WwwFxIaEBbLItZnEt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BE4"/>
  <sheetViews>
    <sheetView topLeftCell="X1" workbookViewId="0">
      <selection activeCell="H2" sqref="H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69" t="s">
        <v>52</v>
      </c>
      <c r="B1" s="69" t="s">
        <v>53</v>
      </c>
      <c r="C1" s="70" t="s">
        <v>54</v>
      </c>
      <c r="D1" s="71" t="s">
        <v>55</v>
      </c>
      <c r="E1" s="69" t="s">
        <v>56</v>
      </c>
      <c r="F1" s="70" t="s">
        <v>57</v>
      </c>
      <c r="G1" s="71" t="s">
        <v>58</v>
      </c>
      <c r="H1" s="72" t="s">
        <v>155</v>
      </c>
      <c r="I1" s="73" t="s">
        <v>156</v>
      </c>
      <c r="J1" s="73" t="s">
        <v>157</v>
      </c>
      <c r="K1" s="73" t="s">
        <v>108</v>
      </c>
      <c r="L1" s="73" t="s">
        <v>113</v>
      </c>
      <c r="M1" s="73" t="s">
        <v>114</v>
      </c>
      <c r="N1" s="74" t="s">
        <v>115</v>
      </c>
      <c r="O1" s="75" t="s">
        <v>116</v>
      </c>
      <c r="P1" s="75" t="s">
        <v>117</v>
      </c>
      <c r="Q1" s="75" t="s">
        <v>118</v>
      </c>
      <c r="R1" s="75" t="s">
        <v>119</v>
      </c>
      <c r="S1" s="75" t="s">
        <v>120</v>
      </c>
      <c r="T1" s="76" t="s">
        <v>121</v>
      </c>
      <c r="U1" s="77" t="s">
        <v>122</v>
      </c>
      <c r="V1" s="77" t="s">
        <v>136</v>
      </c>
      <c r="W1" s="77" t="s">
        <v>137</v>
      </c>
      <c r="X1" s="77" t="s">
        <v>138</v>
      </c>
      <c r="Y1" s="77" t="s">
        <v>101</v>
      </c>
      <c r="Z1" s="78" t="s">
        <v>102</v>
      </c>
      <c r="AA1" s="79" t="s">
        <v>103</v>
      </c>
      <c r="AB1" s="79" t="s">
        <v>163</v>
      </c>
      <c r="AC1" s="79" t="s">
        <v>164</v>
      </c>
      <c r="AD1" s="79" t="s">
        <v>165</v>
      </c>
      <c r="AE1" s="79" t="s">
        <v>166</v>
      </c>
      <c r="AF1" s="80" t="s">
        <v>167</v>
      </c>
      <c r="AG1" s="81" t="s">
        <v>168</v>
      </c>
      <c r="AH1" s="81" t="s">
        <v>75</v>
      </c>
      <c r="AI1" s="81" t="s">
        <v>173</v>
      </c>
      <c r="AJ1" s="82" t="s">
        <v>174</v>
      </c>
      <c r="AK1" s="83" t="s">
        <v>175</v>
      </c>
      <c r="AL1" s="84" t="s">
        <v>176</v>
      </c>
      <c r="AM1" s="83" t="s">
        <v>177</v>
      </c>
      <c r="AN1" s="75" t="s">
        <v>178</v>
      </c>
      <c r="AO1" s="85" t="s">
        <v>179</v>
      </c>
      <c r="AP1" s="75" t="s">
        <v>180</v>
      </c>
      <c r="AQ1" s="85" t="s">
        <v>181</v>
      </c>
      <c r="AR1" s="76" t="s">
        <v>182</v>
      </c>
      <c r="AS1" s="85" t="s">
        <v>183</v>
      </c>
      <c r="AT1" s="76" t="s">
        <v>93</v>
      </c>
      <c r="AU1" s="69" t="s">
        <v>94</v>
      </c>
      <c r="AV1" s="86" t="s">
        <v>95</v>
      </c>
      <c r="AW1" s="87" t="s">
        <v>96</v>
      </c>
      <c r="AX1" s="86" t="s">
        <v>97</v>
      </c>
      <c r="AY1" s="69" t="s">
        <v>109</v>
      </c>
      <c r="AZ1" s="70" t="s">
        <v>110</v>
      </c>
      <c r="BA1" s="86" t="s">
        <v>111</v>
      </c>
      <c r="BB1" s="86" t="s">
        <v>80</v>
      </c>
      <c r="BC1" s="70" t="s">
        <v>81</v>
      </c>
      <c r="BD1" s="86" t="s">
        <v>82</v>
      </c>
      <c r="BE1" s="69" t="s">
        <v>83</v>
      </c>
    </row>
    <row r="2" spans="1:57" x14ac:dyDescent="0.15">
      <c r="A2" s="88">
        <v>456</v>
      </c>
      <c r="B2" s="121">
        <v>41467</v>
      </c>
      <c r="C2" s="89" t="s">
        <v>184</v>
      </c>
      <c r="D2" s="90" t="s">
        <v>185</v>
      </c>
      <c r="E2" s="91">
        <v>41455</v>
      </c>
      <c r="F2" s="89" t="s">
        <v>186</v>
      </c>
      <c r="G2" s="90" t="s">
        <v>187</v>
      </c>
      <c r="H2" s="90">
        <v>72.540000000000006</v>
      </c>
      <c r="I2" s="92" t="s">
        <v>188</v>
      </c>
      <c r="J2" s="120">
        <v>2465.7539999999999</v>
      </c>
      <c r="K2">
        <v>164712</v>
      </c>
      <c r="L2">
        <v>822575</v>
      </c>
      <c r="M2" s="90"/>
      <c r="N2" s="90"/>
      <c r="O2" s="90">
        <v>3.286</v>
      </c>
      <c r="P2" s="90">
        <v>2.831</v>
      </c>
      <c r="Q2" s="90">
        <v>2.6389999999999998</v>
      </c>
      <c r="R2" s="90">
        <v>2.4750000000000001</v>
      </c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3" t="s">
        <v>189</v>
      </c>
      <c r="AH2" s="93"/>
      <c r="AI2" s="93"/>
      <c r="AJ2" s="93"/>
      <c r="AK2" s="93">
        <v>0</v>
      </c>
      <c r="AL2" s="93">
        <v>0</v>
      </c>
      <c r="AM2" s="93">
        <v>0</v>
      </c>
      <c r="AN2" s="93">
        <v>0</v>
      </c>
      <c r="AO2" s="93">
        <v>0</v>
      </c>
      <c r="AP2" s="93">
        <v>0</v>
      </c>
      <c r="AQ2" s="93">
        <v>0</v>
      </c>
      <c r="AR2" s="93">
        <v>0</v>
      </c>
      <c r="AS2" s="93">
        <v>0</v>
      </c>
      <c r="AT2" s="93">
        <v>0</v>
      </c>
      <c r="AU2" s="93"/>
      <c r="AV2" s="93" t="s">
        <v>190</v>
      </c>
      <c r="AW2" s="93"/>
      <c r="AX2" s="93" t="s">
        <v>191</v>
      </c>
      <c r="AY2" s="89"/>
      <c r="AZ2" s="90"/>
      <c r="BA2" s="93"/>
      <c r="BB2" s="93" t="s">
        <v>192</v>
      </c>
      <c r="BC2" s="89" t="s">
        <v>193</v>
      </c>
      <c r="BD2" t="s">
        <v>194</v>
      </c>
      <c r="BE2" t="s">
        <v>195</v>
      </c>
    </row>
    <row r="3" spans="1:57" x14ac:dyDescent="0.15">
      <c r="A3" s="88">
        <v>455</v>
      </c>
      <c r="B3" s="121">
        <v>41467</v>
      </c>
      <c r="C3" s="89" t="s">
        <v>184</v>
      </c>
      <c r="D3" s="90" t="s">
        <v>185</v>
      </c>
      <c r="E3" s="91">
        <v>41467</v>
      </c>
      <c r="F3" s="89" t="s">
        <v>85</v>
      </c>
      <c r="G3" s="90" t="s">
        <v>196</v>
      </c>
      <c r="H3" s="90">
        <v>67.900000000000006</v>
      </c>
      <c r="I3" s="92" t="s">
        <v>188</v>
      </c>
      <c r="J3" s="120">
        <v>2465.7539999999999</v>
      </c>
      <c r="K3">
        <v>164712</v>
      </c>
      <c r="L3">
        <v>822575</v>
      </c>
      <c r="M3" s="90"/>
      <c r="N3" s="90"/>
      <c r="O3" s="90">
        <v>3.39</v>
      </c>
      <c r="P3" s="90">
        <v>2.95</v>
      </c>
      <c r="Q3" s="90">
        <v>2.86</v>
      </c>
      <c r="R3" s="90">
        <v>2.7</v>
      </c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3" t="s">
        <v>189</v>
      </c>
      <c r="AH3" s="93"/>
      <c r="AI3" s="93"/>
      <c r="AJ3" s="93"/>
      <c r="AK3" s="93">
        <v>0</v>
      </c>
      <c r="AL3" s="93">
        <v>0</v>
      </c>
      <c r="AM3" s="93">
        <v>0</v>
      </c>
      <c r="AN3" s="93">
        <v>14</v>
      </c>
      <c r="AO3" s="93">
        <v>0</v>
      </c>
      <c r="AP3" s="93">
        <v>0</v>
      </c>
      <c r="AQ3" s="93">
        <v>0</v>
      </c>
      <c r="AR3" s="93">
        <v>0</v>
      </c>
      <c r="AS3" s="93">
        <v>0</v>
      </c>
      <c r="AT3" s="93">
        <v>0</v>
      </c>
      <c r="AU3" s="90"/>
      <c r="AV3" s="93" t="s">
        <v>189</v>
      </c>
      <c r="AW3" s="93">
        <v>12</v>
      </c>
      <c r="AX3" s="93" t="s">
        <v>191</v>
      </c>
      <c r="AY3" s="89" t="s">
        <v>197</v>
      </c>
      <c r="AZ3" s="90" t="s">
        <v>198</v>
      </c>
      <c r="BA3" s="93">
        <v>50</v>
      </c>
      <c r="BB3" s="93" t="s">
        <v>199</v>
      </c>
      <c r="BC3" s="89"/>
      <c r="BD3" t="s">
        <v>200</v>
      </c>
      <c r="BE3" t="s">
        <v>195</v>
      </c>
    </row>
    <row r="4" spans="1:57" x14ac:dyDescent="0.15">
      <c r="A4" s="88">
        <v>532</v>
      </c>
      <c r="B4" s="121">
        <v>41466</v>
      </c>
      <c r="C4" s="89" t="s">
        <v>184</v>
      </c>
      <c r="D4" s="90" t="s">
        <v>185</v>
      </c>
      <c r="E4" s="91">
        <v>41469</v>
      </c>
      <c r="F4" s="89" t="s">
        <v>201</v>
      </c>
      <c r="G4" s="90" t="s">
        <v>92</v>
      </c>
      <c r="H4" s="90">
        <v>72</v>
      </c>
      <c r="I4" s="92" t="s">
        <v>188</v>
      </c>
      <c r="J4" s="120">
        <v>2465.7539999999999</v>
      </c>
      <c r="K4">
        <v>164712</v>
      </c>
      <c r="L4">
        <v>822575</v>
      </c>
      <c r="M4" s="90"/>
      <c r="N4" s="90"/>
      <c r="O4" s="90">
        <v>3.32</v>
      </c>
      <c r="P4" s="90">
        <v>2.8250000000000002</v>
      </c>
      <c r="Q4" s="90">
        <v>2.65</v>
      </c>
      <c r="R4" s="90">
        <v>2.5</v>
      </c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3" t="s">
        <v>189</v>
      </c>
      <c r="AH4" s="93"/>
      <c r="AI4" s="93"/>
      <c r="AJ4" s="93"/>
      <c r="AK4" s="93">
        <v>0</v>
      </c>
      <c r="AL4" s="93">
        <v>0</v>
      </c>
      <c r="AM4" s="93">
        <v>0</v>
      </c>
      <c r="AN4" s="93">
        <v>10</v>
      </c>
      <c r="AO4" s="93">
        <v>0</v>
      </c>
      <c r="AP4" s="93">
        <v>0</v>
      </c>
      <c r="AQ4" s="93">
        <v>0</v>
      </c>
      <c r="AR4" s="93">
        <v>0</v>
      </c>
      <c r="AS4" s="93">
        <v>0</v>
      </c>
      <c r="AT4" s="93">
        <v>0</v>
      </c>
      <c r="AU4" s="90"/>
      <c r="AV4" s="93" t="s">
        <v>189</v>
      </c>
      <c r="AW4" s="93">
        <v>12</v>
      </c>
      <c r="AX4" s="93" t="s">
        <v>191</v>
      </c>
      <c r="AY4" s="89"/>
      <c r="AZ4" s="90"/>
      <c r="BA4" s="93"/>
      <c r="BB4" s="93" t="s">
        <v>202</v>
      </c>
      <c r="BC4" s="89"/>
      <c r="BD4" t="s">
        <v>203</v>
      </c>
      <c r="BE4" t="s">
        <v>195</v>
      </c>
    </row>
  </sheetData>
  <sheetProtection algorithmName="SHA-512" hashValue="4ryDhDleFQnhsJkw7MtIl4z0tiAjoCXD4M1zquBHInojze1qG0AAXU6ItFJzV8rWjxXf3Ccrzz/Px4K/331lbQ==" saltValue="mVbc1S0zvvxUVHRALJ0dLA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8C3E9-F0AE-E549-B223-414D4155B6C7}">
  <sheetPr codeName="Sheet22"/>
  <dimension ref="A1:OH1731"/>
  <sheetViews>
    <sheetView tabSelected="1" zoomScale="105" workbookViewId="0">
      <selection activeCell="C5" sqref="C5"/>
    </sheetView>
  </sheetViews>
  <sheetFormatPr baseColWidth="10" defaultRowHeight="13" x14ac:dyDescent="0.15"/>
  <cols>
    <col min="1" max="1" width="18.1640625" style="202" customWidth="1"/>
    <col min="2" max="2" width="20" style="202" customWidth="1"/>
    <col min="3" max="8" width="11.83203125" style="202" customWidth="1"/>
    <col min="9" max="10" width="11.83203125" style="202" hidden="1" customWidth="1"/>
    <col min="11" max="15" width="11.83203125" style="202" customWidth="1"/>
    <col min="16" max="19" width="11.83203125" style="202" hidden="1" customWidth="1"/>
    <col min="20" max="23" width="11.83203125" style="202" customWidth="1"/>
    <col min="399" max="16384" width="10.83203125" style="202"/>
  </cols>
  <sheetData>
    <row r="1" spans="1:43" customFormat="1" x14ac:dyDescent="0.15">
      <c r="A1" s="255" t="s">
        <v>162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</row>
    <row r="2" spans="1:43" customFormat="1" x14ac:dyDescent="0.15">
      <c r="A2" s="255" t="s">
        <v>145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</row>
    <row r="3" spans="1:43" customFormat="1" ht="14" thickBot="1" x14ac:dyDescent="0.2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</row>
    <row r="4" spans="1:43" ht="14" x14ac:dyDescent="0.15">
      <c r="A4" s="177" t="s">
        <v>146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9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</row>
    <row r="5" spans="1:43" ht="14" x14ac:dyDescent="0.15">
      <c r="A5" s="180" t="s">
        <v>257</v>
      </c>
      <c r="B5" s="181"/>
      <c r="C5" s="182">
        <v>12000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3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</row>
    <row r="6" spans="1:43" ht="14" x14ac:dyDescent="0.15">
      <c r="A6" s="180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3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</row>
    <row r="7" spans="1:43" ht="75" x14ac:dyDescent="0.15">
      <c r="A7" s="216" t="s">
        <v>57</v>
      </c>
      <c r="B7" s="217" t="s">
        <v>170</v>
      </c>
      <c r="C7" s="218" t="s">
        <v>171</v>
      </c>
      <c r="D7" s="218" t="s">
        <v>148</v>
      </c>
      <c r="E7" s="218" t="s">
        <v>149</v>
      </c>
      <c r="F7" s="218" t="s">
        <v>150</v>
      </c>
      <c r="G7" s="218" t="s">
        <v>151</v>
      </c>
      <c r="H7" s="219" t="s">
        <v>132</v>
      </c>
      <c r="I7" s="220" t="s">
        <v>133</v>
      </c>
      <c r="J7" s="221" t="s">
        <v>153</v>
      </c>
      <c r="K7" s="222" t="s">
        <v>134</v>
      </c>
      <c r="L7" s="223" t="s">
        <v>154</v>
      </c>
      <c r="M7" s="223" t="s">
        <v>127</v>
      </c>
      <c r="N7" s="223" t="s">
        <v>128</v>
      </c>
      <c r="O7" s="223" t="s">
        <v>129</v>
      </c>
      <c r="P7" s="224" t="s">
        <v>254</v>
      </c>
      <c r="Q7" s="224" t="s">
        <v>255</v>
      </c>
      <c r="R7" s="220" t="s">
        <v>158</v>
      </c>
      <c r="S7" s="220" t="s">
        <v>159</v>
      </c>
      <c r="T7" s="225" t="s">
        <v>160</v>
      </c>
      <c r="U7" s="225" t="s">
        <v>161</v>
      </c>
      <c r="V7" s="223" t="s">
        <v>130</v>
      </c>
      <c r="W7" s="226" t="s">
        <v>131</v>
      </c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</row>
    <row r="8" spans="1:43" ht="14" x14ac:dyDescent="0.15">
      <c r="A8" s="184" t="str">
        <f>'Tariffs 2023'!F3</f>
        <v>ActewAGL</v>
      </c>
      <c r="B8" s="185" t="str">
        <f>'Tariffs 2023'!G3</f>
        <v>Capital City</v>
      </c>
      <c r="C8" s="186">
        <f>91*'Tariffs 2023'!H3/100</f>
        <v>51.87</v>
      </c>
      <c r="D8" s="186">
        <f>IF('Tariffs 2023'!K3="",$C$5*'Tariffs 2023'!W3/100,IF($C$5&gt;='Tariffs 2023'!L3*1.5,('Tariffs 2023'!L3*1.5*'Tariffs 2023'!W3/100),($C$5*'Tariffs 2023'!W3/100)))</f>
        <v>129.45208499999998</v>
      </c>
      <c r="E8" s="186">
        <f>IF(AND('Tariffs 2023'!L3*1.5&gt;0,'Tariffs 2023'!M3*1.5&gt;0),IF($C$5&lt;'Tariffs 2023'!L3*1.5,0,IF(($C$5-'Tariffs 2023'!L3*1.5)&lt;=('Tariffs 2023'!M3*1.5+'Tariffs 2023'!L3*1.5),(($C$5-'Tariffs 2023'!L3*1.5)*'Tariffs 2023'!X3/100),(('Tariffs 2023'!M3*1.5)*'Tariffs 2023'!X3/100))),0)</f>
        <v>245.26772045454544</v>
      </c>
      <c r="F8" s="186">
        <f>IF(AND('Tariffs 2023'!M3*1.5&gt;0,'Tariffs 2023'!N3*1.5&gt;0),IF($C$5&lt;('Tariffs 2023'!L3*1.5+'Tariffs 2023'!M3*1.5),0,IF(($C$5-'Tariffs 2023'!L3*1.5+'Tariffs 2023'!M3*1.5)&lt;=('Tariffs 2023'!L3*1.5+'Tariffs 2023'!M3*1.5+'Tariffs 2023'!N3*1.5),(($C$5-('Tariffs 2023'!L3*1.5+'Tariffs 2023'!M3*1.5))*'Tariffs 2023'!Y3/100),('Tariffs 2023'!N3*1.5*'Tariffs 2023'!Y3/100))),0)</f>
        <v>0</v>
      </c>
      <c r="G8" s="186">
        <f>IF(AND('Tariffs 2023'!P3&gt;0,'Tariffs 2023'!O3&gt;0),IF(($C$5&lt;(SUM('Tariffs 2023'!L3:P3))*1.5),(0),($C$5-(SUM('Tariffs 2023'!L3:P3)*1.5))*'Tariffs 2023'!AB3/100),IF(AND('Tariffs 2023'!O3&gt;0,'Tariffs 2023'!P3=""),IF(($C$5&lt; (SUM('Tariffs 2023'!L3:O3))*1.5),(0),($C$5-(SUM('Tariffs 2023'!L3:O3))*1.5)*'Tariffs 2023'!AA3/100),IF(AND('Tariffs 2023'!N3&gt;0,'Tariffs 2023'!O3=""),IF(($C$5&lt;(SUM('Tariffs 2023'!L3:N3))*1.5),(0),($C$5-(SUM('Tariffs 2023'!L3:N3))*1.5)*'Tariffs 2023'!Z3/100),IF(AND('Tariffs 2023'!M3&gt;0,'Tariffs 2023'!N3=""),IF(($C$5&lt;'Tariffs 2023'!M3*1.5+'Tariffs 2023'!L3*1.5),(0),(($C$5-('Tariffs 2023'!M3*1.5+'Tariffs 2023'!L3*1.5))*'Tariffs 2023'!Y3/100)),IF(AND('Tariffs 2023'!L3&gt;0,'Tariffs 2023'!M3=""&gt;0),IF(($C$5&lt;'Tariffs 2023'!L3*1.5),(0),($C$5-('Tariffs 2023'!L3*1.5))*'Tariffs 2023'!X3/100),0)))))</f>
        <v>0</v>
      </c>
      <c r="H8" s="186">
        <f>SUM(C8:G8)</f>
        <v>426.5898054545454</v>
      </c>
      <c r="I8" s="186">
        <f>(H8-C8)*4</f>
        <v>1498.8792218181816</v>
      </c>
      <c r="J8" s="227">
        <f>H8*4</f>
        <v>1706.3592218181816</v>
      </c>
      <c r="K8" s="187">
        <f>J8*1.1</f>
        <v>1876.995144</v>
      </c>
      <c r="L8" s="185">
        <f>'Tariffs 2023'!AT3</f>
        <v>0</v>
      </c>
      <c r="M8" s="185">
        <f>'Tariffs 2023'!AU3</f>
        <v>0</v>
      </c>
      <c r="N8" s="185">
        <f>'Tariffs 2023'!AV3</f>
        <v>0</v>
      </c>
      <c r="O8" s="185">
        <f>'Tariffs 2023'!AW3</f>
        <v>0</v>
      </c>
      <c r="P8" s="188" t="str">
        <f>IF(SUM(L8:O8)=0,"No discount",IF(L8&gt;0,"Guaranteed off bill",IF(M8&gt;0,"Guaranteed off usage",IF(N8&gt;0,"Pay-on-time off bill","Pay-on-time off usage"))))</f>
        <v>No discount</v>
      </c>
      <c r="Q8" s="188" t="str">
        <f>IF(OR(A8="Origin Energy",A8="Red Energy",A8="Powershop"),"Inclusive","Exclusive")</f>
        <v>Exclusive</v>
      </c>
      <c r="R8" s="229">
        <f t="shared" ref="R8:R11" si="0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1706.3592218181816</v>
      </c>
      <c r="S8" s="229">
        <f t="shared" ref="S8:S11" si="1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1706.3592218181816</v>
      </c>
      <c r="T8" s="189">
        <f t="shared" ref="T8:U11" si="2">R8*1.1</f>
        <v>1876.995144</v>
      </c>
      <c r="U8" s="189">
        <f t="shared" si="2"/>
        <v>1876.995144</v>
      </c>
      <c r="V8" s="190">
        <f>'Tariffs 2023'!BF3</f>
        <v>0</v>
      </c>
      <c r="W8" s="191" t="str">
        <f>'Tariffs 2023'!BG3</f>
        <v>n</v>
      </c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</row>
    <row r="9" spans="1:43" ht="14" x14ac:dyDescent="0.15">
      <c r="A9" s="184" t="str">
        <f>'Tariffs 2023'!F4</f>
        <v>EnergyAustralia</v>
      </c>
      <c r="B9" s="185" t="str">
        <f>'Tariffs 2023'!G4</f>
        <v>Flexi Plan</v>
      </c>
      <c r="C9" s="186">
        <f>91*'Tariffs 2023'!H4/100</f>
        <v>73.527999999999977</v>
      </c>
      <c r="D9" s="186">
        <f>IF('Tariffs 2023'!K4="",$C$5*'Tariffs 2023'!W4/100,IF($C$5&gt;='Tariffs 2023'!L4*1.5,('Tariffs 2023'!L4*1.5*'Tariffs 2023'!W4/100),($C$5*'Tariffs 2023'!W4/100)))</f>
        <v>172.49111999999994</v>
      </c>
      <c r="E9" s="186">
        <f>IF(AND('Tariffs 2023'!L4*1.5&gt;0,'Tariffs 2023'!M4*1.5&gt;0),IF($C$5&lt;'Tariffs 2023'!L4*1.5,0,IF(($C$5-'Tariffs 2023'!L4*1.5)&lt;=('Tariffs 2023'!M4*1.5+'Tariffs 2023'!L4*1.5),(($C$5-'Tariffs 2023'!L4*1.5)*'Tariffs 2023'!X4/100),(('Tariffs 2023'!M4*1.5)*'Tariffs 2023'!X4/100))),0)</f>
        <v>325.26237818181818</v>
      </c>
      <c r="F9" s="186">
        <f>IF(AND('Tariffs 2023'!M4*1.5&gt;0,'Tariffs 2023'!N4*1.5&gt;0),IF($C$5&lt;('Tariffs 2023'!L4*1.5+'Tariffs 2023'!M4*1.5),0,IF(($C$5-'Tariffs 2023'!L4*1.5+'Tariffs 2023'!M4*1.5)&lt;=('Tariffs 2023'!L4*1.5+'Tariffs 2023'!M4*1.5+'Tariffs 2023'!N4*1.5),(($C$5-('Tariffs 2023'!L4*1.5+'Tariffs 2023'!M4*1.5))*'Tariffs 2023'!Y4/100),('Tariffs 2023'!N4*1.5*'Tariffs 2023'!Y4/100))),0)</f>
        <v>0</v>
      </c>
      <c r="G9" s="186">
        <f>IF(AND('Tariffs 2023'!P4&gt;0,'Tariffs 2023'!O4&gt;0),IF(($C$5&lt;(SUM('Tariffs 2023'!L4:P4))*1.5),(0),($C$5-(SUM('Tariffs 2023'!L4:P4)*1.5))*'Tariffs 2023'!AB4/100),IF(AND('Tariffs 2023'!O4&gt;0,'Tariffs 2023'!P4=""),IF(($C$5&lt; (SUM('Tariffs 2023'!L4:O4))*1.5),(0),($C$5-(SUM('Tariffs 2023'!L4:O4))*1.5)*'Tariffs 2023'!AA4/100),IF(AND('Tariffs 2023'!N4&gt;0,'Tariffs 2023'!O4=""),IF(($C$5&lt;(SUM('Tariffs 2023'!L4:N4))*1.5),(0),($C$5-(SUM('Tariffs 2023'!L4:N4))*1.5)*'Tariffs 2023'!Z4/100),IF(AND('Tariffs 2023'!M4&gt;0,'Tariffs 2023'!N4=""),IF(($C$5&lt;'Tariffs 2023'!M4*1.5+'Tariffs 2023'!L4*1.5),(0),(($C$5-('Tariffs 2023'!M4*1.5+'Tariffs 2023'!L4*1.5))*'Tariffs 2023'!Y4/100)),IF(AND('Tariffs 2023'!L4&gt;0,'Tariffs 2023'!M4=""&gt;0),IF(($C$5&lt;'Tariffs 2023'!L4*1.5),(0),($C$5-('Tariffs 2023'!L4*1.5))*'Tariffs 2023'!X4/100),0)))))</f>
        <v>0</v>
      </c>
      <c r="H9" s="186">
        <f>SUM(C9:G9)</f>
        <v>571.28149818181805</v>
      </c>
      <c r="I9" s="186">
        <f>(H9-C9)*4</f>
        <v>1991.0139927272724</v>
      </c>
      <c r="J9" s="227">
        <f t="shared" ref="J9:J11" si="3">H9*4</f>
        <v>2285.1259927272722</v>
      </c>
      <c r="K9" s="187">
        <f t="shared" ref="K9:K11" si="4">J9*1.1</f>
        <v>2513.6385919999998</v>
      </c>
      <c r="L9" s="185">
        <f>'Tariffs 2023'!AT4</f>
        <v>18</v>
      </c>
      <c r="M9" s="185">
        <f>'Tariffs 2023'!AU4</f>
        <v>0</v>
      </c>
      <c r="N9" s="185">
        <f>'Tariffs 2023'!AV4</f>
        <v>0</v>
      </c>
      <c r="O9" s="185">
        <f>'Tariffs 2023'!AW4</f>
        <v>0</v>
      </c>
      <c r="P9" s="188" t="str">
        <f>IF(SUM(L9:O9)=0,"No discount",IF(L9&gt;0,"Guaranteed off bill",IF(M9&gt;0,"Guaranteed off usage",IF(N9&gt;0,"Pay-on-time off bill","Pay-on-time off usage"))))</f>
        <v>Guaranteed off bill</v>
      </c>
      <c r="Q9" s="188" t="str">
        <f>IF(OR(A9="Origin Energy",A9="Red Energy",A9="Powershop"),"Inclusive","Exclusive")</f>
        <v>Exclusive</v>
      </c>
      <c r="R9" s="229">
        <f t="shared" si="0"/>
        <v>1873.8033140363632</v>
      </c>
      <c r="S9" s="229">
        <f t="shared" si="1"/>
        <v>1873.8033140363632</v>
      </c>
      <c r="T9" s="189">
        <f t="shared" si="2"/>
        <v>2061.1836454399995</v>
      </c>
      <c r="U9" s="189">
        <f t="shared" si="2"/>
        <v>2061.1836454399995</v>
      </c>
      <c r="V9" s="190">
        <f>'Tariffs 2023'!BF4</f>
        <v>0</v>
      </c>
      <c r="W9" s="191" t="str">
        <f>'Tariffs 2023'!BG4</f>
        <v>n</v>
      </c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</row>
    <row r="10" spans="1:43" ht="14" x14ac:dyDescent="0.15">
      <c r="A10" s="184" t="str">
        <f>'Tariffs 2023'!F5</f>
        <v>Origin Energy</v>
      </c>
      <c r="B10" s="185" t="str">
        <f>'Tariffs 2023'!G5</f>
        <v>Go Variable</v>
      </c>
      <c r="C10" s="186">
        <f>91*'Tariffs 2023'!H5/100</f>
        <v>49.073818181818176</v>
      </c>
      <c r="D10" s="186">
        <f>IF('Tariffs 2023'!K5="",$C$5*'Tariffs 2023'!W5/100,IF($C$5&gt;='Tariffs 2023'!L5*1.5,('Tariffs 2023'!L5*1.5*'Tariffs 2023'!W5/100),($C$5*'Tariffs 2023'!W5/100)))</f>
        <v>117.34747445454546</v>
      </c>
      <c r="E10" s="186">
        <f>IF(AND('Tariffs 2023'!L5*1.5&gt;0,'Tariffs 2023'!M5*1.5&gt;0),IF($C$5&lt;'Tariffs 2023'!L5*1.5,0,IF(($C$5-'Tariffs 2023'!L5*1.5)&lt;=('Tariffs 2023'!M5*1.5+'Tariffs 2023'!L5*1.5),(($C$5-'Tariffs 2023'!L5*1.5)*'Tariffs 2023'!X5/100),(('Tariffs 2023'!M5*1.5)*'Tariffs 2023'!X5/100))),0)</f>
        <v>223.38229309090909</v>
      </c>
      <c r="F10" s="186">
        <f>IF(AND('Tariffs 2023'!M5*1.5&gt;0,'Tariffs 2023'!N5*1.5&gt;0),IF($C$5&lt;('Tariffs 2023'!L5*1.5+'Tariffs 2023'!M5*1.5),0,IF(($C$5-'Tariffs 2023'!L5*1.5+'Tariffs 2023'!M5*1.5)&lt;=('Tariffs 2023'!L5*1.5+'Tariffs 2023'!M5*1.5+'Tariffs 2023'!N5*1.5),(($C$5-('Tariffs 2023'!L5*1.5+'Tariffs 2023'!M5*1.5))*'Tariffs 2023'!Y5/100),('Tariffs 2023'!N5*1.5*'Tariffs 2023'!Y5/100))),0)</f>
        <v>0</v>
      </c>
      <c r="G10" s="186">
        <f>IF(AND('Tariffs 2023'!P5&gt;0,'Tariffs 2023'!O5&gt;0),IF(($C$5&lt;(SUM('Tariffs 2023'!L5:P5))*1.5),(0),($C$5-(SUM('Tariffs 2023'!L5:P5)*1.5))*'Tariffs 2023'!AB5/100),IF(AND('Tariffs 2023'!O5&gt;0,'Tariffs 2023'!P5=""),IF(($C$5&lt; (SUM('Tariffs 2023'!L5:O5))*1.5),(0),($C$5-(SUM('Tariffs 2023'!L5:O5))*1.5)*'Tariffs 2023'!AA5/100),IF(AND('Tariffs 2023'!N5&gt;0,'Tariffs 2023'!O5=""),IF(($C$5&lt;(SUM('Tariffs 2023'!L5:N5))*1.5),(0),($C$5-(SUM('Tariffs 2023'!L5:N5))*1.5)*'Tariffs 2023'!Z5/100),IF(AND('Tariffs 2023'!M5&gt;0,'Tariffs 2023'!N5=""),IF(($C$5&lt;'Tariffs 2023'!M5*1.5+'Tariffs 2023'!L5*1.5),(0),(($C$5-('Tariffs 2023'!M5*1.5+'Tariffs 2023'!L5*1.5))*'Tariffs 2023'!Y5/100)),IF(AND('Tariffs 2023'!L5&gt;0,'Tariffs 2023'!M5=""&gt;0),IF(($C$5&lt;'Tariffs 2023'!L5*1.5),(0),($C$5-('Tariffs 2023'!L5*1.5))*'Tariffs 2023'!X5/100),0)))))</f>
        <v>0</v>
      </c>
      <c r="H10" s="186">
        <f>SUM(C10:G10)</f>
        <v>389.80358572727272</v>
      </c>
      <c r="I10" s="186">
        <f>(H10-C10)*4</f>
        <v>1362.9190701818181</v>
      </c>
      <c r="J10" s="227">
        <f t="shared" si="3"/>
        <v>1559.2143429090909</v>
      </c>
      <c r="K10" s="187">
        <f t="shared" si="4"/>
        <v>1715.1357772000001</v>
      </c>
      <c r="L10" s="185">
        <f>'Tariffs 2023'!AT5</f>
        <v>0</v>
      </c>
      <c r="M10" s="185">
        <f>'Tariffs 2023'!AU5</f>
        <v>0</v>
      </c>
      <c r="N10" s="185">
        <f>'Tariffs 2023'!AV5</f>
        <v>0</v>
      </c>
      <c r="O10" s="185">
        <f>'Tariffs 2023'!AW5</f>
        <v>0</v>
      </c>
      <c r="P10" s="188" t="str">
        <f>IF(SUM(L10:O10)=0,"No discount",IF(L10&gt;0,"Guaranteed off bill",IF(M10&gt;0,"Guaranteed off usage",IF(N10&gt;0,"Pay-on-time off bill","Pay-on-time off usage"))))</f>
        <v>No discount</v>
      </c>
      <c r="Q10" s="188" t="str">
        <f>IF(OR(A10="Origin Energy",A10="Red Energy",A10="Powershop"),"Inclusive","Exclusive")</f>
        <v>Inclusive</v>
      </c>
      <c r="R10" s="245">
        <f t="shared" si="0"/>
        <v>1559.2143429090909</v>
      </c>
      <c r="S10" s="229">
        <f t="shared" si="1"/>
        <v>1559.2143429090909</v>
      </c>
      <c r="T10" s="189">
        <f t="shared" si="2"/>
        <v>1715.1357772000001</v>
      </c>
      <c r="U10" s="189">
        <f t="shared" si="2"/>
        <v>1715.1357772000001</v>
      </c>
      <c r="V10" s="190">
        <f>'Tariffs 2023'!BF5</f>
        <v>0</v>
      </c>
      <c r="W10" s="191" t="str">
        <f>'Tariffs 2023'!BG5</f>
        <v>n</v>
      </c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</row>
    <row r="11" spans="1:43" ht="15" thickBot="1" x14ac:dyDescent="0.2">
      <c r="A11" s="192" t="str">
        <f>'Tariffs 2023'!F6</f>
        <v>Red Energy</v>
      </c>
      <c r="B11" s="193" t="str">
        <f>'Tariffs 2023'!G6</f>
        <v>Living Energy Saver</v>
      </c>
      <c r="C11" s="194">
        <f>91*'Tariffs 2023'!H6/100</f>
        <v>56.42</v>
      </c>
      <c r="D11" s="194">
        <f>IF('Tariffs 2023'!K6="",$C$5*'Tariffs 2023'!W6/100,IF($C$5&gt;='Tariffs 2023'!L6*1.5,('Tariffs 2023'!L6*1.5*'Tariffs 2023'!W6/100),($C$5*'Tariffs 2023'!W6/100)))</f>
        <v>117.68399999999998</v>
      </c>
      <c r="E11" s="194">
        <f>IF(AND('Tariffs 2023'!L6*1.5&gt;0,'Tariffs 2023'!M6*1.5&gt;0),IF($C$5&lt;'Tariffs 2023'!L6*1.5,0,IF(($C$5-'Tariffs 2023'!L6*1.5)&lt;=('Tariffs 2023'!M6*1.5+'Tariffs 2023'!L6*1.5),(($C$5-'Tariffs 2023'!L6*1.5)*'Tariffs 2023'!X6/100),(('Tariffs 2023'!M6*1.5)*'Tariffs 2023'!X6/100))),0)</f>
        <v>214.3260218181818</v>
      </c>
      <c r="F11" s="194">
        <f>IF(AND('Tariffs 2023'!M6*1.5&gt;0,'Tariffs 2023'!N6*1.5&gt;0),IF($C$5&lt;('Tariffs 2023'!L6*1.5+'Tariffs 2023'!M6*1.5),0,IF(($C$5-'Tariffs 2023'!L6*1.5+'Tariffs 2023'!M6*1.5)&lt;=('Tariffs 2023'!L6*1.5+'Tariffs 2023'!M6*1.5+'Tariffs 2023'!N6*1.5),(($C$5-('Tariffs 2023'!L6*1.5+'Tariffs 2023'!M6*1.5))*'Tariffs 2023'!Y6/100),('Tariffs 2023'!N6*1.5*'Tariffs 2023'!Y6/100))),0)</f>
        <v>0</v>
      </c>
      <c r="G11" s="194">
        <f>IF(AND('Tariffs 2023'!P6&gt;0,'Tariffs 2023'!O6&gt;0),IF(($C$5&lt;(SUM('Tariffs 2023'!L6:P6))*1.5),(0),($C$5-(SUM('Tariffs 2023'!L6:P6)*1.5))*'Tariffs 2023'!AB6/100),IF(AND('Tariffs 2023'!O6&gt;0,'Tariffs 2023'!P6=""),IF(($C$5&lt; (SUM('Tariffs 2023'!L6:O6))*1.5),(0),($C$5-(SUM('Tariffs 2023'!L6:O6))*1.5)*'Tariffs 2023'!AA6/100),IF(AND('Tariffs 2023'!N6&gt;0,'Tariffs 2023'!O6=""),IF(($C$5&lt;(SUM('Tariffs 2023'!L6:N6))*1.5),(0),($C$5-(SUM('Tariffs 2023'!L6:N6))*1.5)*'Tariffs 2023'!Z6/100),IF(AND('Tariffs 2023'!M6&gt;0,'Tariffs 2023'!N6=""),IF(($C$5&lt;'Tariffs 2023'!M6*1.5+'Tariffs 2023'!L6*1.5),(0),(($C$5-('Tariffs 2023'!M6*1.5+'Tariffs 2023'!L6*1.5))*'Tariffs 2023'!Y6/100)),IF(AND('Tariffs 2023'!L6&gt;0,'Tariffs 2023'!M6=""&gt;0),IF(($C$5&lt;'Tariffs 2023'!L6*1.5),(0),($C$5-('Tariffs 2023'!L6*1.5))*'Tariffs 2023'!X6/100),0)))))</f>
        <v>0</v>
      </c>
      <c r="H11" s="194">
        <f>SUM(C11:G11)</f>
        <v>388.43002181818179</v>
      </c>
      <c r="I11" s="194">
        <f>(H11-C11)*4</f>
        <v>1328.0400872727271</v>
      </c>
      <c r="J11" s="228">
        <f t="shared" si="3"/>
        <v>1553.7200872727271</v>
      </c>
      <c r="K11" s="195">
        <f t="shared" si="4"/>
        <v>1709.0920960000001</v>
      </c>
      <c r="L11" s="193">
        <f>'Tariffs 2023'!AT6</f>
        <v>0</v>
      </c>
      <c r="M11" s="193">
        <f>'Tariffs 2023'!AU6</f>
        <v>0</v>
      </c>
      <c r="N11" s="193">
        <f>'Tariffs 2023'!AV6</f>
        <v>0</v>
      </c>
      <c r="O11" s="193">
        <f>'Tariffs 2023'!AW6</f>
        <v>0</v>
      </c>
      <c r="P11" s="196" t="str">
        <f>IF(SUM(L11:O11)=0,"No discount",IF(L11&gt;0,"Guaranteed off bill",IF(M11&gt;0,"Guaranteed off usage",IF(N11&gt;0,"Pay-on-time off bill","Pay-on-time off usage"))))</f>
        <v>No discount</v>
      </c>
      <c r="Q11" s="196" t="str">
        <f>IF(OR(A11="Origin Energy",A11="Red Energy",A11="Powershop"),"Inclusive","Exclusive")</f>
        <v>Inclusive</v>
      </c>
      <c r="R11" s="230">
        <f t="shared" si="0"/>
        <v>1553.7200872727271</v>
      </c>
      <c r="S11" s="231">
        <f t="shared" si="1"/>
        <v>1553.7200872727271</v>
      </c>
      <c r="T11" s="197">
        <f t="shared" si="2"/>
        <v>1709.0920960000001</v>
      </c>
      <c r="U11" s="197">
        <f t="shared" si="2"/>
        <v>1709.0920960000001</v>
      </c>
      <c r="V11" s="198">
        <f>'Tariffs 2023'!BF6</f>
        <v>0</v>
      </c>
      <c r="W11" s="199" t="str">
        <f>'Tariffs 2023'!BG6</f>
        <v>n</v>
      </c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</row>
    <row r="12" spans="1:43" customFormat="1" x14ac:dyDescent="0.15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</row>
    <row r="13" spans="1:43" customFormat="1" x14ac:dyDescent="0.1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</row>
    <row r="14" spans="1:43" customFormat="1" x14ac:dyDescent="0.15">
      <c r="A14" s="256"/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</row>
    <row r="15" spans="1:43" customFormat="1" x14ac:dyDescent="0.15">
      <c r="A15" s="256"/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</row>
    <row r="16" spans="1:43" customFormat="1" x14ac:dyDescent="0.15">
      <c r="A16" s="256"/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</row>
    <row r="17" spans="1:43" customFormat="1" x14ac:dyDescent="0.15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</row>
    <row r="18" spans="1:43" customFormat="1" x14ac:dyDescent="0.15">
      <c r="A18" s="256"/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</row>
    <row r="19" spans="1:43" customFormat="1" x14ac:dyDescent="0.15">
      <c r="A19" s="256"/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</row>
    <row r="20" spans="1:43" customFormat="1" x14ac:dyDescent="0.15">
      <c r="A20" s="256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</row>
    <row r="21" spans="1:43" customFormat="1" x14ac:dyDescent="0.15">
      <c r="A21" s="256"/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</row>
    <row r="22" spans="1:43" customFormat="1" x14ac:dyDescent="0.15">
      <c r="A22" s="256"/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</row>
    <row r="23" spans="1:43" customFormat="1" x14ac:dyDescent="0.15">
      <c r="A23" s="256"/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</row>
    <row r="24" spans="1:43" customFormat="1" x14ac:dyDescent="0.15">
      <c r="A24" s="256"/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</row>
    <row r="25" spans="1:43" customFormat="1" x14ac:dyDescent="0.15">
      <c r="A25" s="256"/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</row>
    <row r="26" spans="1:43" customFormat="1" x14ac:dyDescent="0.15">
      <c r="A26" s="256"/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</row>
    <row r="27" spans="1:43" customFormat="1" x14ac:dyDescent="0.15">
      <c r="A27" s="256"/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</row>
    <row r="28" spans="1:43" customFormat="1" x14ac:dyDescent="0.15">
      <c r="A28" s="256"/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</row>
    <row r="29" spans="1:43" customFormat="1" x14ac:dyDescent="0.15">
      <c r="A29" s="256"/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</row>
    <row r="30" spans="1:43" customFormat="1" x14ac:dyDescent="0.15">
      <c r="A30" s="256"/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</row>
    <row r="31" spans="1:43" customFormat="1" x14ac:dyDescent="0.15">
      <c r="A31" s="256"/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</row>
    <row r="32" spans="1:43" customFormat="1" x14ac:dyDescent="0.15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</row>
    <row r="33" spans="1:43" customFormat="1" x14ac:dyDescent="0.15">
      <c r="A33" s="256"/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</row>
    <row r="34" spans="1:43" customFormat="1" x14ac:dyDescent="0.15">
      <c r="A34" s="256"/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</row>
    <row r="35" spans="1:43" customFormat="1" x14ac:dyDescent="0.15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</row>
    <row r="36" spans="1:43" customFormat="1" x14ac:dyDescent="0.15">
      <c r="A36" s="256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</row>
    <row r="37" spans="1:43" customFormat="1" x14ac:dyDescent="0.15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  <c r="AQ37" s="256"/>
    </row>
    <row r="38" spans="1:43" customFormat="1" x14ac:dyDescent="0.15">
      <c r="A38" s="256"/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</row>
    <row r="39" spans="1:43" customFormat="1" x14ac:dyDescent="0.15">
      <c r="A39" s="256"/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</row>
    <row r="40" spans="1:43" customFormat="1" x14ac:dyDescent="0.15">
      <c r="A40" s="256"/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</row>
    <row r="41" spans="1:43" customFormat="1" x14ac:dyDescent="0.15">
      <c r="A41" s="256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</row>
    <row r="42" spans="1:43" customFormat="1" x14ac:dyDescent="0.15">
      <c r="A42" s="256"/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256"/>
      <c r="AQ42" s="256"/>
    </row>
    <row r="43" spans="1:43" customFormat="1" x14ac:dyDescent="0.15">
      <c r="A43" s="256"/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</row>
    <row r="44" spans="1:43" customFormat="1" x14ac:dyDescent="0.15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</row>
    <row r="45" spans="1:43" customFormat="1" x14ac:dyDescent="0.15">
      <c r="A45" s="256"/>
      <c r="B45" s="256"/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</row>
    <row r="46" spans="1:43" customFormat="1" x14ac:dyDescent="0.15">
      <c r="A46" s="256"/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</row>
    <row r="47" spans="1:43" customFormat="1" x14ac:dyDescent="0.15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</row>
    <row r="48" spans="1:43" customFormat="1" x14ac:dyDescent="0.15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</row>
    <row r="49" spans="1:43" customFormat="1" x14ac:dyDescent="0.15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</row>
    <row r="50" spans="1:43" customFormat="1" x14ac:dyDescent="0.15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</row>
    <row r="51" spans="1:43" customFormat="1" x14ac:dyDescent="0.15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</row>
    <row r="52" spans="1:43" customFormat="1" x14ac:dyDescent="0.15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</row>
    <row r="53" spans="1:43" customFormat="1" x14ac:dyDescent="0.15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</row>
    <row r="54" spans="1:43" customFormat="1" x14ac:dyDescent="0.15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</row>
    <row r="55" spans="1:43" customFormat="1" x14ac:dyDescent="0.15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</row>
    <row r="56" spans="1:43" customFormat="1" x14ac:dyDescent="0.15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</row>
    <row r="57" spans="1:43" customFormat="1" x14ac:dyDescent="0.15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</row>
    <row r="58" spans="1:43" customFormat="1" x14ac:dyDescent="0.15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</row>
    <row r="59" spans="1:43" customFormat="1" x14ac:dyDescent="0.15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</row>
    <row r="60" spans="1:43" customFormat="1" x14ac:dyDescent="0.15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</row>
    <row r="61" spans="1:43" customFormat="1" x14ac:dyDescent="0.15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</row>
    <row r="62" spans="1:43" customFormat="1" x14ac:dyDescent="0.15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</row>
    <row r="63" spans="1:43" customFormat="1" x14ac:dyDescent="0.15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</row>
    <row r="64" spans="1:43" customFormat="1" x14ac:dyDescent="0.15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</row>
    <row r="65" spans="1:43" customFormat="1" x14ac:dyDescent="0.15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</row>
    <row r="66" spans="1:43" customFormat="1" x14ac:dyDescent="0.15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256"/>
      <c r="AN66" s="256"/>
      <c r="AO66" s="256"/>
      <c r="AP66" s="256"/>
      <c r="AQ66" s="256"/>
    </row>
    <row r="67" spans="1:43" customFormat="1" x14ac:dyDescent="0.15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256"/>
      <c r="AP67" s="256"/>
      <c r="AQ67" s="256"/>
    </row>
    <row r="68" spans="1:43" customFormat="1" x14ac:dyDescent="0.15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</row>
    <row r="69" spans="1:43" customFormat="1" x14ac:dyDescent="0.15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</row>
    <row r="70" spans="1:43" customFormat="1" x14ac:dyDescent="0.15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256"/>
      <c r="AN70" s="256"/>
      <c r="AO70" s="256"/>
      <c r="AP70" s="256"/>
      <c r="AQ70" s="256"/>
    </row>
    <row r="71" spans="1:43" customFormat="1" x14ac:dyDescent="0.15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</row>
    <row r="72" spans="1:43" customFormat="1" x14ac:dyDescent="0.15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</row>
    <row r="73" spans="1:43" customFormat="1" x14ac:dyDescent="0.15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256"/>
      <c r="AN73" s="256"/>
      <c r="AO73" s="256"/>
      <c r="AP73" s="256"/>
      <c r="AQ73" s="256"/>
    </row>
    <row r="74" spans="1:43" customFormat="1" x14ac:dyDescent="0.15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</row>
    <row r="75" spans="1:43" customFormat="1" x14ac:dyDescent="0.15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</row>
    <row r="76" spans="1:43" customFormat="1" x14ac:dyDescent="0.15">
      <c r="A76" s="256"/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256"/>
      <c r="AQ76" s="256"/>
    </row>
    <row r="77" spans="1:43" customFormat="1" x14ac:dyDescent="0.15">
      <c r="A77" s="256"/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</row>
    <row r="78" spans="1:43" customFormat="1" x14ac:dyDescent="0.15">
      <c r="A78" s="256"/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</row>
    <row r="79" spans="1:43" customFormat="1" x14ac:dyDescent="0.15">
      <c r="A79" s="256"/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56"/>
      <c r="AK79" s="256"/>
      <c r="AL79" s="256"/>
      <c r="AM79" s="256"/>
      <c r="AN79" s="256"/>
      <c r="AO79" s="256"/>
      <c r="AP79" s="256"/>
      <c r="AQ79" s="256"/>
    </row>
    <row r="80" spans="1:43" customFormat="1" x14ac:dyDescent="0.15">
      <c r="A80" s="256"/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</row>
    <row r="81" spans="1:43" customFormat="1" x14ac:dyDescent="0.15">
      <c r="A81" s="256"/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</row>
    <row r="82" spans="1:43" customFormat="1" x14ac:dyDescent="0.15">
      <c r="A82" s="256"/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256"/>
      <c r="AN82" s="256"/>
      <c r="AO82" s="256"/>
      <c r="AP82" s="256"/>
      <c r="AQ82" s="256"/>
    </row>
    <row r="83" spans="1:43" customFormat="1" x14ac:dyDescent="0.15">
      <c r="A83" s="256"/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</row>
    <row r="84" spans="1:43" customFormat="1" x14ac:dyDescent="0.15">
      <c r="A84" s="256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</row>
    <row r="85" spans="1:43" customFormat="1" x14ac:dyDescent="0.15">
      <c r="A85" s="256"/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</row>
    <row r="86" spans="1:43" customFormat="1" x14ac:dyDescent="0.15">
      <c r="A86" s="256"/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</row>
    <row r="87" spans="1:43" customFormat="1" x14ac:dyDescent="0.15">
      <c r="A87" s="256"/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6"/>
      <c r="AM87" s="256"/>
      <c r="AN87" s="256"/>
      <c r="AO87" s="256"/>
      <c r="AP87" s="256"/>
      <c r="AQ87" s="256"/>
    </row>
    <row r="88" spans="1:43" customFormat="1" x14ac:dyDescent="0.15">
      <c r="A88" s="256"/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</row>
    <row r="89" spans="1:43" customFormat="1" x14ac:dyDescent="0.15">
      <c r="A89" s="256"/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</row>
    <row r="90" spans="1:43" customFormat="1" x14ac:dyDescent="0.15">
      <c r="A90" s="256"/>
      <c r="B90" s="256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</row>
    <row r="91" spans="1:43" customFormat="1" x14ac:dyDescent="0.15">
      <c r="A91" s="256"/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256"/>
      <c r="AN91" s="256"/>
      <c r="AO91" s="256"/>
      <c r="AP91" s="256"/>
      <c r="AQ91" s="256"/>
    </row>
    <row r="92" spans="1:43" customFormat="1" x14ac:dyDescent="0.15">
      <c r="A92" s="256"/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</row>
    <row r="93" spans="1:43" customFormat="1" x14ac:dyDescent="0.15"/>
    <row r="94" spans="1:43" customFormat="1" x14ac:dyDescent="0.15"/>
    <row r="95" spans="1:43" customFormat="1" x14ac:dyDescent="0.15"/>
    <row r="96" spans="1:43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</sheetData>
  <sheetProtection algorithmName="SHA-512" hashValue="cYiNORgVt2jcOyuwkz/KaxX1OQRywUpl/GH6Xs8Emewx7CAs2w3+4I9m64qPOHdwh00n1Dq/aTGso34VgQenEw==" saltValue="cC/KuVLGzo9/BkeuIZYRmw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BE4"/>
  <sheetViews>
    <sheetView workbookViewId="0">
      <selection activeCell="E3" sqref="E3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69" t="s">
        <v>52</v>
      </c>
      <c r="B1" s="69" t="s">
        <v>53</v>
      </c>
      <c r="C1" s="70" t="s">
        <v>54</v>
      </c>
      <c r="D1" s="71" t="s">
        <v>55</v>
      </c>
      <c r="E1" s="69" t="s">
        <v>56</v>
      </c>
      <c r="F1" s="70" t="s">
        <v>57</v>
      </c>
      <c r="G1" s="71" t="s">
        <v>58</v>
      </c>
      <c r="H1" s="72" t="s">
        <v>155</v>
      </c>
      <c r="I1" s="73" t="s">
        <v>156</v>
      </c>
      <c r="J1" s="73" t="s">
        <v>157</v>
      </c>
      <c r="K1" s="73" t="s">
        <v>108</v>
      </c>
      <c r="L1" s="73" t="s">
        <v>113</v>
      </c>
      <c r="M1" s="73" t="s">
        <v>114</v>
      </c>
      <c r="N1" s="74" t="s">
        <v>115</v>
      </c>
      <c r="O1" s="75" t="s">
        <v>116</v>
      </c>
      <c r="P1" s="75" t="s">
        <v>117</v>
      </c>
      <c r="Q1" s="75" t="s">
        <v>118</v>
      </c>
      <c r="R1" s="75" t="s">
        <v>119</v>
      </c>
      <c r="S1" s="75" t="s">
        <v>120</v>
      </c>
      <c r="T1" s="76" t="s">
        <v>121</v>
      </c>
      <c r="U1" s="77" t="s">
        <v>122</v>
      </c>
      <c r="V1" s="77" t="s">
        <v>136</v>
      </c>
      <c r="W1" s="77" t="s">
        <v>137</v>
      </c>
      <c r="X1" s="77" t="s">
        <v>138</v>
      </c>
      <c r="Y1" s="77" t="s">
        <v>101</v>
      </c>
      <c r="Z1" s="78" t="s">
        <v>102</v>
      </c>
      <c r="AA1" s="79" t="s">
        <v>103</v>
      </c>
      <c r="AB1" s="79" t="s">
        <v>163</v>
      </c>
      <c r="AC1" s="79" t="s">
        <v>164</v>
      </c>
      <c r="AD1" s="79" t="s">
        <v>165</v>
      </c>
      <c r="AE1" s="79" t="s">
        <v>166</v>
      </c>
      <c r="AF1" s="80" t="s">
        <v>167</v>
      </c>
      <c r="AG1" s="81" t="s">
        <v>168</v>
      </c>
      <c r="AH1" s="81" t="s">
        <v>75</v>
      </c>
      <c r="AI1" s="81" t="s">
        <v>173</v>
      </c>
      <c r="AJ1" s="82" t="s">
        <v>174</v>
      </c>
      <c r="AK1" s="83" t="s">
        <v>175</v>
      </c>
      <c r="AL1" s="84" t="s">
        <v>176</v>
      </c>
      <c r="AM1" s="83" t="s">
        <v>177</v>
      </c>
      <c r="AN1" s="75" t="s">
        <v>178</v>
      </c>
      <c r="AO1" s="85" t="s">
        <v>179</v>
      </c>
      <c r="AP1" s="75" t="s">
        <v>180</v>
      </c>
      <c r="AQ1" s="85" t="s">
        <v>181</v>
      </c>
      <c r="AR1" s="76" t="s">
        <v>182</v>
      </c>
      <c r="AS1" s="85" t="s">
        <v>183</v>
      </c>
      <c r="AT1" s="76" t="s">
        <v>93</v>
      </c>
      <c r="AU1" s="69" t="s">
        <v>94</v>
      </c>
      <c r="AV1" s="86" t="s">
        <v>95</v>
      </c>
      <c r="AW1" s="87" t="s">
        <v>96</v>
      </c>
      <c r="AX1" s="86" t="s">
        <v>97</v>
      </c>
      <c r="AY1" s="69" t="s">
        <v>109</v>
      </c>
      <c r="AZ1" s="70" t="s">
        <v>110</v>
      </c>
      <c r="BA1" s="86" t="s">
        <v>111</v>
      </c>
      <c r="BB1" s="86" t="s">
        <v>80</v>
      </c>
      <c r="BC1" s="70" t="s">
        <v>81</v>
      </c>
      <c r="BD1" s="86" t="s">
        <v>82</v>
      </c>
      <c r="BE1" s="69" t="s">
        <v>83</v>
      </c>
    </row>
    <row r="2" spans="1:57" x14ac:dyDescent="0.15">
      <c r="A2" s="88">
        <v>456</v>
      </c>
      <c r="B2" s="91">
        <v>41136</v>
      </c>
      <c r="C2" s="89" t="s">
        <v>107</v>
      </c>
      <c r="D2" s="90" t="s">
        <v>172</v>
      </c>
      <c r="E2" s="91">
        <v>41090</v>
      </c>
      <c r="F2" s="89" t="s">
        <v>86</v>
      </c>
      <c r="G2" s="90" t="s">
        <v>87</v>
      </c>
      <c r="H2" s="90">
        <v>62.93</v>
      </c>
      <c r="I2" s="92" t="s">
        <v>147</v>
      </c>
      <c r="J2" s="94">
        <v>3740</v>
      </c>
      <c r="K2" s="95">
        <v>249813.70049999998</v>
      </c>
      <c r="L2" s="95">
        <v>1247572.6080999998</v>
      </c>
      <c r="M2" s="90"/>
      <c r="N2" s="90"/>
      <c r="O2" s="90">
        <v>2.7610000000000001</v>
      </c>
      <c r="P2" s="90">
        <v>2.403</v>
      </c>
      <c r="Q2" s="90">
        <v>2.379</v>
      </c>
      <c r="R2" s="90">
        <v>2.2719999999999998</v>
      </c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3" t="s">
        <v>104</v>
      </c>
      <c r="AH2" s="93"/>
      <c r="AI2" s="93"/>
      <c r="AJ2" s="93"/>
      <c r="AK2" s="93">
        <v>0</v>
      </c>
      <c r="AL2" s="93">
        <v>0</v>
      </c>
      <c r="AM2" s="93">
        <v>0</v>
      </c>
      <c r="AN2" s="93">
        <v>0</v>
      </c>
      <c r="AO2" s="93">
        <v>0</v>
      </c>
      <c r="AP2" s="93">
        <v>0</v>
      </c>
      <c r="AQ2" s="93">
        <v>0</v>
      </c>
      <c r="AR2" s="93">
        <v>0</v>
      </c>
      <c r="AS2" s="93">
        <v>0</v>
      </c>
      <c r="AT2" s="93">
        <v>0</v>
      </c>
      <c r="AU2" s="93">
        <v>0</v>
      </c>
      <c r="AV2" s="93" t="s">
        <v>104</v>
      </c>
      <c r="AW2" s="93"/>
      <c r="AX2" s="93" t="s">
        <v>104</v>
      </c>
      <c r="AY2" s="89"/>
      <c r="AZ2" s="90"/>
      <c r="BA2" s="93"/>
      <c r="BB2" s="93" t="s">
        <v>105</v>
      </c>
      <c r="BC2" s="89" t="s">
        <v>88</v>
      </c>
      <c r="BD2" t="s">
        <v>89</v>
      </c>
      <c r="BE2" t="s">
        <v>84</v>
      </c>
    </row>
    <row r="3" spans="1:57" x14ac:dyDescent="0.15">
      <c r="A3" s="88">
        <v>455</v>
      </c>
      <c r="B3" s="91">
        <v>41136</v>
      </c>
      <c r="C3" s="89" t="s">
        <v>107</v>
      </c>
      <c r="D3" s="90" t="s">
        <v>172</v>
      </c>
      <c r="E3" s="91">
        <v>41090</v>
      </c>
      <c r="F3" s="89" t="s">
        <v>85</v>
      </c>
      <c r="G3" s="90" t="s">
        <v>152</v>
      </c>
      <c r="H3" s="90">
        <v>66.66</v>
      </c>
      <c r="I3" s="92" t="s">
        <v>147</v>
      </c>
      <c r="J3" s="94">
        <v>3740</v>
      </c>
      <c r="K3" s="95">
        <v>249813.70049999998</v>
      </c>
      <c r="L3" s="95">
        <v>1247572.6080999998</v>
      </c>
      <c r="M3" s="90"/>
      <c r="N3" s="90"/>
      <c r="O3" s="90">
        <v>2.8643000000000001</v>
      </c>
      <c r="P3" s="90">
        <v>2.5838999999999999</v>
      </c>
      <c r="Q3" s="90">
        <v>2.4746999999999999</v>
      </c>
      <c r="R3" s="90">
        <v>2.1135000000000002</v>
      </c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3" t="s">
        <v>104</v>
      </c>
      <c r="AH3" s="93"/>
      <c r="AI3" s="93"/>
      <c r="AJ3" s="93"/>
      <c r="AK3" s="93">
        <v>0</v>
      </c>
      <c r="AL3" s="93">
        <v>0</v>
      </c>
      <c r="AM3" s="93">
        <v>0</v>
      </c>
      <c r="AN3" s="93">
        <v>12</v>
      </c>
      <c r="AO3" s="93">
        <v>0</v>
      </c>
      <c r="AP3" s="93">
        <v>0</v>
      </c>
      <c r="AQ3" s="93">
        <v>0</v>
      </c>
      <c r="AR3" s="93">
        <v>2</v>
      </c>
      <c r="AS3" s="93">
        <v>0</v>
      </c>
      <c r="AT3" s="93">
        <v>0</v>
      </c>
      <c r="AU3" s="93">
        <v>0</v>
      </c>
      <c r="AV3" s="93" t="s">
        <v>104</v>
      </c>
      <c r="AW3" s="93">
        <v>12</v>
      </c>
      <c r="AX3" s="93" t="s">
        <v>104</v>
      </c>
      <c r="AY3" s="89"/>
      <c r="AZ3" s="90"/>
      <c r="BA3" s="93"/>
      <c r="BB3" s="93" t="s">
        <v>105</v>
      </c>
      <c r="BC3" s="89"/>
      <c r="BD3" t="s">
        <v>169</v>
      </c>
      <c r="BE3" t="s">
        <v>84</v>
      </c>
    </row>
    <row r="4" spans="1:57" x14ac:dyDescent="0.15">
      <c r="A4" s="88">
        <v>532</v>
      </c>
      <c r="B4" s="91">
        <v>41136</v>
      </c>
      <c r="C4" s="89" t="s">
        <v>107</v>
      </c>
      <c r="D4" s="90" t="s">
        <v>90</v>
      </c>
      <c r="E4" s="91">
        <v>41104</v>
      </c>
      <c r="F4" s="89" t="s">
        <v>91</v>
      </c>
      <c r="G4" s="90" t="s">
        <v>92</v>
      </c>
      <c r="H4" s="90">
        <v>62.63</v>
      </c>
      <c r="I4" s="92" t="s">
        <v>147</v>
      </c>
      <c r="J4" s="94">
        <v>3740</v>
      </c>
      <c r="K4" s="95">
        <v>43979.180700000004</v>
      </c>
      <c r="L4" s="95">
        <v>179506.8548</v>
      </c>
      <c r="M4" s="90"/>
      <c r="N4" s="90"/>
      <c r="O4" s="90">
        <v>2.7610000000000001</v>
      </c>
      <c r="P4" s="90">
        <v>2.403</v>
      </c>
      <c r="Q4" s="90">
        <v>2.379</v>
      </c>
      <c r="R4" s="90">
        <v>2.2719999999999998</v>
      </c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3" t="s">
        <v>104</v>
      </c>
      <c r="AH4" s="93"/>
      <c r="AI4" s="93"/>
      <c r="AJ4" s="93"/>
      <c r="AK4" s="93">
        <v>0</v>
      </c>
      <c r="AL4" s="93">
        <v>0</v>
      </c>
      <c r="AM4" s="93">
        <v>0</v>
      </c>
      <c r="AN4" s="93">
        <v>10</v>
      </c>
      <c r="AO4" s="93">
        <v>0</v>
      </c>
      <c r="AP4" s="93">
        <v>0</v>
      </c>
      <c r="AQ4" s="93">
        <v>0</v>
      </c>
      <c r="AR4" s="93">
        <v>0</v>
      </c>
      <c r="AS4" s="93">
        <v>0</v>
      </c>
      <c r="AT4" s="93">
        <v>0</v>
      </c>
      <c r="AU4" s="93">
        <v>0</v>
      </c>
      <c r="AV4" s="93" t="s">
        <v>104</v>
      </c>
      <c r="AW4" s="93">
        <v>12</v>
      </c>
      <c r="AX4" s="93" t="s">
        <v>104</v>
      </c>
      <c r="AY4" s="89"/>
      <c r="AZ4" s="90"/>
      <c r="BA4" s="93"/>
      <c r="BB4" s="93" t="s">
        <v>105</v>
      </c>
      <c r="BC4" s="89"/>
      <c r="BD4" t="s">
        <v>112</v>
      </c>
      <c r="BE4" t="s">
        <v>106</v>
      </c>
    </row>
  </sheetData>
  <sheetProtection algorithmName="SHA-512" hashValue="vm6C9SmGZOARZ/ddLoMgG1VN93qY4zSPZ1aPm+qnGcuf05L4Sba2c4ZNSAUwEn1NCHTamehaITbyMnxIQLhyeA==" saltValue="WZ2EAbAzAOIA3aFYJsvEsA==" spinCount="100000" sheet="1" objects="1" scenarios="1"/>
  <sortState xmlns:xlrd2="http://schemas.microsoft.com/office/spreadsheetml/2017/richdata2" ref="A2:XFD1048576">
    <sortCondition ref="F3:F1048576"/>
  </sortState>
  <phoneticPr fontId="4" type="noConversion"/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G20"/>
  <sheetViews>
    <sheetView zoomScale="150" workbookViewId="0">
      <selection activeCell="E14" activeCellId="1" sqref="E6:G10 E14:G19"/>
    </sheetView>
  </sheetViews>
  <sheetFormatPr baseColWidth="10" defaultRowHeight="13" x14ac:dyDescent="0.15"/>
  <cols>
    <col min="1" max="1" width="17.6640625" customWidth="1"/>
    <col min="2" max="2" width="2.1640625" customWidth="1"/>
    <col min="3" max="3" width="2.3320312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24" t="s">
        <v>123</v>
      </c>
    </row>
    <row r="2" spans="1:7" x14ac:dyDescent="0.15">
      <c r="A2" s="65"/>
      <c r="B2" s="65"/>
      <c r="C2" s="65"/>
      <c r="D2" s="65"/>
      <c r="E2" s="65"/>
      <c r="F2" s="65"/>
      <c r="G2" s="65"/>
    </row>
    <row r="3" spans="1:7" x14ac:dyDescent="0.15">
      <c r="A3" s="26" t="s">
        <v>18</v>
      </c>
      <c r="B3" s="27"/>
      <c r="C3" s="27"/>
      <c r="D3" s="28"/>
      <c r="E3" s="27"/>
      <c r="F3" s="27"/>
      <c r="G3" s="27"/>
    </row>
    <row r="4" spans="1:7" x14ac:dyDescent="0.15">
      <c r="D4" s="29"/>
      <c r="E4" s="30" t="s">
        <v>23</v>
      </c>
    </row>
    <row r="5" spans="1:7" x14ac:dyDescent="0.15">
      <c r="D5" s="29"/>
    </row>
    <row r="6" spans="1:7" x14ac:dyDescent="0.15">
      <c r="A6" s="31" t="s">
        <v>79</v>
      </c>
      <c r="D6" s="29"/>
      <c r="E6" s="32" t="s">
        <v>43</v>
      </c>
      <c r="F6" s="32" t="s">
        <v>64</v>
      </c>
      <c r="G6" s="32" t="s">
        <v>31</v>
      </c>
    </row>
    <row r="7" spans="1:7" x14ac:dyDescent="0.15">
      <c r="A7" t="s">
        <v>19</v>
      </c>
      <c r="D7" s="29"/>
      <c r="E7" s="33">
        <v>3740</v>
      </c>
      <c r="F7" s="33">
        <v>3740</v>
      </c>
      <c r="G7" s="33">
        <v>3740</v>
      </c>
    </row>
    <row r="8" spans="1:7" x14ac:dyDescent="0.15">
      <c r="A8" t="s">
        <v>20</v>
      </c>
      <c r="D8" s="29"/>
      <c r="E8">
        <v>2.8039999999999998</v>
      </c>
      <c r="F8">
        <v>2.8643000000000001</v>
      </c>
      <c r="G8">
        <v>2.8039999999999998</v>
      </c>
    </row>
    <row r="9" spans="1:7" x14ac:dyDescent="0.15">
      <c r="A9" t="s">
        <v>21</v>
      </c>
      <c r="D9" s="29"/>
      <c r="E9">
        <v>2.6030000000000002</v>
      </c>
      <c r="F9">
        <v>2.5838999999999999</v>
      </c>
      <c r="G9">
        <v>2.6030000000000002</v>
      </c>
    </row>
    <row r="10" spans="1:7" x14ac:dyDescent="0.15">
      <c r="A10" t="s">
        <v>17</v>
      </c>
      <c r="D10" s="29"/>
      <c r="E10">
        <v>69.81</v>
      </c>
      <c r="F10">
        <v>66.66</v>
      </c>
      <c r="G10">
        <v>69.81</v>
      </c>
    </row>
    <row r="11" spans="1:7" x14ac:dyDescent="0.15">
      <c r="D11" s="29"/>
    </row>
    <row r="12" spans="1:7" x14ac:dyDescent="0.15">
      <c r="A12" s="39"/>
      <c r="B12" s="45"/>
      <c r="C12" s="45"/>
      <c r="D12" s="45"/>
      <c r="E12" s="40"/>
      <c r="F12" s="40"/>
      <c r="G12" s="45"/>
    </row>
    <row r="13" spans="1:7" x14ac:dyDescent="0.15">
      <c r="A13" s="37" t="s">
        <v>9</v>
      </c>
      <c r="D13" s="29"/>
      <c r="E13" s="32" t="s">
        <v>43</v>
      </c>
      <c r="F13" s="32" t="s">
        <v>64</v>
      </c>
      <c r="G13" s="32" t="s">
        <v>31</v>
      </c>
    </row>
    <row r="14" spans="1:7" x14ac:dyDescent="0.15">
      <c r="A14" s="34" t="s">
        <v>10</v>
      </c>
      <c r="D14" s="29"/>
      <c r="E14" s="41" t="s">
        <v>62</v>
      </c>
      <c r="F14" s="41" t="s">
        <v>7</v>
      </c>
      <c r="G14" s="41" t="s">
        <v>62</v>
      </c>
    </row>
    <row r="15" spans="1:7" x14ac:dyDescent="0.15">
      <c r="A15" s="34" t="s">
        <v>12</v>
      </c>
      <c r="D15" s="29"/>
      <c r="E15" s="34" t="s">
        <v>15</v>
      </c>
      <c r="F15" s="34" t="s">
        <v>6</v>
      </c>
      <c r="G15" s="34" t="s">
        <v>32</v>
      </c>
    </row>
    <row r="16" spans="1:7" x14ac:dyDescent="0.15">
      <c r="A16" s="34" t="s">
        <v>67</v>
      </c>
      <c r="D16" s="29"/>
      <c r="E16" s="42" t="s">
        <v>69</v>
      </c>
      <c r="F16" s="42" t="s">
        <v>5</v>
      </c>
      <c r="G16" s="42" t="s">
        <v>69</v>
      </c>
    </row>
    <row r="17" spans="1:7" x14ac:dyDescent="0.15">
      <c r="A17" s="34" t="s">
        <v>68</v>
      </c>
      <c r="D17" s="29"/>
      <c r="E17" s="34" t="s">
        <v>69</v>
      </c>
      <c r="F17" s="34" t="s">
        <v>4</v>
      </c>
      <c r="G17" s="34" t="s">
        <v>4</v>
      </c>
    </row>
    <row r="18" spans="1:7" x14ac:dyDescent="0.15">
      <c r="A18" s="34" t="s">
        <v>71</v>
      </c>
      <c r="D18" s="29"/>
      <c r="E18" s="42">
        <v>15</v>
      </c>
      <c r="F18" s="68">
        <v>12</v>
      </c>
      <c r="G18" s="42">
        <v>12</v>
      </c>
    </row>
    <row r="19" spans="1:7" x14ac:dyDescent="0.15">
      <c r="A19" s="34" t="s">
        <v>60</v>
      </c>
      <c r="D19" s="29"/>
      <c r="E19" s="34" t="s">
        <v>61</v>
      </c>
      <c r="F19" s="43" t="s">
        <v>62</v>
      </c>
      <c r="G19" t="s">
        <v>33</v>
      </c>
    </row>
    <row r="20" spans="1:7" x14ac:dyDescent="0.15">
      <c r="A20" s="66"/>
      <c r="B20" s="67"/>
      <c r="C20" s="67"/>
      <c r="D20" s="67"/>
      <c r="E20" s="66"/>
      <c r="F20" s="66"/>
      <c r="G20" s="67"/>
    </row>
  </sheetData>
  <sheetProtection algorithmName="SHA-512" hashValue="pbkb8mTYtsHDXU3uiAWXhZ8O4JOqtzMOdzGa2GSuBsjJncq8+KlS9kGeUikOcrueqHzJV2Ey11EmapGz3U+rWg==" saltValue="PpfSGUcwQBhg5xcu2Ej2tg==" spinCount="100000" sheet="1" objects="1" scenarios="1"/>
  <phoneticPr fontId="4" type="noConversion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G20"/>
  <sheetViews>
    <sheetView zoomScale="150" workbookViewId="0">
      <selection activeCell="F29" sqref="F29"/>
    </sheetView>
  </sheetViews>
  <sheetFormatPr baseColWidth="10" defaultRowHeight="13" x14ac:dyDescent="0.15"/>
  <cols>
    <col min="1" max="1" width="17.6640625" customWidth="1"/>
    <col min="2" max="2" width="2.1640625" customWidth="1"/>
    <col min="3" max="3" width="2.3320312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24" t="s">
        <v>123</v>
      </c>
    </row>
    <row r="2" spans="1:7" x14ac:dyDescent="0.15">
      <c r="A2" s="58"/>
      <c r="B2" s="58"/>
      <c r="C2" s="58"/>
      <c r="D2" s="58"/>
      <c r="E2" s="58"/>
      <c r="F2" s="58"/>
      <c r="G2" s="58"/>
    </row>
    <row r="3" spans="1:7" x14ac:dyDescent="0.15">
      <c r="A3" s="26" t="s">
        <v>18</v>
      </c>
      <c r="B3" s="27"/>
      <c r="C3" s="27"/>
      <c r="D3" s="28"/>
      <c r="E3" s="27"/>
      <c r="F3" s="27"/>
      <c r="G3" s="27"/>
    </row>
    <row r="4" spans="1:7" x14ac:dyDescent="0.15">
      <c r="D4" s="29"/>
      <c r="E4" s="30" t="s">
        <v>141</v>
      </c>
    </row>
    <row r="5" spans="1:7" x14ac:dyDescent="0.15">
      <c r="D5" s="29"/>
    </row>
    <row r="6" spans="1:7" x14ac:dyDescent="0.15">
      <c r="A6" s="31" t="s">
        <v>79</v>
      </c>
      <c r="D6" s="29"/>
      <c r="E6" s="32" t="s">
        <v>46</v>
      </c>
      <c r="F6" s="32" t="s">
        <v>64</v>
      </c>
    </row>
    <row r="7" spans="1:7" x14ac:dyDescent="0.15">
      <c r="A7" t="s">
        <v>19</v>
      </c>
      <c r="D7" s="29"/>
      <c r="E7" s="33">
        <v>3740</v>
      </c>
      <c r="F7" s="33">
        <v>3740</v>
      </c>
    </row>
    <row r="8" spans="1:7" x14ac:dyDescent="0.15">
      <c r="A8" t="s">
        <v>20</v>
      </c>
      <c r="D8" s="29"/>
      <c r="E8">
        <v>3.1602999999999999</v>
      </c>
      <c r="F8">
        <v>3.2120000000000002</v>
      </c>
    </row>
    <row r="9" spans="1:7" x14ac:dyDescent="0.15">
      <c r="A9" t="s">
        <v>21</v>
      </c>
      <c r="D9" s="29"/>
      <c r="E9">
        <v>2.9392</v>
      </c>
      <c r="F9">
        <v>3.069</v>
      </c>
    </row>
    <row r="10" spans="1:7" x14ac:dyDescent="0.15">
      <c r="A10" t="s">
        <v>17</v>
      </c>
      <c r="D10" s="29"/>
      <c r="E10">
        <v>73.325999999999993</v>
      </c>
      <c r="F10">
        <v>86.9</v>
      </c>
    </row>
    <row r="11" spans="1:7" x14ac:dyDescent="0.15">
      <c r="D11" s="29"/>
    </row>
    <row r="12" spans="1:7" x14ac:dyDescent="0.15">
      <c r="A12" s="39"/>
      <c r="B12" s="45"/>
      <c r="C12" s="45"/>
      <c r="D12" s="45"/>
      <c r="E12" s="40"/>
      <c r="F12" s="40"/>
      <c r="G12" s="45"/>
    </row>
    <row r="13" spans="1:7" x14ac:dyDescent="0.15">
      <c r="A13" s="37" t="s">
        <v>9</v>
      </c>
      <c r="D13" s="29"/>
      <c r="E13" s="32" t="s">
        <v>43</v>
      </c>
      <c r="F13" s="32" t="s">
        <v>64</v>
      </c>
    </row>
    <row r="14" spans="1:7" x14ac:dyDescent="0.15">
      <c r="A14" s="34" t="s">
        <v>10</v>
      </c>
      <c r="D14" s="29"/>
      <c r="E14" s="41" t="s">
        <v>62</v>
      </c>
      <c r="F14" s="41" t="s">
        <v>41</v>
      </c>
    </row>
    <row r="15" spans="1:7" x14ac:dyDescent="0.15">
      <c r="A15" s="34" t="s">
        <v>12</v>
      </c>
      <c r="D15" s="29"/>
      <c r="E15" s="34" t="s">
        <v>15</v>
      </c>
      <c r="F15" s="34" t="s">
        <v>66</v>
      </c>
    </row>
    <row r="16" spans="1:7" x14ac:dyDescent="0.15">
      <c r="A16" s="34" t="s">
        <v>67</v>
      </c>
      <c r="D16" s="29"/>
      <c r="E16" s="42" t="s">
        <v>16</v>
      </c>
      <c r="F16" s="42">
        <v>90</v>
      </c>
    </row>
    <row r="17" spans="1:7" x14ac:dyDescent="0.15">
      <c r="A17" s="34" t="s">
        <v>68</v>
      </c>
      <c r="D17" s="29"/>
      <c r="E17" s="34" t="s">
        <v>69</v>
      </c>
      <c r="F17" s="34" t="s">
        <v>42</v>
      </c>
    </row>
    <row r="18" spans="1:7" x14ac:dyDescent="0.15">
      <c r="A18" s="34" t="s">
        <v>71</v>
      </c>
      <c r="D18" s="29"/>
      <c r="E18" s="42">
        <v>15</v>
      </c>
      <c r="F18" s="42" t="s">
        <v>72</v>
      </c>
    </row>
    <row r="19" spans="1:7" x14ac:dyDescent="0.15">
      <c r="A19" s="34" t="s">
        <v>60</v>
      </c>
      <c r="D19" s="29"/>
      <c r="E19" s="34" t="s">
        <v>61</v>
      </c>
      <c r="F19" s="43" t="s">
        <v>62</v>
      </c>
    </row>
    <row r="20" spans="1:7" x14ac:dyDescent="0.15">
      <c r="A20" s="57"/>
      <c r="B20" s="59"/>
      <c r="C20" s="59"/>
      <c r="D20" s="59"/>
      <c r="E20" s="57"/>
      <c r="F20" s="57"/>
      <c r="G20" s="59"/>
    </row>
  </sheetData>
  <sheetProtection algorithmName="SHA-512" hashValue="cuApK5OJ9cFPrlAoAOhDVyvHjnlhK5yV+yIhcP0n1iHpnAgrv/QjQ7cCu05mJzfubWVnWzsQ3GqCfabD7b2VNg==" saltValue="B5UEjteNH9bm7qlIZ/e7VA==" spinCount="100000" sheet="1" objects="1" scenarios="1"/>
  <phoneticPr fontId="4" type="noConversion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G20"/>
  <sheetViews>
    <sheetView zoomScale="150" workbookViewId="0">
      <selection activeCell="E28" sqref="E28"/>
    </sheetView>
  </sheetViews>
  <sheetFormatPr baseColWidth="10" defaultRowHeight="13" x14ac:dyDescent="0.15"/>
  <cols>
    <col min="1" max="1" width="17.6640625" customWidth="1"/>
    <col min="2" max="2" width="2.1640625" customWidth="1"/>
    <col min="3" max="3" width="2.3320312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24" t="s">
        <v>123</v>
      </c>
    </row>
    <row r="2" spans="1:7" x14ac:dyDescent="0.15">
      <c r="A2" s="25"/>
      <c r="B2" s="25"/>
      <c r="C2" s="25"/>
      <c r="D2" s="25"/>
      <c r="E2" s="25"/>
      <c r="F2" s="25"/>
      <c r="G2" s="25"/>
    </row>
    <row r="3" spans="1:7" x14ac:dyDescent="0.15">
      <c r="A3" s="26" t="s">
        <v>18</v>
      </c>
      <c r="B3" s="27"/>
      <c r="C3" s="27"/>
      <c r="D3" s="28"/>
      <c r="E3" s="27"/>
      <c r="F3" s="27"/>
      <c r="G3" s="27"/>
    </row>
    <row r="4" spans="1:7" x14ac:dyDescent="0.15">
      <c r="D4" s="29"/>
      <c r="E4" s="30" t="s">
        <v>124</v>
      </c>
    </row>
    <row r="5" spans="1:7" x14ac:dyDescent="0.15">
      <c r="D5" s="29"/>
    </row>
    <row r="6" spans="1:7" x14ac:dyDescent="0.15">
      <c r="A6" s="31" t="s">
        <v>79</v>
      </c>
      <c r="D6" s="29"/>
      <c r="E6" s="32" t="s">
        <v>46</v>
      </c>
      <c r="F6" s="32" t="s">
        <v>64</v>
      </c>
    </row>
    <row r="7" spans="1:7" x14ac:dyDescent="0.15">
      <c r="A7" t="s">
        <v>19</v>
      </c>
      <c r="D7" s="29"/>
      <c r="E7" s="33">
        <v>3740</v>
      </c>
      <c r="F7" s="33">
        <v>3740</v>
      </c>
    </row>
    <row r="8" spans="1:7" x14ac:dyDescent="0.15">
      <c r="A8" t="s">
        <v>20</v>
      </c>
      <c r="D8" s="29"/>
      <c r="E8">
        <v>2.7764000000000002</v>
      </c>
      <c r="F8">
        <v>2.97</v>
      </c>
    </row>
    <row r="9" spans="1:7" x14ac:dyDescent="0.15">
      <c r="A9" t="s">
        <v>21</v>
      </c>
      <c r="D9" s="29"/>
      <c r="E9">
        <v>2.5608</v>
      </c>
      <c r="F9">
        <v>2.86</v>
      </c>
    </row>
    <row r="10" spans="1:7" x14ac:dyDescent="0.15">
      <c r="A10" t="s">
        <v>17</v>
      </c>
      <c r="D10" s="29"/>
      <c r="E10">
        <v>64.009</v>
      </c>
      <c r="F10">
        <v>77</v>
      </c>
    </row>
    <row r="11" spans="1:7" x14ac:dyDescent="0.15">
      <c r="D11" s="29"/>
    </row>
    <row r="12" spans="1:7" x14ac:dyDescent="0.15">
      <c r="A12" s="39"/>
      <c r="B12" s="45"/>
      <c r="C12" s="45"/>
      <c r="D12" s="45"/>
      <c r="E12" s="40"/>
      <c r="F12" s="40"/>
      <c r="G12" s="45"/>
    </row>
    <row r="13" spans="1:7" x14ac:dyDescent="0.15">
      <c r="A13" s="37" t="s">
        <v>9</v>
      </c>
      <c r="D13" s="29"/>
      <c r="E13" s="32" t="s">
        <v>63</v>
      </c>
      <c r="F13" s="32" t="s">
        <v>64</v>
      </c>
    </row>
    <row r="14" spans="1:7" x14ac:dyDescent="0.15">
      <c r="A14" s="34" t="s">
        <v>10</v>
      </c>
      <c r="D14" s="29"/>
      <c r="E14" s="41" t="s">
        <v>62</v>
      </c>
      <c r="F14" s="41" t="s">
        <v>11</v>
      </c>
    </row>
    <row r="15" spans="1:7" x14ac:dyDescent="0.15">
      <c r="A15" s="34" t="s">
        <v>12</v>
      </c>
      <c r="D15" s="29"/>
      <c r="E15" s="34" t="s">
        <v>15</v>
      </c>
      <c r="F15" s="34" t="s">
        <v>66</v>
      </c>
    </row>
    <row r="16" spans="1:7" x14ac:dyDescent="0.15">
      <c r="A16" s="34" t="s">
        <v>67</v>
      </c>
      <c r="D16" s="29"/>
      <c r="E16" s="42" t="s">
        <v>16</v>
      </c>
      <c r="F16" s="42">
        <v>90</v>
      </c>
    </row>
    <row r="17" spans="1:7" x14ac:dyDescent="0.15">
      <c r="A17" s="34" t="s">
        <v>68</v>
      </c>
      <c r="D17" s="29"/>
      <c r="E17" s="34" t="s">
        <v>69</v>
      </c>
      <c r="F17" s="34" t="s">
        <v>70</v>
      </c>
    </row>
    <row r="18" spans="1:7" x14ac:dyDescent="0.15">
      <c r="A18" s="34" t="s">
        <v>71</v>
      </c>
      <c r="D18" s="29"/>
      <c r="E18" s="42">
        <v>16</v>
      </c>
      <c r="F18" s="42" t="s">
        <v>72</v>
      </c>
    </row>
    <row r="19" spans="1:7" x14ac:dyDescent="0.15">
      <c r="A19" s="34" t="s">
        <v>60</v>
      </c>
      <c r="D19" s="29"/>
      <c r="E19" s="34" t="s">
        <v>61</v>
      </c>
      <c r="F19" s="43" t="s">
        <v>62</v>
      </c>
    </row>
    <row r="20" spans="1:7" x14ac:dyDescent="0.15">
      <c r="A20" s="44"/>
      <c r="B20" s="46"/>
      <c r="C20" s="46"/>
      <c r="D20" s="46"/>
      <c r="E20" s="44"/>
      <c r="F20" s="44"/>
      <c r="G20" s="46"/>
    </row>
  </sheetData>
  <sheetProtection algorithmName="SHA-512" hashValue="R9DDCkUWk8lHE6NHpd8lwgDR9JDg+B8PiGaeYwHhcCbohWQNwx53v9B2w5zeC9+NJtZsiIrOr/1bwlq/fbhqxQ==" saltValue="cnksQwhe5LEgM8V+bofspg==" spinCount="100000" sheet="1" objects="1" scenarios="1"/>
  <phoneticPr fontId="4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F887-EACB-5340-BF6E-6A92DBA02690}">
  <sheetPr codeName="Sheet21"/>
  <dimension ref="A1:OH1731"/>
  <sheetViews>
    <sheetView zoomScale="105" workbookViewId="0">
      <selection activeCell="K8" sqref="K8:K11"/>
    </sheetView>
  </sheetViews>
  <sheetFormatPr baseColWidth="10" defaultRowHeight="13" x14ac:dyDescent="0.15"/>
  <cols>
    <col min="1" max="1" width="18.1640625" style="202" customWidth="1"/>
    <col min="2" max="2" width="20" style="202" customWidth="1"/>
    <col min="3" max="8" width="11.83203125" style="202" customWidth="1"/>
    <col min="9" max="10" width="11.83203125" style="202" hidden="1" customWidth="1"/>
    <col min="11" max="15" width="11.83203125" style="202" customWidth="1"/>
    <col min="16" max="19" width="11.83203125" style="202" hidden="1" customWidth="1"/>
    <col min="20" max="23" width="11.83203125" style="202" customWidth="1"/>
    <col min="399" max="16384" width="10.83203125" style="202"/>
  </cols>
  <sheetData>
    <row r="1" spans="1:43" customFormat="1" x14ac:dyDescent="0.15">
      <c r="A1" s="250" t="s">
        <v>162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</row>
    <row r="2" spans="1:43" customFormat="1" x14ac:dyDescent="0.15">
      <c r="A2" s="250" t="s">
        <v>145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</row>
    <row r="3" spans="1:43" customFormat="1" ht="14" thickBot="1" x14ac:dyDescent="0.2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</row>
    <row r="4" spans="1:43" ht="14" x14ac:dyDescent="0.15">
      <c r="A4" s="177" t="s">
        <v>146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</row>
    <row r="5" spans="1:43" ht="14" x14ac:dyDescent="0.15">
      <c r="A5" s="180" t="s">
        <v>257</v>
      </c>
      <c r="B5" s="181"/>
      <c r="C5" s="182">
        <v>7500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3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</row>
    <row r="6" spans="1:43" ht="14" x14ac:dyDescent="0.15">
      <c r="A6" s="180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3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</row>
    <row r="7" spans="1:43" ht="75" x14ac:dyDescent="0.15">
      <c r="A7" s="216" t="s">
        <v>57</v>
      </c>
      <c r="B7" s="217" t="s">
        <v>170</v>
      </c>
      <c r="C7" s="218" t="s">
        <v>171</v>
      </c>
      <c r="D7" s="218" t="s">
        <v>148</v>
      </c>
      <c r="E7" s="218" t="s">
        <v>149</v>
      </c>
      <c r="F7" s="218" t="s">
        <v>150</v>
      </c>
      <c r="G7" s="218" t="s">
        <v>151</v>
      </c>
      <c r="H7" s="219" t="s">
        <v>132</v>
      </c>
      <c r="I7" s="220" t="s">
        <v>133</v>
      </c>
      <c r="J7" s="221" t="s">
        <v>153</v>
      </c>
      <c r="K7" s="222" t="s">
        <v>134</v>
      </c>
      <c r="L7" s="223" t="s">
        <v>154</v>
      </c>
      <c r="M7" s="223" t="s">
        <v>127</v>
      </c>
      <c r="N7" s="223" t="s">
        <v>128</v>
      </c>
      <c r="O7" s="223" t="s">
        <v>129</v>
      </c>
      <c r="P7" s="224" t="s">
        <v>254</v>
      </c>
      <c r="Q7" s="224" t="s">
        <v>255</v>
      </c>
      <c r="R7" s="220" t="s">
        <v>158</v>
      </c>
      <c r="S7" s="220" t="s">
        <v>159</v>
      </c>
      <c r="T7" s="225" t="s">
        <v>160</v>
      </c>
      <c r="U7" s="225" t="s">
        <v>161</v>
      </c>
      <c r="V7" s="223" t="s">
        <v>130</v>
      </c>
      <c r="W7" s="226" t="s">
        <v>131</v>
      </c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</row>
    <row r="8" spans="1:43" ht="14" x14ac:dyDescent="0.15">
      <c r="A8" s="184" t="str">
        <f>'Tariffs 2022'!F3</f>
        <v>ActewAGL</v>
      </c>
      <c r="B8" s="185" t="str">
        <f>'Tariffs 2022'!G3</f>
        <v>Home plan</v>
      </c>
      <c r="C8" s="186">
        <f>91*'Tariffs 2022'!H3/100</f>
        <v>69.16</v>
      </c>
      <c r="D8" s="186">
        <f>IF('Tariffs 2022'!K3="",$C$5*'Tariffs 2022'!W3/100,IF($C$5&gt;='Tariffs 2022'!L3*1.5,('Tariffs 2022'!L3*1.5*'Tariffs 2022'!W3/100),($C$5*'Tariffs 2022'!W3/100)))</f>
        <v>143.57413063636361</v>
      </c>
      <c r="E8" s="186">
        <f>IF(AND('Tariffs 2022'!L3*1.5&gt;0,'Tariffs 2022'!M3*1.5&gt;0),IF($C$5&lt;'Tariffs 2022'!L3*1.5,0,IF(($C$5-'Tariffs 2022'!L3*1.5)&lt;=('Tariffs 2022'!M3*1.5+'Tariffs 2022'!L3*1.5),(($C$5-'Tariffs 2022'!L3*1.5)*'Tariffs 2022'!X3/100),(('Tariffs 2022'!M3*1.5)*'Tariffs 2022'!X3/100))),0)</f>
        <v>121.64380799999999</v>
      </c>
      <c r="F8" s="186">
        <f>IF(AND('Tariffs 2022'!M3*1.5&gt;0,'Tariffs 2022'!N3*1.5&gt;0),IF($C$5&lt;('Tariffs 2022'!L3*1.5+'Tariffs 2022'!M3*1.5),0,IF(($C$5-'Tariffs 2022'!L3*1.5+'Tariffs 2022'!M3*1.5)&lt;=('Tariffs 2022'!L3*1.5+'Tariffs 2022'!M3*1.5+'Tariffs 2022'!N3*1.5),(($C$5-('Tariffs 2022'!L3*1.5+'Tariffs 2022'!M3*1.5))*'Tariffs 2022'!Y3/100),('Tariffs 2022'!N3*1.5*'Tariffs 2022'!Y3/100))),0)</f>
        <v>0</v>
      </c>
      <c r="G8" s="186">
        <f>IF(AND('Tariffs 2022'!P3&gt;0,'Tariffs 2022'!O3&gt;0),IF(($C$5&lt;(SUM('Tariffs 2022'!L3:P3))*1.5),(0),($C$5-(SUM('Tariffs 2022'!L3:P3)*1.5))*'Tariffs 2022'!AB3/100),IF(AND('Tariffs 2022'!O3&gt;0,'Tariffs 2022'!P3=""),IF(($C$5&lt; (SUM('Tariffs 2022'!L3:O3))*1.5),(0),($C$5-(SUM('Tariffs 2022'!L3:O3))*1.5)*'Tariffs 2022'!AA3/100),IF(AND('Tariffs 2022'!N3&gt;0,'Tariffs 2022'!O3=""),IF(($C$5&lt;(SUM('Tariffs 2022'!L3:N3))*1.5),(0),($C$5-(SUM('Tariffs 2022'!L3:N3))*1.5)*'Tariffs 2022'!Z3/100),IF(AND('Tariffs 2022'!M3&gt;0,'Tariffs 2022'!N3=""),IF(($C$5&lt;'Tariffs 2022'!M3*1.5+'Tariffs 2022'!L3*1.5),(0),(($C$5-('Tariffs 2022'!M3*1.5+'Tariffs 2022'!L3*1.5))*'Tariffs 2022'!Y3/100)),IF(AND('Tariffs 2022'!L3&gt;0,'Tariffs 2022'!M3=""&gt;0),IF(($C$5&lt;'Tariffs 2022'!L3*1.5),(0),($C$5-('Tariffs 2022'!L3*1.5))*'Tariffs 2022'!X3/100),0)))))</f>
        <v>0</v>
      </c>
      <c r="H8" s="186">
        <f>SUM(C8:G8)</f>
        <v>334.37793863636358</v>
      </c>
      <c r="I8" s="186">
        <f>(H8-C8)*4</f>
        <v>1060.8717545454542</v>
      </c>
      <c r="J8" s="227">
        <f>H8*4</f>
        <v>1337.5117545454543</v>
      </c>
      <c r="K8" s="187">
        <f>J8*1.1</f>
        <v>1471.2629299999999</v>
      </c>
      <c r="L8" s="185">
        <f>'Tariffs 2022'!AT3</f>
        <v>0</v>
      </c>
      <c r="M8" s="185">
        <f>'Tariffs 2022'!AU3</f>
        <v>0</v>
      </c>
      <c r="N8" s="185">
        <f>'Tariffs 2022'!AV3</f>
        <v>0</v>
      </c>
      <c r="O8" s="185">
        <f>'Tariffs 2022'!AW3</f>
        <v>0</v>
      </c>
      <c r="P8" s="188" t="str">
        <f>IF(SUM(L8:O8)=0,"No discount",IF(L8&gt;0,"Guaranteed off bill",IF(M8&gt;0,"Guaranteed off usage",IF(N8&gt;0,"Pay-on-time off bill","Pay-on-time off usage"))))</f>
        <v>No discount</v>
      </c>
      <c r="Q8" s="188" t="str">
        <f>IF(OR(A8="Origin Energy",A8="Red Energy",A8="Powershop"),"Inclusive","Exclusive")</f>
        <v>Exclusive</v>
      </c>
      <c r="R8" s="229">
        <f t="shared" ref="R8:R11" si="0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1337.5117545454543</v>
      </c>
      <c r="S8" s="229">
        <f t="shared" ref="S8:S11" si="1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1337.5117545454543</v>
      </c>
      <c r="T8" s="189">
        <f t="shared" ref="T8:U11" si="2">R8*1.1</f>
        <v>1471.2629299999999</v>
      </c>
      <c r="U8" s="189">
        <f t="shared" si="2"/>
        <v>1471.2629299999999</v>
      </c>
      <c r="V8" s="190">
        <f>'Tariffs 2022'!BF3</f>
        <v>0</v>
      </c>
      <c r="W8" s="191" t="str">
        <f>'Tariffs 2022'!BG3</f>
        <v>n</v>
      </c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</row>
    <row r="9" spans="1:43" ht="14" x14ac:dyDescent="0.15">
      <c r="A9" s="184" t="str">
        <f>'Tariffs 2022'!F4</f>
        <v>EnergyAustralia</v>
      </c>
      <c r="B9" s="185" t="str">
        <f>'Tariffs 2022'!G4</f>
        <v>Flexi Plan</v>
      </c>
      <c r="C9" s="186">
        <f>91*'Tariffs 2022'!H4/100</f>
        <v>68.647090909090906</v>
      </c>
      <c r="D9" s="186">
        <f>IF('Tariffs 2022'!K4="",$C$5*'Tariffs 2022'!W4/100,IF($C$5&gt;='Tariffs 2022'!L4*1.5,('Tariffs 2022'!L4*1.5*'Tariffs 2022'!W4/100),($C$5*'Tariffs 2022'!W4/100)))</f>
        <v>140.21207999999996</v>
      </c>
      <c r="E9" s="186">
        <f>IF(AND('Tariffs 2022'!L4*1.5&gt;0,'Tariffs 2022'!M4*1.5&gt;0),IF($C$5&lt;'Tariffs 2022'!L4*1.5,0,IF(($C$5-'Tariffs 2022'!L4*1.5)&lt;=('Tariffs 2022'!M4*1.5+'Tariffs 2022'!L4*1.5),(($C$5-'Tariffs 2022'!L4*1.5)*'Tariffs 2022'!X4/100),(('Tariffs 2022'!M4*1.5)*'Tariffs 2022'!X4/100))),0)</f>
        <v>124.40814545454546</v>
      </c>
      <c r="F9" s="186">
        <f>IF(AND('Tariffs 2022'!M4*1.5&gt;0,'Tariffs 2022'!N4*1.5&gt;0),IF($C$5&lt;('Tariffs 2022'!L4*1.5+'Tariffs 2022'!M4*1.5),0,IF(($C$5-'Tariffs 2022'!L4*1.5+'Tariffs 2022'!M4*1.5)&lt;=('Tariffs 2022'!L4*1.5+'Tariffs 2022'!M4*1.5+'Tariffs 2022'!N4*1.5),(($C$5-('Tariffs 2022'!L4*1.5+'Tariffs 2022'!M4*1.5))*'Tariffs 2022'!Y4/100),('Tariffs 2022'!N4*1.5*'Tariffs 2022'!Y4/100))),0)</f>
        <v>0</v>
      </c>
      <c r="G9" s="186">
        <f>IF(AND('Tariffs 2022'!P4&gt;0,'Tariffs 2022'!O4&gt;0),IF(($C$5&lt;(SUM('Tariffs 2022'!L4:P4))*1.5),(0),($C$5-(SUM('Tariffs 2022'!L4:P4)*1.5))*'Tariffs 2022'!AB4/100),IF(AND('Tariffs 2022'!O4&gt;0,'Tariffs 2022'!P4=""),IF(($C$5&lt; (SUM('Tariffs 2022'!L4:O4))*1.5),(0),($C$5-(SUM('Tariffs 2022'!L4:O4))*1.5)*'Tariffs 2022'!AA4/100),IF(AND('Tariffs 2022'!N4&gt;0,'Tariffs 2022'!O4=""),IF(($C$5&lt;(SUM('Tariffs 2022'!L4:N4))*1.5),(0),($C$5-(SUM('Tariffs 2022'!L4:N4))*1.5)*'Tariffs 2022'!Z4/100),IF(AND('Tariffs 2022'!M4&gt;0,'Tariffs 2022'!N4=""),IF(($C$5&lt;'Tariffs 2022'!M4*1.5+'Tariffs 2022'!L4*1.5),(0),(($C$5-('Tariffs 2022'!M4*1.5+'Tariffs 2022'!L4*1.5))*'Tariffs 2022'!Y4/100)),IF(AND('Tariffs 2022'!L4&gt;0,'Tariffs 2022'!M4=""&gt;0),IF(($C$5&lt;'Tariffs 2022'!L4*1.5),(0),($C$5-('Tariffs 2022'!L4*1.5))*'Tariffs 2022'!X4/100),0)))))</f>
        <v>0</v>
      </c>
      <c r="H9" s="186">
        <f>SUM(C9:G9)</f>
        <v>333.26731636363633</v>
      </c>
      <c r="I9" s="186">
        <f>(H9-C9)*4</f>
        <v>1058.4809018181818</v>
      </c>
      <c r="J9" s="227">
        <f t="shared" ref="J9:J11" si="3">H9*4</f>
        <v>1333.0692654545453</v>
      </c>
      <c r="K9" s="187">
        <f t="shared" ref="K9:K11" si="4">J9*1.1</f>
        <v>1466.3761919999999</v>
      </c>
      <c r="L9" s="185">
        <f>'Tariffs 2022'!AT4</f>
        <v>5</v>
      </c>
      <c r="M9" s="185">
        <f>'Tariffs 2022'!AU4</f>
        <v>0</v>
      </c>
      <c r="N9" s="185">
        <f>'Tariffs 2022'!AV4</f>
        <v>0</v>
      </c>
      <c r="O9" s="185">
        <f>'Tariffs 2022'!AW4</f>
        <v>0</v>
      </c>
      <c r="P9" s="188" t="str">
        <f>IF(SUM(L9:O9)=0,"No discount",IF(L9&gt;0,"Guaranteed off bill",IF(M9&gt;0,"Guaranteed off usage",IF(N9&gt;0,"Pay-on-time off bill","Pay-on-time off usage"))))</f>
        <v>Guaranteed off bill</v>
      </c>
      <c r="Q9" s="188" t="str">
        <f>IF(OR(A9="Origin Energy",A9="Red Energy",A9="Powershop"),"Inclusive","Exclusive")</f>
        <v>Exclusive</v>
      </c>
      <c r="R9" s="229">
        <f t="shared" si="0"/>
        <v>1266.415802181818</v>
      </c>
      <c r="S9" s="229">
        <f t="shared" si="1"/>
        <v>1266.415802181818</v>
      </c>
      <c r="T9" s="189">
        <f t="shared" si="2"/>
        <v>1393.0573823999998</v>
      </c>
      <c r="U9" s="189">
        <f t="shared" si="2"/>
        <v>1393.0573823999998</v>
      </c>
      <c r="V9" s="190">
        <f>'Tariffs 2022'!BF4</f>
        <v>0</v>
      </c>
      <c r="W9" s="191" t="str">
        <f>'Tariffs 2022'!BG4</f>
        <v>n</v>
      </c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</row>
    <row r="10" spans="1:43" ht="14" x14ac:dyDescent="0.15">
      <c r="A10" s="184" t="str">
        <f>'Tariffs 2022'!F5</f>
        <v>Origin Energy</v>
      </c>
      <c r="B10" s="185" t="str">
        <f>'Tariffs 2022'!G5</f>
        <v>Go Variable</v>
      </c>
      <c r="C10" s="186">
        <f>91*'Tariffs 2022'!H5/100</f>
        <v>50.42227272727272</v>
      </c>
      <c r="D10" s="186">
        <f>IF('Tariffs 2022'!K5="",$C$5*'Tariffs 2022'!W5/100,IF($C$5&gt;='Tariffs 2022'!L5*1.5,('Tariffs 2022'!L5*1.5*'Tariffs 2022'!W5/100),($C$5*'Tariffs 2022'!W5/100)))</f>
        <v>114.32132181818179</v>
      </c>
      <c r="E10" s="186">
        <f>IF(AND('Tariffs 2022'!L5*1.5&gt;0,'Tariffs 2022'!M5*1.5&gt;0),IF($C$5&lt;'Tariffs 2022'!L5*1.5,0,IF(($C$5-'Tariffs 2022'!L5*1.5)&lt;=('Tariffs 2022'!M5*1.5+'Tariffs 2022'!L5*1.5),(($C$5-'Tariffs 2022'!L5*1.5)*'Tariffs 2022'!X5/100),(('Tariffs 2022'!M5*1.5)*'Tariffs 2022'!X5/100))),0)</f>
        <v>99.526751999999973</v>
      </c>
      <c r="F10" s="186">
        <f>IF(AND('Tariffs 2022'!M5*1.5&gt;0,'Tariffs 2022'!N5*1.5&gt;0),IF($C$5&lt;('Tariffs 2022'!L5*1.5+'Tariffs 2022'!M5*1.5),0,IF(($C$5-'Tariffs 2022'!L5*1.5+'Tariffs 2022'!M5*1.5)&lt;=('Tariffs 2022'!L5*1.5+'Tariffs 2022'!M5*1.5+'Tariffs 2022'!N5*1.5),(($C$5-('Tariffs 2022'!L5*1.5+'Tariffs 2022'!M5*1.5))*'Tariffs 2022'!Y5/100),('Tariffs 2022'!N5*1.5*'Tariffs 2022'!Y5/100))),0)</f>
        <v>0</v>
      </c>
      <c r="G10" s="186">
        <f>IF(AND('Tariffs 2022'!P5&gt;0,'Tariffs 2022'!O5&gt;0),IF(($C$5&lt;(SUM('Tariffs 2022'!L5:P5))*1.5),(0),($C$5-(SUM('Tariffs 2022'!L5:P5)*1.5))*'Tariffs 2022'!AB5/100),IF(AND('Tariffs 2022'!O5&gt;0,'Tariffs 2022'!P5=""),IF(($C$5&lt; (SUM('Tariffs 2022'!L5:O5))*1.5),(0),($C$5-(SUM('Tariffs 2022'!L5:O5))*1.5)*'Tariffs 2022'!AA5/100),IF(AND('Tariffs 2022'!N5&gt;0,'Tariffs 2022'!O5=""),IF(($C$5&lt;(SUM('Tariffs 2022'!L5:N5))*1.5),(0),($C$5-(SUM('Tariffs 2022'!L5:N5))*1.5)*'Tariffs 2022'!Z5/100),IF(AND('Tariffs 2022'!M5&gt;0,'Tariffs 2022'!N5=""),IF(($C$5&lt;'Tariffs 2022'!M5*1.5+'Tariffs 2022'!L5*1.5),(0),(($C$5-('Tariffs 2022'!M5*1.5+'Tariffs 2022'!L5*1.5))*'Tariffs 2022'!Y5/100)),IF(AND('Tariffs 2022'!L5&gt;0,'Tariffs 2022'!M5=""&gt;0),IF(($C$5&lt;'Tariffs 2022'!L5*1.5),(0),($C$5-('Tariffs 2022'!L5*1.5))*'Tariffs 2022'!X5/100),0)))))</f>
        <v>0</v>
      </c>
      <c r="H10" s="186">
        <f>SUM(C10:G10)</f>
        <v>264.27034654545446</v>
      </c>
      <c r="I10" s="186">
        <f>(H10-C10)*4</f>
        <v>855.39229527272698</v>
      </c>
      <c r="J10" s="227">
        <f t="shared" si="3"/>
        <v>1057.0813861818178</v>
      </c>
      <c r="K10" s="187">
        <f t="shared" si="4"/>
        <v>1162.7895247999998</v>
      </c>
      <c r="L10" s="185">
        <f>'Tariffs 2022'!AT5</f>
        <v>0</v>
      </c>
      <c r="M10" s="185">
        <f>'Tariffs 2022'!AU5</f>
        <v>0</v>
      </c>
      <c r="N10" s="185">
        <f>'Tariffs 2022'!AV5</f>
        <v>0</v>
      </c>
      <c r="O10" s="185">
        <f>'Tariffs 2022'!AW5</f>
        <v>0</v>
      </c>
      <c r="P10" s="188" t="str">
        <f>IF(SUM(L10:O10)=0,"No discount",IF(L10&gt;0,"Guaranteed off bill",IF(M10&gt;0,"Guaranteed off usage",IF(N10&gt;0,"Pay-on-time off bill","Pay-on-time off usage"))))</f>
        <v>No discount</v>
      </c>
      <c r="Q10" s="188" t="str">
        <f>IF(OR(A10="Origin Energy",A10="Red Energy",A10="Powershop"),"Inclusive","Exclusive")</f>
        <v>Inclusive</v>
      </c>
      <c r="R10" s="245">
        <f t="shared" si="0"/>
        <v>1057.0813861818178</v>
      </c>
      <c r="S10" s="229">
        <f t="shared" si="1"/>
        <v>1057.0813861818178</v>
      </c>
      <c r="T10" s="189">
        <f t="shared" si="2"/>
        <v>1162.7895247999998</v>
      </c>
      <c r="U10" s="189">
        <f t="shared" si="2"/>
        <v>1162.7895247999998</v>
      </c>
      <c r="V10" s="190">
        <f>'Tariffs 2022'!BF5</f>
        <v>0</v>
      </c>
      <c r="W10" s="191" t="str">
        <f>'Tariffs 2022'!BG5</f>
        <v>n</v>
      </c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</row>
    <row r="11" spans="1:43" ht="15" thickBot="1" x14ac:dyDescent="0.2">
      <c r="A11" s="192" t="str">
        <f>'Tariffs 2022'!F6</f>
        <v>Red Energy</v>
      </c>
      <c r="B11" s="193" t="str">
        <f>'Tariffs 2022'!G6</f>
        <v>Living Energy Saver</v>
      </c>
      <c r="C11" s="194">
        <f>91*'Tariffs 2022'!H6/100</f>
        <v>50.951727272727275</v>
      </c>
      <c r="D11" s="194">
        <f>IF('Tariffs 2022'!K6="",$C$5*'Tariffs 2022'!W6/100,IF($C$5&gt;='Tariffs 2022'!L6*1.5,('Tariffs 2022'!L6*1.5*'Tariffs 2022'!W6/100),($C$5*'Tariffs 2022'!W6/100)))</f>
        <v>106.92431999999997</v>
      </c>
      <c r="E11" s="194">
        <f>IF(AND('Tariffs 2022'!L6*1.5&gt;0,'Tariffs 2022'!M6*1.5&gt;0),IF($C$5&lt;'Tariffs 2022'!L6*1.5,0,IF(($C$5-'Tariffs 2022'!L6*1.5)&lt;=('Tariffs 2022'!M6*1.5+'Tariffs 2022'!L6*1.5),(($C$5-'Tariffs 2022'!L6*1.5)*'Tariffs 2022'!X6/100),(('Tariffs 2022'!M6*1.5)*'Tariffs 2022'!X6/100))),0)</f>
        <v>90.887061818181834</v>
      </c>
      <c r="F11" s="194">
        <f>IF(AND('Tariffs 2022'!M6*1.5&gt;0,'Tariffs 2022'!N6*1.5&gt;0),IF($C$5&lt;('Tariffs 2022'!L6*1.5+'Tariffs 2022'!M6*1.5),0,IF(($C$5-'Tariffs 2022'!L6*1.5+'Tariffs 2022'!M6*1.5)&lt;=('Tariffs 2022'!L6*1.5+'Tariffs 2022'!M6*1.5+'Tariffs 2022'!N6*1.5),(($C$5-('Tariffs 2022'!L6*1.5+'Tariffs 2022'!M6*1.5))*'Tariffs 2022'!Y6/100),('Tariffs 2022'!N6*1.5*'Tariffs 2022'!Y6/100))),0)</f>
        <v>0</v>
      </c>
      <c r="G11" s="194">
        <f>IF(AND('Tariffs 2022'!P6&gt;0,'Tariffs 2022'!O6&gt;0),IF(($C$5&lt;(SUM('Tariffs 2022'!L6:P6))*1.5),(0),($C$5-(SUM('Tariffs 2022'!L6:P6)*1.5))*'Tariffs 2022'!AB6/100),IF(AND('Tariffs 2022'!O6&gt;0,'Tariffs 2022'!P6=""),IF(($C$5&lt; (SUM('Tariffs 2022'!L6:O6))*1.5),(0),($C$5-(SUM('Tariffs 2022'!L6:O6))*1.5)*'Tariffs 2022'!AA6/100),IF(AND('Tariffs 2022'!N6&gt;0,'Tariffs 2022'!O6=""),IF(($C$5&lt;(SUM('Tariffs 2022'!L6:N6))*1.5),(0),($C$5-(SUM('Tariffs 2022'!L6:N6))*1.5)*'Tariffs 2022'!Z6/100),IF(AND('Tariffs 2022'!M6&gt;0,'Tariffs 2022'!N6=""),IF(($C$5&lt;'Tariffs 2022'!M6*1.5+'Tariffs 2022'!L6*1.5),(0),(($C$5-('Tariffs 2022'!M6*1.5+'Tariffs 2022'!L6*1.5))*'Tariffs 2022'!Y6/100)),IF(AND('Tariffs 2022'!L6&gt;0,'Tariffs 2022'!M6=""&gt;0),IF(($C$5&lt;'Tariffs 2022'!L6*1.5),(0),($C$5-('Tariffs 2022'!L6*1.5))*'Tariffs 2022'!X6/100),0)))))</f>
        <v>0</v>
      </c>
      <c r="H11" s="194">
        <f>SUM(C11:G11)</f>
        <v>248.7631090909091</v>
      </c>
      <c r="I11" s="194">
        <f>(H11-C11)*4</f>
        <v>791.24552727272726</v>
      </c>
      <c r="J11" s="228">
        <f t="shared" si="3"/>
        <v>995.05243636363639</v>
      </c>
      <c r="K11" s="195">
        <f t="shared" si="4"/>
        <v>1094.5576800000001</v>
      </c>
      <c r="L11" s="193">
        <f>'Tariffs 2022'!AT6</f>
        <v>0</v>
      </c>
      <c r="M11" s="193">
        <f>'Tariffs 2022'!AU6</f>
        <v>0</v>
      </c>
      <c r="N11" s="193">
        <f>'Tariffs 2022'!AV6</f>
        <v>0</v>
      </c>
      <c r="O11" s="193">
        <f>'Tariffs 2022'!AW6</f>
        <v>0</v>
      </c>
      <c r="P11" s="196" t="str">
        <f>IF(SUM(L11:O11)=0,"No discount",IF(L11&gt;0,"Guaranteed off bill",IF(M11&gt;0,"Guaranteed off usage",IF(N11&gt;0,"Pay-on-time off bill","Pay-on-time off usage"))))</f>
        <v>No discount</v>
      </c>
      <c r="Q11" s="196" t="str">
        <f>IF(OR(A11="Origin Energy",A11="Red Energy",A11="Powershop"),"Inclusive","Exclusive")</f>
        <v>Inclusive</v>
      </c>
      <c r="R11" s="230">
        <f t="shared" si="0"/>
        <v>995.05243636363639</v>
      </c>
      <c r="S11" s="231">
        <f t="shared" si="1"/>
        <v>995.05243636363639</v>
      </c>
      <c r="T11" s="197">
        <f t="shared" si="2"/>
        <v>1094.5576800000001</v>
      </c>
      <c r="U11" s="197">
        <f t="shared" si="2"/>
        <v>1094.5576800000001</v>
      </c>
      <c r="V11" s="198">
        <f>'Tariffs 2022'!BF6</f>
        <v>0</v>
      </c>
      <c r="W11" s="199" t="str">
        <f>'Tariffs 2022'!BG6</f>
        <v>n</v>
      </c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</row>
    <row r="12" spans="1:43" customFormat="1" x14ac:dyDescent="0.15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</row>
    <row r="13" spans="1:43" customFormat="1" x14ac:dyDescent="0.15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</row>
    <row r="14" spans="1:43" customFormat="1" x14ac:dyDescent="0.15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</row>
    <row r="15" spans="1:43" customFormat="1" x14ac:dyDescent="0.15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</row>
    <row r="16" spans="1:43" customFormat="1" x14ac:dyDescent="0.15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</row>
    <row r="17" spans="1:43" customFormat="1" x14ac:dyDescent="0.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</row>
    <row r="18" spans="1:43" customFormat="1" x14ac:dyDescent="0.15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</row>
    <row r="19" spans="1:43" customFormat="1" x14ac:dyDescent="0.15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</row>
    <row r="20" spans="1:43" customFormat="1" x14ac:dyDescent="0.15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</row>
    <row r="21" spans="1:43" customFormat="1" x14ac:dyDescent="0.15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</row>
    <row r="22" spans="1:43" customFormat="1" x14ac:dyDescent="0.15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</row>
    <row r="23" spans="1:43" customFormat="1" x14ac:dyDescent="0.15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</row>
    <row r="24" spans="1:43" customFormat="1" x14ac:dyDescent="0.15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</row>
    <row r="25" spans="1:43" customFormat="1" x14ac:dyDescent="0.1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</row>
    <row r="26" spans="1:43" customFormat="1" x14ac:dyDescent="0.15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</row>
    <row r="27" spans="1:43" customFormat="1" x14ac:dyDescent="0.15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</row>
    <row r="28" spans="1:43" customFormat="1" x14ac:dyDescent="0.1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</row>
    <row r="29" spans="1:43" customFormat="1" x14ac:dyDescent="0.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</row>
    <row r="30" spans="1:43" customFormat="1" x14ac:dyDescent="0.15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</row>
    <row r="31" spans="1:43" customFormat="1" x14ac:dyDescent="0.15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</row>
    <row r="32" spans="1:43" customFormat="1" x14ac:dyDescent="0.15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</row>
    <row r="33" spans="1:43" customFormat="1" x14ac:dyDescent="0.15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</row>
    <row r="34" spans="1:43" customFormat="1" x14ac:dyDescent="0.15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</row>
    <row r="35" spans="1:43" customFormat="1" x14ac:dyDescent="0.15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</row>
    <row r="36" spans="1:43" customFormat="1" x14ac:dyDescent="0.15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</row>
    <row r="37" spans="1:43" customFormat="1" x14ac:dyDescent="0.15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</row>
    <row r="38" spans="1:43" customFormat="1" x14ac:dyDescent="0.15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</row>
    <row r="39" spans="1:43" customFormat="1" x14ac:dyDescent="0.15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</row>
    <row r="40" spans="1:43" customFormat="1" x14ac:dyDescent="0.1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</row>
    <row r="41" spans="1:43" customFormat="1" x14ac:dyDescent="0.15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</row>
    <row r="42" spans="1:43" customFormat="1" x14ac:dyDescent="0.15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</row>
    <row r="43" spans="1:43" customFormat="1" x14ac:dyDescent="0.1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</row>
    <row r="44" spans="1:43" customFormat="1" x14ac:dyDescent="0.15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</row>
    <row r="45" spans="1:43" customFormat="1" x14ac:dyDescent="0.15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</row>
    <row r="46" spans="1:43" customFormat="1" x14ac:dyDescent="0.15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</row>
    <row r="47" spans="1:43" customFormat="1" x14ac:dyDescent="0.15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</row>
    <row r="48" spans="1:43" customFormat="1" x14ac:dyDescent="0.15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</row>
    <row r="49" spans="1:43" customFormat="1" x14ac:dyDescent="0.15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</row>
    <row r="50" spans="1:43" customFormat="1" x14ac:dyDescent="0.15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</row>
    <row r="51" spans="1:43" customFormat="1" x14ac:dyDescent="0.15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</row>
    <row r="52" spans="1:43" customFormat="1" x14ac:dyDescent="0.15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</row>
    <row r="53" spans="1:43" customFormat="1" x14ac:dyDescent="0.15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</row>
    <row r="54" spans="1:43" customFormat="1" x14ac:dyDescent="0.15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</row>
    <row r="55" spans="1:43" customFormat="1" x14ac:dyDescent="0.15">
      <c r="A55" s="24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  <c r="AP55" s="249"/>
      <c r="AQ55" s="249"/>
    </row>
    <row r="56" spans="1:43" customFormat="1" x14ac:dyDescent="0.15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  <c r="U56" s="249"/>
      <c r="V56" s="249"/>
      <c r="W56" s="249"/>
      <c r="X56" s="249"/>
      <c r="Y56" s="249"/>
      <c r="Z56" s="249"/>
      <c r="AA56" s="249"/>
      <c r="AB56" s="249"/>
      <c r="AC56" s="249"/>
      <c r="AD56" s="249"/>
      <c r="AE56" s="249"/>
      <c r="AF56" s="249"/>
      <c r="AG56" s="249"/>
      <c r="AH56" s="249"/>
      <c r="AI56" s="249"/>
      <c r="AJ56" s="249"/>
      <c r="AK56" s="249"/>
      <c r="AL56" s="249"/>
      <c r="AM56" s="249"/>
      <c r="AN56" s="249"/>
      <c r="AO56" s="249"/>
      <c r="AP56" s="249"/>
      <c r="AQ56" s="249"/>
    </row>
    <row r="57" spans="1:43" customFormat="1" x14ac:dyDescent="0.15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</row>
    <row r="58" spans="1:43" customFormat="1" x14ac:dyDescent="0.15">
      <c r="A58" s="24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</row>
    <row r="59" spans="1:43" customFormat="1" x14ac:dyDescent="0.15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</row>
    <row r="60" spans="1:43" customFormat="1" x14ac:dyDescent="0.15">
      <c r="A60" s="24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  <c r="Z60" s="249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</row>
    <row r="61" spans="1:43" customFormat="1" x14ac:dyDescent="0.15">
      <c r="A61" s="24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  <c r="Y61" s="249"/>
      <c r="Z61" s="249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</row>
    <row r="62" spans="1:43" customFormat="1" x14ac:dyDescent="0.15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Z62" s="249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</row>
    <row r="63" spans="1:43" customFormat="1" x14ac:dyDescent="0.15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</row>
    <row r="64" spans="1:43" customFormat="1" x14ac:dyDescent="0.15">
      <c r="A64" s="249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</row>
    <row r="65" spans="1:43" customFormat="1" x14ac:dyDescent="0.15">
      <c r="A65" s="249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</row>
    <row r="66" spans="1:43" customFormat="1" x14ac:dyDescent="0.15">
      <c r="A66" s="249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</row>
    <row r="67" spans="1:43" customFormat="1" x14ac:dyDescent="0.15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  <c r="U67" s="249"/>
      <c r="V67" s="249"/>
      <c r="W67" s="249"/>
      <c r="X67" s="249"/>
      <c r="Y67" s="249"/>
      <c r="Z67" s="249"/>
      <c r="AA67" s="249"/>
      <c r="AB67" s="249"/>
      <c r="AC67" s="249"/>
      <c r="AD67" s="249"/>
      <c r="AE67" s="249"/>
      <c r="AF67" s="249"/>
      <c r="AG67" s="249"/>
      <c r="AH67" s="249"/>
      <c r="AI67" s="249"/>
      <c r="AJ67" s="249"/>
      <c r="AK67" s="249"/>
      <c r="AL67" s="249"/>
      <c r="AM67" s="249"/>
      <c r="AN67" s="249"/>
      <c r="AO67" s="249"/>
      <c r="AP67" s="249"/>
      <c r="AQ67" s="249"/>
    </row>
    <row r="68" spans="1:43" customFormat="1" x14ac:dyDescent="0.15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</row>
    <row r="69" spans="1:43" customFormat="1" x14ac:dyDescent="0.15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249"/>
      <c r="AE69" s="249"/>
      <c r="AF69" s="249"/>
      <c r="AG69" s="249"/>
      <c r="AH69" s="249"/>
      <c r="AI69" s="249"/>
      <c r="AJ69" s="249"/>
      <c r="AK69" s="249"/>
      <c r="AL69" s="249"/>
      <c r="AM69" s="249"/>
      <c r="AN69" s="249"/>
      <c r="AO69" s="249"/>
      <c r="AP69" s="249"/>
      <c r="AQ69" s="249"/>
    </row>
    <row r="70" spans="1:43" customFormat="1" x14ac:dyDescent="0.15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  <c r="AA70" s="249"/>
      <c r="AB70" s="249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49"/>
      <c r="AQ70" s="249"/>
    </row>
    <row r="71" spans="1:43" customFormat="1" x14ac:dyDescent="0.15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</row>
    <row r="72" spans="1:43" customFormat="1" x14ac:dyDescent="0.15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  <c r="AA72" s="249"/>
      <c r="AB72" s="249"/>
      <c r="AC72" s="249"/>
      <c r="AD72" s="249"/>
      <c r="AE72" s="249"/>
      <c r="AF72" s="249"/>
      <c r="AG72" s="249"/>
      <c r="AH72" s="249"/>
      <c r="AI72" s="249"/>
      <c r="AJ72" s="249"/>
      <c r="AK72" s="249"/>
      <c r="AL72" s="249"/>
      <c r="AM72" s="249"/>
      <c r="AN72" s="249"/>
      <c r="AO72" s="249"/>
      <c r="AP72" s="249"/>
      <c r="AQ72" s="249"/>
    </row>
    <row r="73" spans="1:43" customFormat="1" x14ac:dyDescent="0.15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49"/>
      <c r="AM73" s="249"/>
      <c r="AN73" s="249"/>
      <c r="AO73" s="249"/>
      <c r="AP73" s="249"/>
      <c r="AQ73" s="249"/>
    </row>
    <row r="74" spans="1:43" customFormat="1" x14ac:dyDescent="0.15">
      <c r="A74" s="249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Z74" s="249"/>
      <c r="AA74" s="249"/>
      <c r="AB74" s="249"/>
      <c r="AC74" s="249"/>
      <c r="AD74" s="249"/>
      <c r="AE74" s="249"/>
      <c r="AF74" s="249"/>
      <c r="AG74" s="249"/>
      <c r="AH74" s="249"/>
      <c r="AI74" s="249"/>
      <c r="AJ74" s="249"/>
      <c r="AK74" s="249"/>
      <c r="AL74" s="249"/>
      <c r="AM74" s="249"/>
      <c r="AN74" s="249"/>
      <c r="AO74" s="249"/>
      <c r="AP74" s="249"/>
      <c r="AQ74" s="249"/>
    </row>
    <row r="75" spans="1:43" customFormat="1" x14ac:dyDescent="0.15">
      <c r="A75" s="249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49"/>
      <c r="AM75" s="249"/>
      <c r="AN75" s="249"/>
      <c r="AO75" s="249"/>
      <c r="AP75" s="249"/>
      <c r="AQ75" s="249"/>
    </row>
    <row r="76" spans="1:43" customFormat="1" x14ac:dyDescent="0.15">
      <c r="A76" s="249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</row>
    <row r="77" spans="1:43" customFormat="1" x14ac:dyDescent="0.15">
      <c r="A77" s="249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  <c r="U77" s="249"/>
      <c r="V77" s="249"/>
      <c r="W77" s="249"/>
      <c r="X77" s="249"/>
      <c r="Y77" s="249"/>
      <c r="Z77" s="249"/>
      <c r="AA77" s="249"/>
      <c r="AB77" s="249"/>
      <c r="AC77" s="249"/>
      <c r="AD77" s="249"/>
      <c r="AE77" s="249"/>
      <c r="AF77" s="249"/>
      <c r="AG77" s="249"/>
      <c r="AH77" s="249"/>
      <c r="AI77" s="249"/>
      <c r="AJ77" s="249"/>
      <c r="AK77" s="249"/>
      <c r="AL77" s="249"/>
      <c r="AM77" s="249"/>
      <c r="AN77" s="249"/>
      <c r="AO77" s="249"/>
      <c r="AP77" s="249"/>
      <c r="AQ77" s="249"/>
    </row>
    <row r="78" spans="1:43" customFormat="1" x14ac:dyDescent="0.15">
      <c r="A78" s="249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49"/>
      <c r="X78" s="249"/>
      <c r="Y78" s="249"/>
      <c r="Z78" s="249"/>
      <c r="AA78" s="249"/>
      <c r="AB78" s="249"/>
      <c r="AC78" s="249"/>
      <c r="AD78" s="249"/>
      <c r="AE78" s="249"/>
      <c r="AF78" s="249"/>
      <c r="AG78" s="249"/>
      <c r="AH78" s="249"/>
      <c r="AI78" s="249"/>
      <c r="AJ78" s="249"/>
      <c r="AK78" s="249"/>
      <c r="AL78" s="249"/>
      <c r="AM78" s="249"/>
      <c r="AN78" s="249"/>
      <c r="AO78" s="249"/>
      <c r="AP78" s="249"/>
      <c r="AQ78" s="249"/>
    </row>
    <row r="79" spans="1:43" customFormat="1" x14ac:dyDescent="0.15">
      <c r="A79" s="249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49"/>
      <c r="AM79" s="249"/>
      <c r="AN79" s="249"/>
      <c r="AO79" s="249"/>
      <c r="AP79" s="249"/>
      <c r="AQ79" s="249"/>
    </row>
    <row r="80" spans="1:43" customFormat="1" x14ac:dyDescent="0.15">
      <c r="A80" s="249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</row>
    <row r="81" spans="1:43" customFormat="1" x14ac:dyDescent="0.15">
      <c r="A81" s="249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  <c r="U81" s="249"/>
      <c r="V81" s="249"/>
      <c r="W81" s="249"/>
      <c r="X81" s="249"/>
      <c r="Y81" s="249"/>
      <c r="Z81" s="249"/>
      <c r="AA81" s="249"/>
      <c r="AB81" s="249"/>
      <c r="AC81" s="249"/>
      <c r="AD81" s="249"/>
      <c r="AE81" s="249"/>
      <c r="AF81" s="249"/>
      <c r="AG81" s="249"/>
      <c r="AH81" s="249"/>
      <c r="AI81" s="249"/>
      <c r="AJ81" s="249"/>
      <c r="AK81" s="249"/>
      <c r="AL81" s="249"/>
      <c r="AM81" s="249"/>
      <c r="AN81" s="249"/>
      <c r="AO81" s="249"/>
      <c r="AP81" s="249"/>
      <c r="AQ81" s="249"/>
    </row>
    <row r="82" spans="1:43" customFormat="1" x14ac:dyDescent="0.15">
      <c r="A82" s="249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  <c r="U82" s="249"/>
      <c r="V82" s="249"/>
      <c r="W82" s="249"/>
      <c r="X82" s="249"/>
      <c r="Y82" s="249"/>
      <c r="Z82" s="249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</row>
    <row r="83" spans="1:43" customFormat="1" x14ac:dyDescent="0.15">
      <c r="A83" s="249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49"/>
      <c r="AM83" s="249"/>
      <c r="AN83" s="249"/>
      <c r="AO83" s="249"/>
      <c r="AP83" s="249"/>
      <c r="AQ83" s="249"/>
    </row>
    <row r="84" spans="1:43" customFormat="1" x14ac:dyDescent="0.15">
      <c r="A84" s="249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</row>
    <row r="85" spans="1:43" customFormat="1" x14ac:dyDescent="0.15">
      <c r="A85" s="249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49"/>
      <c r="AM85" s="249"/>
      <c r="AN85" s="249"/>
      <c r="AO85" s="249"/>
      <c r="AP85" s="249"/>
      <c r="AQ85" s="249"/>
    </row>
    <row r="86" spans="1:43" customFormat="1" x14ac:dyDescent="0.15">
      <c r="A86" s="249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  <c r="AB86" s="249"/>
      <c r="AC86" s="249"/>
      <c r="AD86" s="249"/>
      <c r="AE86" s="249"/>
      <c r="AF86" s="249"/>
      <c r="AG86" s="249"/>
      <c r="AH86" s="249"/>
      <c r="AI86" s="249"/>
      <c r="AJ86" s="249"/>
      <c r="AK86" s="249"/>
      <c r="AL86" s="249"/>
      <c r="AM86" s="249"/>
      <c r="AN86" s="249"/>
      <c r="AO86" s="249"/>
      <c r="AP86" s="249"/>
      <c r="AQ86" s="249"/>
    </row>
    <row r="87" spans="1:43" customFormat="1" x14ac:dyDescent="0.15">
      <c r="A87" s="249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</row>
    <row r="88" spans="1:43" customFormat="1" x14ac:dyDescent="0.15">
      <c r="A88" s="249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49"/>
      <c r="X88" s="249"/>
      <c r="Y88" s="249"/>
      <c r="Z88" s="249"/>
      <c r="AA88" s="249"/>
      <c r="AB88" s="249"/>
      <c r="AC88" s="249"/>
      <c r="AD88" s="249"/>
      <c r="AE88" s="249"/>
      <c r="AF88" s="249"/>
      <c r="AG88" s="249"/>
      <c r="AH88" s="249"/>
      <c r="AI88" s="249"/>
      <c r="AJ88" s="249"/>
      <c r="AK88" s="249"/>
      <c r="AL88" s="249"/>
      <c r="AM88" s="249"/>
      <c r="AN88" s="249"/>
      <c r="AO88" s="249"/>
      <c r="AP88" s="249"/>
      <c r="AQ88" s="249"/>
    </row>
    <row r="89" spans="1:43" customFormat="1" x14ac:dyDescent="0.15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49"/>
      <c r="AM89" s="249"/>
      <c r="AN89" s="249"/>
      <c r="AO89" s="249"/>
      <c r="AP89" s="249"/>
      <c r="AQ89" s="249"/>
    </row>
    <row r="90" spans="1:43" customFormat="1" x14ac:dyDescent="0.15">
      <c r="A90" s="249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9"/>
      <c r="Z90" s="249"/>
      <c r="AA90" s="249"/>
      <c r="AB90" s="249"/>
      <c r="AC90" s="249"/>
      <c r="AD90" s="249"/>
      <c r="AE90" s="249"/>
      <c r="AF90" s="249"/>
      <c r="AG90" s="249"/>
      <c r="AH90" s="249"/>
      <c r="AI90" s="249"/>
      <c r="AJ90" s="249"/>
      <c r="AK90" s="249"/>
      <c r="AL90" s="249"/>
      <c r="AM90" s="249"/>
      <c r="AN90" s="249"/>
      <c r="AO90" s="249"/>
      <c r="AP90" s="249"/>
      <c r="AQ90" s="249"/>
    </row>
    <row r="91" spans="1:43" customFormat="1" x14ac:dyDescent="0.15">
      <c r="A91" s="249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49"/>
      <c r="AM91" s="249"/>
      <c r="AN91" s="249"/>
      <c r="AO91" s="249"/>
      <c r="AP91" s="249"/>
      <c r="AQ91" s="249"/>
    </row>
    <row r="92" spans="1:43" customFormat="1" x14ac:dyDescent="0.15">
      <c r="A92" s="249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/>
      <c r="AC92" s="249"/>
      <c r="AD92" s="249"/>
      <c r="AE92" s="249"/>
      <c r="AF92" s="249"/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</row>
    <row r="93" spans="1:43" customFormat="1" x14ac:dyDescent="0.15"/>
    <row r="94" spans="1:43" customFormat="1" x14ac:dyDescent="0.15"/>
    <row r="95" spans="1:43" customFormat="1" x14ac:dyDescent="0.15"/>
    <row r="96" spans="1:43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</sheetData>
  <sheetProtection algorithmName="SHA-512" hashValue="GFTgaPcYLbH9e9VwB8+iJQfsqr4lKs4iVP80R/N/HnmYOUr7VkaLda4z8wnKIw/rHKO30ifawnCMx/Seujc+lA==" saltValue="P/oG1pkg4A9sKcspIv9NUw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3DD9-49FD-FC47-9299-DB9D3DCA5306}">
  <sheetPr codeName="Sheet18"/>
  <dimension ref="A1:OH1731"/>
  <sheetViews>
    <sheetView topLeftCell="A2" zoomScale="105" workbookViewId="0">
      <selection activeCell="K8" sqref="K8:K11"/>
    </sheetView>
  </sheetViews>
  <sheetFormatPr baseColWidth="10" defaultRowHeight="13" x14ac:dyDescent="0.15"/>
  <cols>
    <col min="1" max="1" width="18.1640625" style="202" customWidth="1"/>
    <col min="2" max="2" width="20" style="202" customWidth="1"/>
    <col min="3" max="8" width="11.83203125" style="202" customWidth="1"/>
    <col min="9" max="10" width="11.83203125" style="202" hidden="1" customWidth="1"/>
    <col min="11" max="15" width="11.83203125" style="202" customWidth="1"/>
    <col min="16" max="19" width="11.83203125" style="202" hidden="1" customWidth="1"/>
    <col min="20" max="23" width="11.83203125" style="202" customWidth="1"/>
    <col min="399" max="16384" width="10.83203125" style="202"/>
  </cols>
  <sheetData>
    <row r="1" spans="1:43" customFormat="1" x14ac:dyDescent="0.15">
      <c r="A1" s="246" t="s">
        <v>162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</row>
    <row r="2" spans="1:43" customFormat="1" x14ac:dyDescent="0.15">
      <c r="A2" s="246" t="s">
        <v>145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</row>
    <row r="3" spans="1:43" customFormat="1" ht="14" thickBot="1" x14ac:dyDescent="0.2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</row>
    <row r="4" spans="1:43" ht="14" x14ac:dyDescent="0.15">
      <c r="A4" s="177" t="s">
        <v>146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9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</row>
    <row r="5" spans="1:43" ht="14" x14ac:dyDescent="0.15">
      <c r="A5" s="180" t="s">
        <v>257</v>
      </c>
      <c r="B5" s="181"/>
      <c r="C5" s="182">
        <v>7500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3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</row>
    <row r="6" spans="1:43" ht="14" x14ac:dyDescent="0.15">
      <c r="A6" s="180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3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</row>
    <row r="7" spans="1:43" ht="75" x14ac:dyDescent="0.15">
      <c r="A7" s="216" t="s">
        <v>57</v>
      </c>
      <c r="B7" s="217" t="s">
        <v>170</v>
      </c>
      <c r="C7" s="218" t="s">
        <v>171</v>
      </c>
      <c r="D7" s="218" t="s">
        <v>148</v>
      </c>
      <c r="E7" s="218" t="s">
        <v>149</v>
      </c>
      <c r="F7" s="218" t="s">
        <v>150</v>
      </c>
      <c r="G7" s="218" t="s">
        <v>151</v>
      </c>
      <c r="H7" s="219" t="s">
        <v>132</v>
      </c>
      <c r="I7" s="220" t="s">
        <v>133</v>
      </c>
      <c r="J7" s="221" t="s">
        <v>153</v>
      </c>
      <c r="K7" s="222" t="s">
        <v>134</v>
      </c>
      <c r="L7" s="223" t="s">
        <v>154</v>
      </c>
      <c r="M7" s="223" t="s">
        <v>127</v>
      </c>
      <c r="N7" s="223" t="s">
        <v>128</v>
      </c>
      <c r="O7" s="223" t="s">
        <v>129</v>
      </c>
      <c r="P7" s="224" t="s">
        <v>254</v>
      </c>
      <c r="Q7" s="224" t="s">
        <v>255</v>
      </c>
      <c r="R7" s="220" t="s">
        <v>158</v>
      </c>
      <c r="S7" s="220" t="s">
        <v>159</v>
      </c>
      <c r="T7" s="225" t="s">
        <v>160</v>
      </c>
      <c r="U7" s="225" t="s">
        <v>161</v>
      </c>
      <c r="V7" s="223" t="s">
        <v>130</v>
      </c>
      <c r="W7" s="226" t="s">
        <v>131</v>
      </c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</row>
    <row r="8" spans="1:43" ht="14" x14ac:dyDescent="0.15">
      <c r="A8" s="184" t="str">
        <f>'Tariffs 2021'!F3</f>
        <v>ActewAGL</v>
      </c>
      <c r="B8" s="185" t="str">
        <f>'Tariffs 2021'!G3</f>
        <v>Home plan</v>
      </c>
      <c r="C8" s="186">
        <f>91*'Tariffs 2021'!H3/100</f>
        <v>69.16</v>
      </c>
      <c r="D8" s="186">
        <f>IF('Tariffs 2021'!K3="",$C$5*'Tariffs 2021'!W3/100,IF($C$5&gt;='Tariffs 2021'!L3*1.5,('Tariffs 2021'!L3*1.5*'Tariffs 2021'!W3/100),($C$5*'Tariffs 2021'!W3/100)))</f>
        <v>132.14199845454544</v>
      </c>
      <c r="E8" s="186">
        <f>IF(AND('Tariffs 2021'!L3*1.5&gt;0,'Tariffs 2021'!M3*1.5&gt;0),IF($C$5&lt;'Tariffs 2021'!L3*1.5,0,IF(($C$5-'Tariffs 2021'!L3*1.5)&lt;=('Tariffs 2021'!M3*1.5+'Tariffs 2021'!L3*1.5),(($C$5-'Tariffs 2021'!L3*1.5)*'Tariffs 2021'!X3/100),(('Tariffs 2021'!M3*1.5)*'Tariffs 2021'!X3/100))),0)</f>
        <v>115.07780699999999</v>
      </c>
      <c r="F8" s="186">
        <f>IF(AND('Tariffs 2021'!M3*1.5&gt;0,'Tariffs 2021'!N3*1.5&gt;0),IF($C$5&lt;('Tariffs 2021'!L3*1.5+'Tariffs 2021'!M3*1.5),0,IF(($C$5-'Tariffs 2021'!L3*1.5+'Tariffs 2021'!M3*1.5)&lt;=('Tariffs 2021'!L3*1.5+'Tariffs 2021'!M3*1.5+'Tariffs 2021'!N3*1.5),(($C$5-('Tariffs 2021'!L3*1.5+'Tariffs 2021'!M3*1.5))*'Tariffs 2021'!Y3/100),('Tariffs 2021'!N3*1.5*'Tariffs 2021'!Y3/100))),0)</f>
        <v>0</v>
      </c>
      <c r="G8" s="186">
        <f>IF(AND('Tariffs 2021'!P3&gt;0,'Tariffs 2021'!O3&gt;0),IF(($C$5&lt;(SUM('Tariffs 2021'!L3:P3))*1.5),(0),($C$5-(SUM('Tariffs 2021'!L3:P3)*1.5))*'Tariffs 2021'!AB3/100),IF(AND('Tariffs 2021'!O3&gt;0,'Tariffs 2021'!P3=""),IF(($C$5&lt; (SUM('Tariffs 2021'!L3:O3))*1.5),(0),($C$5-(SUM('Tariffs 2021'!L3:O3))*1.5)*'Tariffs 2021'!AA3/100),IF(AND('Tariffs 2021'!N3&gt;0,'Tariffs 2021'!O3=""),IF(($C$5&lt;(SUM('Tariffs 2021'!L3:N3))*1.5),(0),($C$5-(SUM('Tariffs 2021'!L3:N3))*1.5)*'Tariffs 2021'!Z3/100),IF(AND('Tariffs 2021'!M3&gt;0,'Tariffs 2021'!N3=""),IF(($C$5&lt;'Tariffs 2021'!M3*1.5+'Tariffs 2021'!L3*1.5),(0),(($C$5-('Tariffs 2021'!M3*1.5+'Tariffs 2021'!L3*1.5))*'Tariffs 2021'!Y3/100)),IF(AND('Tariffs 2021'!L3&gt;0,'Tariffs 2021'!M3=""&gt;0),IF(($C$5&lt;'Tariffs 2021'!L3*1.5),(0),($C$5-('Tariffs 2021'!L3*1.5))*'Tariffs 2021'!X3/100),0)))))</f>
        <v>0</v>
      </c>
      <c r="H8" s="186">
        <f>SUM(C8:G8)</f>
        <v>316.37980545454542</v>
      </c>
      <c r="I8" s="186">
        <f>(H8-C8)*4</f>
        <v>988.87922181818169</v>
      </c>
      <c r="J8" s="227">
        <f>H8*4</f>
        <v>1265.5192218181817</v>
      </c>
      <c r="K8" s="187">
        <f>J8*1.1</f>
        <v>1392.071144</v>
      </c>
      <c r="L8" s="185">
        <f>'Tariffs 2021'!AT3</f>
        <v>0</v>
      </c>
      <c r="M8" s="185">
        <f>'Tariffs 2021'!AU3</f>
        <v>0</v>
      </c>
      <c r="N8" s="185">
        <f>'Tariffs 2021'!AV3</f>
        <v>0</v>
      </c>
      <c r="O8" s="185">
        <f>'Tariffs 2021'!AW3</f>
        <v>0</v>
      </c>
      <c r="P8" s="188" t="str">
        <f>IF(SUM(L8:O8)=0,"No discount",IF(L8&gt;0,"Guaranteed off bill",IF(M8&gt;0,"Guaranteed off usage",IF(N8&gt;0,"Pay-on-time off bill","Pay-on-time off usage"))))</f>
        <v>No discount</v>
      </c>
      <c r="Q8" s="188" t="str">
        <f>IF(OR(A8="Origin Energy",A8="Red Energy",A8="Powershop"),"Inclusive","Exclusive")</f>
        <v>Exclusive</v>
      </c>
      <c r="R8" s="229">
        <f t="shared" ref="R8:R10" si="0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1265.5192218181817</v>
      </c>
      <c r="S8" s="229">
        <f t="shared" ref="S8:S10" si="1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1265.5192218181817</v>
      </c>
      <c r="T8" s="189">
        <f t="shared" ref="T8:U10" si="2">R8*1.1</f>
        <v>1392.071144</v>
      </c>
      <c r="U8" s="189">
        <f t="shared" si="2"/>
        <v>1392.071144</v>
      </c>
      <c r="V8" s="190">
        <f>'Tariffs 2021'!BF3</f>
        <v>0</v>
      </c>
      <c r="W8" s="191" t="str">
        <f>'Tariffs 2021'!BG3</f>
        <v>n</v>
      </c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</row>
    <row r="9" spans="1:43" ht="14" x14ac:dyDescent="0.15">
      <c r="A9" s="184" t="str">
        <f>'Tariffs 2021'!F4</f>
        <v>EnergyAustralia</v>
      </c>
      <c r="B9" s="185" t="str">
        <f>'Tariffs 2021'!G4</f>
        <v>Total Plan</v>
      </c>
      <c r="C9" s="186">
        <f>91*'Tariffs 2021'!H4/100</f>
        <v>62.79</v>
      </c>
      <c r="D9" s="186">
        <f>IF('Tariffs 2021'!K4="",$C$5*'Tariffs 2021'!W4/100,IF($C$5&gt;='Tariffs 2021'!L4*1.5,('Tariffs 2021'!L4*1.5*'Tariffs 2021'!W4/100),($C$5*'Tariffs 2021'!W4/100)))</f>
        <v>127.43495999999998</v>
      </c>
      <c r="E9" s="186">
        <f>IF(AND('Tariffs 2021'!L4*1.5&gt;0,'Tariffs 2021'!M4*1.5&gt;0),IF($C$5&lt;'Tariffs 2021'!L4*1.5,0,IF(($C$5-'Tariffs 2021'!L4*1.5)&lt;=('Tariffs 2021'!M4*1.5+'Tariffs 2021'!L4*1.5),(($C$5-'Tariffs 2021'!L4*1.5)*'Tariffs 2021'!X4/100),(('Tariffs 2021'!M4*1.5)*'Tariffs 2021'!X4/100))),0)</f>
        <v>114.0408</v>
      </c>
      <c r="F9" s="186">
        <f>IF(AND('Tariffs 2021'!M4*1.5&gt;0,'Tariffs 2021'!N4*1.5&gt;0),IF($C$5&lt;('Tariffs 2021'!L4*1.5+'Tariffs 2021'!M4*1.5),0,IF(($C$5-'Tariffs 2021'!L4*1.5+'Tariffs 2021'!M4*1.5)&lt;=('Tariffs 2021'!L4*1.5+'Tariffs 2021'!M4*1.5+'Tariffs 2021'!N4*1.5),(($C$5-('Tariffs 2021'!L4*1.5+'Tariffs 2021'!M4*1.5))*'Tariffs 2021'!Y4/100),('Tariffs 2021'!N4*1.5*'Tariffs 2021'!Y4/100))),0)</f>
        <v>0</v>
      </c>
      <c r="G9" s="186">
        <f>IF(AND('Tariffs 2021'!P4&gt;0,'Tariffs 2021'!O4&gt;0),IF(($C$5&lt;(SUM('Tariffs 2021'!L4:P4))*1.5),(0),($C$5-(SUM('Tariffs 2021'!L4:P4)*1.5))*'Tariffs 2021'!AB4/100),IF(AND('Tariffs 2021'!O4&gt;0,'Tariffs 2021'!P4=""),IF(($C$5&lt; (SUM('Tariffs 2021'!L4:O4))*1.5),(0),($C$5-(SUM('Tariffs 2021'!L4:O4))*1.5)*'Tariffs 2021'!AA4/100),IF(AND('Tariffs 2021'!N4&gt;0,'Tariffs 2021'!O4=""),IF(($C$5&lt;(SUM('Tariffs 2021'!L4:N4))*1.5),(0),($C$5-(SUM('Tariffs 2021'!L4:N4))*1.5)*'Tariffs 2021'!Z4/100),IF(AND('Tariffs 2021'!M4&gt;0,'Tariffs 2021'!N4=""),IF(($C$5&lt;'Tariffs 2021'!M4*1.5+'Tariffs 2021'!L4*1.5),(0),(($C$5-('Tariffs 2021'!M4*1.5+'Tariffs 2021'!L4*1.5))*'Tariffs 2021'!Y4/100)),IF(AND('Tariffs 2021'!L4&gt;0,'Tariffs 2021'!M4=""&gt;0),IF(($C$5&lt;'Tariffs 2021'!L4*1.5),(0),($C$5-('Tariffs 2021'!L4*1.5))*'Tariffs 2021'!X4/100),0)))))</f>
        <v>0</v>
      </c>
      <c r="H9" s="186">
        <f>SUM(C9:G9)</f>
        <v>304.26576</v>
      </c>
      <c r="I9" s="186">
        <f>(H9-C9)*4</f>
        <v>965.90304000000003</v>
      </c>
      <c r="J9" s="227">
        <f t="shared" ref="J9:J10" si="3">H9*4</f>
        <v>1217.06304</v>
      </c>
      <c r="K9" s="187">
        <f t="shared" ref="K9:K10" si="4">J9*1.1</f>
        <v>1338.769344</v>
      </c>
      <c r="L9" s="185">
        <f>'Tariffs 2021'!AT4</f>
        <v>16</v>
      </c>
      <c r="M9" s="185">
        <f>'Tariffs 2021'!AU4</f>
        <v>0</v>
      </c>
      <c r="N9" s="185">
        <f>'Tariffs 2021'!AV4</f>
        <v>0</v>
      </c>
      <c r="O9" s="185">
        <f>'Tariffs 2021'!AW4</f>
        <v>0</v>
      </c>
      <c r="P9" s="188" t="str">
        <f>IF(SUM(L9:O9)=0,"No discount",IF(L9&gt;0,"Guaranteed off bill",IF(M9&gt;0,"Guaranteed off usage",IF(N9&gt;0,"Pay-on-time off bill","Pay-on-time off usage"))))</f>
        <v>Guaranteed off bill</v>
      </c>
      <c r="Q9" s="188" t="str">
        <f>IF(OR(A9="Origin Energy",A9="Red Energy",A9="Powershop"),"Inclusive","Exclusive")</f>
        <v>Exclusive</v>
      </c>
      <c r="R9" s="229">
        <f t="shared" si="0"/>
        <v>1022.3329536</v>
      </c>
      <c r="S9" s="229">
        <f t="shared" si="1"/>
        <v>1022.3329536</v>
      </c>
      <c r="T9" s="189">
        <f t="shared" si="2"/>
        <v>1124.5662489600002</v>
      </c>
      <c r="U9" s="189">
        <f t="shared" si="2"/>
        <v>1124.5662489600002</v>
      </c>
      <c r="V9" s="190">
        <f>'Tariffs 2021'!BF4</f>
        <v>0</v>
      </c>
      <c r="W9" s="191" t="str">
        <f>'Tariffs 2021'!BG4</f>
        <v>n</v>
      </c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</row>
    <row r="10" spans="1:43" ht="14" x14ac:dyDescent="0.15">
      <c r="A10" s="184" t="str">
        <f>'Tariffs 2021'!F5</f>
        <v>Origin Energy</v>
      </c>
      <c r="B10" s="185" t="str">
        <f>'Tariffs 2021'!G5</f>
        <v>Go Variable</v>
      </c>
      <c r="C10" s="186">
        <f>91*'Tariffs 2021'!H5/100</f>
        <v>65.27181818181819</v>
      </c>
      <c r="D10" s="186">
        <f>IF('Tariffs 2021'!K5="",$C$5*'Tariffs 2021'!W5/100,IF($C$5&gt;='Tariffs 2021'!L5*1.5,('Tariffs 2021'!L5*1.5*'Tariffs 2021'!W5/100),($C$5*'Tariffs 2021'!W5/100)))</f>
        <v>125.4172148181818</v>
      </c>
      <c r="E10" s="186">
        <f>IF(AND('Tariffs 2021'!L5*1.5&gt;0,'Tariffs 2021'!M5*1.5&gt;0),IF($C$5&lt;'Tariffs 2021'!L5*1.5,0,IF(($C$5-'Tariffs 2021'!L5*1.5)&lt;=('Tariffs 2021'!M5*1.5+'Tariffs 2021'!L5*1.5),(($C$5-'Tariffs 2021'!L5*1.5)*'Tariffs 2021'!X5/100),(('Tariffs 2021'!M5*1.5)*'Tariffs 2021'!X5/100))),0)</f>
        <v>109.20296399999999</v>
      </c>
      <c r="F10" s="186">
        <f>IF(AND('Tariffs 2021'!M5*1.5&gt;0,'Tariffs 2021'!N5*1.5&gt;0),IF($C$5&lt;('Tariffs 2021'!L5*1.5+'Tariffs 2021'!M5*1.5),0,IF(($C$5-'Tariffs 2021'!L5*1.5+'Tariffs 2021'!M5*1.5)&lt;=('Tariffs 2021'!L5*1.5+'Tariffs 2021'!M5*1.5+'Tariffs 2021'!N5*1.5),(($C$5-('Tariffs 2021'!L5*1.5+'Tariffs 2021'!M5*1.5))*'Tariffs 2021'!Y5/100),('Tariffs 2021'!N5*1.5*'Tariffs 2021'!Y5/100))),0)</f>
        <v>0</v>
      </c>
      <c r="G10" s="186">
        <f>IF(AND('Tariffs 2021'!P5&gt;0,'Tariffs 2021'!O5&gt;0),IF(($C$5&lt;(SUM('Tariffs 2021'!L5:P5))*1.5),(0),($C$5-(SUM('Tariffs 2021'!L5:P5)*1.5))*'Tariffs 2021'!AB5/100),IF(AND('Tariffs 2021'!O5&gt;0,'Tariffs 2021'!P5=""),IF(($C$5&lt; (SUM('Tariffs 2021'!L5:O5))*1.5),(0),($C$5-(SUM('Tariffs 2021'!L5:O5))*1.5)*'Tariffs 2021'!AA5/100),IF(AND('Tariffs 2021'!N5&gt;0,'Tariffs 2021'!O5=""),IF(($C$5&lt;(SUM('Tariffs 2021'!L5:N5))*1.5),(0),($C$5-(SUM('Tariffs 2021'!L5:N5))*1.5)*'Tariffs 2021'!Z5/100),IF(AND('Tariffs 2021'!M5&gt;0,'Tariffs 2021'!N5=""),IF(($C$5&lt;'Tariffs 2021'!M5*1.5+'Tariffs 2021'!L5*1.5),(0),(($C$5-('Tariffs 2021'!M5*1.5+'Tariffs 2021'!L5*1.5))*'Tariffs 2021'!Y5/100)),IF(AND('Tariffs 2021'!L5&gt;0,'Tariffs 2021'!M5=""&gt;0),IF(($C$5&lt;'Tariffs 2021'!L5*1.5),(0),($C$5-('Tariffs 2021'!L5*1.5))*'Tariffs 2021'!X5/100),0)))))</f>
        <v>0</v>
      </c>
      <c r="H10" s="186">
        <f>SUM(C10:G10)</f>
        <v>299.891997</v>
      </c>
      <c r="I10" s="186">
        <f>(H10-C10)*4</f>
        <v>938.48071527272725</v>
      </c>
      <c r="J10" s="227">
        <f t="shared" si="3"/>
        <v>1199.567988</v>
      </c>
      <c r="K10" s="187">
        <f t="shared" si="4"/>
        <v>1319.5247868000001</v>
      </c>
      <c r="L10" s="185">
        <f>'Tariffs 2021'!AT5</f>
        <v>0</v>
      </c>
      <c r="M10" s="185">
        <f>'Tariffs 2021'!AU5</f>
        <v>0</v>
      </c>
      <c r="N10" s="185">
        <f>'Tariffs 2021'!AV5</f>
        <v>0</v>
      </c>
      <c r="O10" s="185">
        <f>'Tariffs 2021'!AW5</f>
        <v>0</v>
      </c>
      <c r="P10" s="188" t="str">
        <f>IF(SUM(L10:O10)=0,"No discount",IF(L10&gt;0,"Guaranteed off bill",IF(M10&gt;0,"Guaranteed off usage",IF(N10&gt;0,"Pay-on-time off bill","Pay-on-time off usage"))))</f>
        <v>No discount</v>
      </c>
      <c r="Q10" s="188" t="str">
        <f>IF(OR(A10="Origin Energy",A10="Red Energy",A10="Powershop"),"Inclusive","Exclusive")</f>
        <v>Inclusive</v>
      </c>
      <c r="R10" s="245">
        <f t="shared" si="0"/>
        <v>1199.567988</v>
      </c>
      <c r="S10" s="229">
        <f t="shared" si="1"/>
        <v>1199.567988</v>
      </c>
      <c r="T10" s="189">
        <f t="shared" si="2"/>
        <v>1319.5247868000001</v>
      </c>
      <c r="U10" s="189">
        <f t="shared" si="2"/>
        <v>1319.5247868000001</v>
      </c>
      <c r="V10" s="190">
        <f>'Tariffs 2021'!BF5</f>
        <v>0</v>
      </c>
      <c r="W10" s="191" t="str">
        <f>'Tariffs 2021'!BG5</f>
        <v>n</v>
      </c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</row>
    <row r="11" spans="1:43" ht="15" thickBot="1" x14ac:dyDescent="0.2">
      <c r="A11" s="192" t="str">
        <f>'Tariffs 2021'!F6</f>
        <v>Red Energy</v>
      </c>
      <c r="B11" s="193" t="str">
        <f>'Tariffs 2021'!G6</f>
        <v>Living Energy Saver</v>
      </c>
      <c r="C11" s="194">
        <f>91*'Tariffs 2021'!H6/100</f>
        <v>70.963454545454539</v>
      </c>
      <c r="D11" s="194">
        <f>IF('Tariffs 2021'!K6="",$C$5*'Tariffs 2021'!W6/100,IF($C$5&gt;='Tariffs 2021'!L6*1.5,('Tariffs 2021'!L6*1.5*'Tariffs 2021'!W6/100),($C$5*'Tariffs 2021'!W6/100)))</f>
        <v>160.44545454545451</v>
      </c>
      <c r="E11" s="194">
        <f>IF(AND('Tariffs 2021'!L6*1.5&gt;0,'Tariffs 2021'!M6*1.5&gt;0),IF($C$5&lt;'Tariffs 2021'!L6*1.5,0,IF(($C$5-'Tariffs 2021'!L6*1.5)&lt;=('Tariffs 2021'!M6*1.5+'Tariffs 2021'!L6*1.5),(($C$5-'Tariffs 2021'!L6*1.5)*'Tariffs 2021'!X6/100),(('Tariffs 2021'!M6*1.5)*'Tariffs 2021'!X6/100))),0)</f>
        <v>46.622727272727268</v>
      </c>
      <c r="F11" s="194">
        <f>IF(AND('Tariffs 2021'!M6*1.5&gt;0,'Tariffs 2021'!N6*1.5&gt;0),IF($C$5&lt;('Tariffs 2021'!L6*1.5+'Tariffs 2021'!M6*1.5),0,IF(($C$5-'Tariffs 2021'!L6*1.5+'Tariffs 2021'!M6*1.5)&lt;=('Tariffs 2021'!L6*1.5+'Tariffs 2021'!M6*1.5+'Tariffs 2021'!N6*1.5),(($C$5-('Tariffs 2021'!L6*1.5+'Tariffs 2021'!M6*1.5))*'Tariffs 2021'!Y6/100),('Tariffs 2021'!N6*1.5*'Tariffs 2021'!Y6/100))),0)</f>
        <v>0</v>
      </c>
      <c r="G11" s="194">
        <f>IF(AND('Tariffs 2021'!P6&gt;0,'Tariffs 2021'!O6&gt;0),IF(($C$5&lt;(SUM('Tariffs 2021'!L6:P6))*1.5),(0),($C$5-(SUM('Tariffs 2021'!L6:P6)*1.5))*'Tariffs 2021'!AB6/100),IF(AND('Tariffs 2021'!O6&gt;0,'Tariffs 2021'!P6=""),IF(($C$5&lt; (SUM('Tariffs 2021'!L6:O6))*1.5),(0),($C$5-(SUM('Tariffs 2021'!L6:O6))*1.5)*'Tariffs 2021'!AA6/100),IF(AND('Tariffs 2021'!N6&gt;0,'Tariffs 2021'!O6=""),IF(($C$5&lt;(SUM('Tariffs 2021'!L6:N6))*1.5),(0),($C$5-(SUM('Tariffs 2021'!L6:N6))*1.5)*'Tariffs 2021'!Z6/100),IF(AND('Tariffs 2021'!M6&gt;0,'Tariffs 2021'!N6=""),IF(($C$5&lt;'Tariffs 2021'!M6*1.5+'Tariffs 2021'!L6*1.5),(0),(($C$5-('Tariffs 2021'!M6*1.5+'Tariffs 2021'!L6*1.5))*'Tariffs 2021'!Y6/100)),IF(AND('Tariffs 2021'!L6&gt;0,'Tariffs 2021'!M6=""&gt;0),IF(($C$5&lt;'Tariffs 2021'!L6*1.5),(0),($C$5-('Tariffs 2021'!L6*1.5))*'Tariffs 2021'!X6/100),0)))))</f>
        <v>0</v>
      </c>
      <c r="H11" s="194">
        <f>SUM(C11:G11)</f>
        <v>278.03163636363632</v>
      </c>
      <c r="I11" s="194">
        <f>(H11-C11)*4</f>
        <v>828.27272727272714</v>
      </c>
      <c r="J11" s="228">
        <f t="shared" ref="J11" si="5">H11*4</f>
        <v>1112.1265454545453</v>
      </c>
      <c r="K11" s="195">
        <f t="shared" ref="K11" si="6">J11*1.1</f>
        <v>1223.3391999999999</v>
      </c>
      <c r="L11" s="193">
        <f>'Tariffs 2021'!AT6</f>
        <v>0</v>
      </c>
      <c r="M11" s="193">
        <f>'Tariffs 2021'!AU6</f>
        <v>0</v>
      </c>
      <c r="N11" s="193">
        <f>'Tariffs 2021'!AV6</f>
        <v>0</v>
      </c>
      <c r="O11" s="193">
        <f>'Tariffs 2021'!AW6</f>
        <v>0</v>
      </c>
      <c r="P11" s="196" t="str">
        <f>IF(SUM(L11:O11)=0,"No discount",IF(L11&gt;0,"Guaranteed off bill",IF(M11&gt;0,"Guaranteed off usage",IF(N11&gt;0,"Pay-on-time off bill","Pay-on-time off usage"))))</f>
        <v>No discount</v>
      </c>
      <c r="Q11" s="196" t="str">
        <f>IF(OR(A11="Origin Energy",A11="Red Energy",A11="Powershop"),"Inclusive","Exclusive")</f>
        <v>Inclusive</v>
      </c>
      <c r="R11" s="230">
        <f t="shared" ref="R11" si="7">IF(AND(P11="Guaranteed off bill",Q11="Inclusive"),((J11*1.1)-((J11*1.1)*L11/100))/1.1,IF(AND(P11="Guaranteed off usage",Q11="Inclusive"),((J11*1.1)-((I11*1.1)*M11/100))/1.1,IF(AND(P11="Guaranteed off bill",Q11="Exclusive"),J11-(J11*L11/100),IF(AND(P11="Guaranteed off usage",Q11="Exclusive"),J11-(I11*M11/100),IF(Q11="Inclusive",((J11*1.1))/1.1,J11)))))</f>
        <v>1112.1265454545453</v>
      </c>
      <c r="S11" s="231">
        <f t="shared" ref="S11" si="8">IF(AND(P11="Pay-on-time off bill",Q11="Inclusive"),((R11*1.1)-((R11*1.1)*N11/100))/1.1,IF(AND(P11="Pay-on-time off usage",Q11="Inclusive"),((R11*1.1)-((I11*1.1)*O11/100))/1.1,IF(AND(P11="Pay-on-time off bill",Q11="Exclusive"),R11-(R11*N11/100),IF(AND(P11="Pay-on-time off usage",Q11="Exclusive"),R11-(I11*O11/100),IF(Q11="Inclusive",((R11*1.1))/1.1,R11)))))</f>
        <v>1112.1265454545453</v>
      </c>
      <c r="T11" s="197">
        <f t="shared" ref="T11" si="9">R11*1.1</f>
        <v>1223.3391999999999</v>
      </c>
      <c r="U11" s="197">
        <f t="shared" ref="U11" si="10">S11*1.1</f>
        <v>1223.3391999999999</v>
      </c>
      <c r="V11" s="198">
        <f>'Tariffs 2021'!BF6</f>
        <v>0</v>
      </c>
      <c r="W11" s="199" t="str">
        <f>'Tariffs 2021'!BG6</f>
        <v>n</v>
      </c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</row>
    <row r="12" spans="1:43" customFormat="1" x14ac:dyDescent="0.15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  <c r="AN12" s="246"/>
      <c r="AO12" s="246"/>
      <c r="AP12" s="246"/>
      <c r="AQ12" s="246"/>
    </row>
    <row r="13" spans="1:43" customFormat="1" x14ac:dyDescent="0.15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  <c r="AK13" s="246"/>
      <c r="AL13" s="246"/>
      <c r="AM13" s="246"/>
      <c r="AN13" s="246"/>
      <c r="AO13" s="246"/>
      <c r="AP13" s="246"/>
      <c r="AQ13" s="246"/>
    </row>
    <row r="14" spans="1:43" customFormat="1" x14ac:dyDescent="0.15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</row>
    <row r="15" spans="1:43" customFormat="1" x14ac:dyDescent="0.15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</row>
    <row r="16" spans="1:43" customFormat="1" x14ac:dyDescent="0.15">
      <c r="A16" s="246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</row>
    <row r="17" spans="1:43" customFormat="1" x14ac:dyDescent="0.15">
      <c r="A17" s="246"/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</row>
    <row r="18" spans="1:43" customFormat="1" x14ac:dyDescent="0.15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</row>
    <row r="19" spans="1:43" customFormat="1" x14ac:dyDescent="0.15">
      <c r="A19" s="246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</row>
    <row r="20" spans="1:43" customFormat="1" x14ac:dyDescent="0.15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</row>
    <row r="21" spans="1:43" customFormat="1" x14ac:dyDescent="0.15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</row>
    <row r="22" spans="1:43" customFormat="1" x14ac:dyDescent="0.15">
      <c r="A22" s="246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</row>
    <row r="23" spans="1:43" customFormat="1" x14ac:dyDescent="0.15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</row>
    <row r="24" spans="1:43" customFormat="1" x14ac:dyDescent="0.15">
      <c r="A24" s="246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</row>
    <row r="25" spans="1:43" customFormat="1" x14ac:dyDescent="0.15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</row>
    <row r="26" spans="1:43" customFormat="1" x14ac:dyDescent="0.15">
      <c r="A26" s="246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</row>
    <row r="27" spans="1:43" customFormat="1" x14ac:dyDescent="0.15">
      <c r="A27" s="246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</row>
    <row r="28" spans="1:43" customFormat="1" x14ac:dyDescent="0.15">
      <c r="A28" s="246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6"/>
      <c r="AM28" s="246"/>
      <c r="AN28" s="246"/>
      <c r="AO28" s="246"/>
      <c r="AP28" s="246"/>
      <c r="AQ28" s="246"/>
    </row>
    <row r="29" spans="1:43" customFormat="1" x14ac:dyDescent="0.15">
      <c r="A29" s="246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</row>
    <row r="30" spans="1:43" customFormat="1" x14ac:dyDescent="0.15">
      <c r="A30" s="246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</row>
    <row r="31" spans="1:43" customFormat="1" x14ac:dyDescent="0.15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  <c r="AK31" s="246"/>
      <c r="AL31" s="246"/>
      <c r="AM31" s="246"/>
      <c r="AN31" s="246"/>
      <c r="AO31" s="246"/>
      <c r="AP31" s="246"/>
      <c r="AQ31" s="246"/>
    </row>
    <row r="32" spans="1:43" customFormat="1" x14ac:dyDescent="0.15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</row>
    <row r="33" spans="1:43" customFormat="1" x14ac:dyDescent="0.15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</row>
    <row r="34" spans="1:43" customFormat="1" x14ac:dyDescent="0.15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</row>
    <row r="35" spans="1:43" customFormat="1" x14ac:dyDescent="0.15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</row>
    <row r="36" spans="1:43" customFormat="1" x14ac:dyDescent="0.15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</row>
    <row r="37" spans="1:43" customFormat="1" x14ac:dyDescent="0.15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</row>
    <row r="38" spans="1:43" customFormat="1" x14ac:dyDescent="0.15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</row>
    <row r="39" spans="1:43" customFormat="1" x14ac:dyDescent="0.15">
      <c r="A39" s="246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</row>
    <row r="40" spans="1:43" customFormat="1" x14ac:dyDescent="0.15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</row>
    <row r="41" spans="1:43" customFormat="1" x14ac:dyDescent="0.15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</row>
    <row r="42" spans="1:43" customFormat="1" x14ac:dyDescent="0.15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</row>
    <row r="43" spans="1:43" customFormat="1" x14ac:dyDescent="0.15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</row>
    <row r="44" spans="1:43" customFormat="1" x14ac:dyDescent="0.15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</row>
    <row r="45" spans="1:43" customFormat="1" x14ac:dyDescent="0.15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246"/>
      <c r="AQ45" s="246"/>
    </row>
    <row r="46" spans="1:43" customFormat="1" x14ac:dyDescent="0.15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  <c r="AK46" s="246"/>
      <c r="AL46" s="246"/>
      <c r="AM46" s="246"/>
      <c r="AN46" s="246"/>
      <c r="AO46" s="246"/>
      <c r="AP46" s="246"/>
      <c r="AQ46" s="246"/>
    </row>
    <row r="47" spans="1:43" customFormat="1" x14ac:dyDescent="0.15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</row>
    <row r="48" spans="1:43" customFormat="1" x14ac:dyDescent="0.15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</row>
    <row r="49" spans="1:43" customFormat="1" x14ac:dyDescent="0.15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  <c r="AK49" s="246"/>
      <c r="AL49" s="246"/>
      <c r="AM49" s="246"/>
      <c r="AN49" s="246"/>
      <c r="AO49" s="246"/>
      <c r="AP49" s="246"/>
      <c r="AQ49" s="246"/>
    </row>
    <row r="50" spans="1:43" customFormat="1" x14ac:dyDescent="0.1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</row>
    <row r="51" spans="1:43" customFormat="1" x14ac:dyDescent="0.15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</row>
    <row r="52" spans="1:43" customFormat="1" x14ac:dyDescent="0.15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/>
      <c r="AM52" s="246"/>
      <c r="AN52" s="246"/>
      <c r="AO52" s="246"/>
      <c r="AP52" s="246"/>
      <c r="AQ52" s="246"/>
    </row>
    <row r="53" spans="1:43" customFormat="1" x14ac:dyDescent="0.1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</row>
    <row r="54" spans="1:43" customFormat="1" x14ac:dyDescent="0.1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</row>
    <row r="55" spans="1:43" customFormat="1" x14ac:dyDescent="0.1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</row>
    <row r="56" spans="1:43" customFormat="1" x14ac:dyDescent="0.15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</row>
    <row r="57" spans="1:43" customFormat="1" x14ac:dyDescent="0.15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</row>
    <row r="58" spans="1:43" customFormat="1" x14ac:dyDescent="0.15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</row>
    <row r="59" spans="1:43" customFormat="1" x14ac:dyDescent="0.15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246"/>
      <c r="AP59" s="246"/>
      <c r="AQ59" s="246"/>
    </row>
    <row r="60" spans="1:43" customFormat="1" x14ac:dyDescent="0.15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  <c r="AO60" s="246"/>
      <c r="AP60" s="246"/>
      <c r="AQ60" s="246"/>
    </row>
    <row r="61" spans="1:43" customFormat="1" x14ac:dyDescent="0.15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  <c r="AK61" s="246"/>
      <c r="AL61" s="246"/>
      <c r="AM61" s="246"/>
      <c r="AN61" s="246"/>
      <c r="AO61" s="246"/>
      <c r="AP61" s="246"/>
      <c r="AQ61" s="246"/>
    </row>
    <row r="62" spans="1:43" customFormat="1" x14ac:dyDescent="0.15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  <c r="AK62" s="246"/>
      <c r="AL62" s="246"/>
      <c r="AM62" s="246"/>
      <c r="AN62" s="246"/>
      <c r="AO62" s="246"/>
      <c r="AP62" s="246"/>
      <c r="AQ62" s="246"/>
    </row>
    <row r="63" spans="1:43" customFormat="1" x14ac:dyDescent="0.15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</row>
    <row r="64" spans="1:43" customFormat="1" x14ac:dyDescent="0.15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</row>
    <row r="65" spans="1:43" customFormat="1" x14ac:dyDescent="0.15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</row>
    <row r="66" spans="1:43" customFormat="1" x14ac:dyDescent="0.15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</row>
    <row r="67" spans="1:43" customFormat="1" x14ac:dyDescent="0.15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</row>
    <row r="68" spans="1:43" customFormat="1" x14ac:dyDescent="0.15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  <c r="AG68" s="246"/>
      <c r="AH68" s="246"/>
      <c r="AI68" s="246"/>
      <c r="AJ68" s="246"/>
      <c r="AK68" s="246"/>
      <c r="AL68" s="246"/>
      <c r="AM68" s="246"/>
      <c r="AN68" s="246"/>
      <c r="AO68" s="246"/>
      <c r="AP68" s="246"/>
      <c r="AQ68" s="246"/>
    </row>
    <row r="69" spans="1:43" customFormat="1" x14ac:dyDescent="0.15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  <c r="AK69" s="246"/>
      <c r="AL69" s="246"/>
      <c r="AM69" s="246"/>
      <c r="AN69" s="246"/>
      <c r="AO69" s="246"/>
      <c r="AP69" s="246"/>
      <c r="AQ69" s="246"/>
    </row>
    <row r="70" spans="1:43" customFormat="1" x14ac:dyDescent="0.15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  <c r="AG70" s="246"/>
      <c r="AH70" s="246"/>
      <c r="AI70" s="246"/>
      <c r="AJ70" s="246"/>
      <c r="AK70" s="246"/>
      <c r="AL70" s="246"/>
      <c r="AM70" s="246"/>
      <c r="AN70" s="246"/>
      <c r="AO70" s="246"/>
      <c r="AP70" s="246"/>
      <c r="AQ70" s="246"/>
    </row>
    <row r="71" spans="1:43" customFormat="1" x14ac:dyDescent="0.15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</row>
    <row r="72" spans="1:43" customFormat="1" x14ac:dyDescent="0.15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  <c r="AK72" s="246"/>
      <c r="AL72" s="246"/>
      <c r="AM72" s="246"/>
      <c r="AN72" s="246"/>
      <c r="AO72" s="246"/>
      <c r="AP72" s="246"/>
      <c r="AQ72" s="246"/>
    </row>
    <row r="73" spans="1:43" customFormat="1" x14ac:dyDescent="0.15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</row>
    <row r="74" spans="1:43" customFormat="1" x14ac:dyDescent="0.15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  <c r="AG74" s="246"/>
      <c r="AH74" s="246"/>
      <c r="AI74" s="246"/>
      <c r="AJ74" s="246"/>
      <c r="AK74" s="246"/>
      <c r="AL74" s="246"/>
      <c r="AM74" s="246"/>
      <c r="AN74" s="246"/>
      <c r="AO74" s="246"/>
      <c r="AP74" s="246"/>
      <c r="AQ74" s="246"/>
    </row>
    <row r="75" spans="1:43" customFormat="1" x14ac:dyDescent="0.15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</row>
    <row r="76" spans="1:43" customFormat="1" x14ac:dyDescent="0.15">
      <c r="A76" s="246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  <c r="AA76" s="246"/>
      <c r="AB76" s="246"/>
      <c r="AC76" s="246"/>
      <c r="AD76" s="246"/>
      <c r="AE76" s="246"/>
      <c r="AF76" s="246"/>
      <c r="AG76" s="246"/>
      <c r="AH76" s="246"/>
      <c r="AI76" s="246"/>
      <c r="AJ76" s="246"/>
      <c r="AK76" s="246"/>
      <c r="AL76" s="246"/>
      <c r="AM76" s="246"/>
      <c r="AN76" s="246"/>
      <c r="AO76" s="246"/>
      <c r="AP76" s="246"/>
      <c r="AQ76" s="246"/>
    </row>
    <row r="77" spans="1:43" customFormat="1" x14ac:dyDescent="0.15">
      <c r="A77" s="246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</row>
    <row r="78" spans="1:43" customFormat="1" x14ac:dyDescent="0.15">
      <c r="A78" s="246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</row>
    <row r="79" spans="1:43" customFormat="1" x14ac:dyDescent="0.15">
      <c r="A79" s="246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</row>
    <row r="80" spans="1:43" customFormat="1" x14ac:dyDescent="0.15">
      <c r="A80" s="246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  <c r="AK80" s="246"/>
      <c r="AL80" s="246"/>
      <c r="AM80" s="246"/>
      <c r="AN80" s="246"/>
      <c r="AO80" s="246"/>
      <c r="AP80" s="246"/>
      <c r="AQ80" s="246"/>
    </row>
    <row r="81" spans="1:43" customFormat="1" x14ac:dyDescent="0.15">
      <c r="A81" s="246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246"/>
      <c r="AM81" s="246"/>
      <c r="AN81" s="246"/>
      <c r="AO81" s="246"/>
      <c r="AP81" s="246"/>
      <c r="AQ81" s="246"/>
    </row>
    <row r="82" spans="1:43" customFormat="1" x14ac:dyDescent="0.15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46"/>
      <c r="AG82" s="246"/>
      <c r="AH82" s="246"/>
      <c r="AI82" s="246"/>
      <c r="AJ82" s="246"/>
      <c r="AK82" s="246"/>
      <c r="AL82" s="246"/>
      <c r="AM82" s="246"/>
      <c r="AN82" s="246"/>
      <c r="AO82" s="246"/>
      <c r="AP82" s="246"/>
      <c r="AQ82" s="246"/>
    </row>
    <row r="83" spans="1:43" customFormat="1" x14ac:dyDescent="0.15">
      <c r="A83" s="246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246"/>
      <c r="AM83" s="246"/>
      <c r="AN83" s="246"/>
      <c r="AO83" s="246"/>
      <c r="AP83" s="246"/>
      <c r="AQ83" s="246"/>
    </row>
    <row r="84" spans="1:43" customFormat="1" x14ac:dyDescent="0.15">
      <c r="A84" s="246"/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46"/>
      <c r="AA84" s="246"/>
      <c r="AB84" s="246"/>
      <c r="AC84" s="246"/>
      <c r="AD84" s="246"/>
      <c r="AE84" s="246"/>
      <c r="AF84" s="246"/>
      <c r="AG84" s="246"/>
      <c r="AH84" s="246"/>
      <c r="AI84" s="246"/>
      <c r="AJ84" s="246"/>
      <c r="AK84" s="246"/>
      <c r="AL84" s="246"/>
      <c r="AM84" s="246"/>
      <c r="AN84" s="246"/>
      <c r="AO84" s="246"/>
      <c r="AP84" s="246"/>
      <c r="AQ84" s="246"/>
    </row>
    <row r="85" spans="1:43" customFormat="1" x14ac:dyDescent="0.15">
      <c r="A85" s="246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  <c r="AA85" s="246"/>
      <c r="AB85" s="246"/>
      <c r="AC85" s="246"/>
      <c r="AD85" s="246"/>
      <c r="AE85" s="246"/>
      <c r="AF85" s="246"/>
      <c r="AG85" s="246"/>
      <c r="AH85" s="246"/>
      <c r="AI85" s="246"/>
      <c r="AJ85" s="246"/>
      <c r="AK85" s="246"/>
      <c r="AL85" s="246"/>
      <c r="AM85" s="246"/>
      <c r="AN85" s="246"/>
      <c r="AO85" s="246"/>
      <c r="AP85" s="246"/>
      <c r="AQ85" s="246"/>
    </row>
    <row r="86" spans="1:43" customFormat="1" x14ac:dyDescent="0.15">
      <c r="A86" s="246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  <c r="AA86" s="246"/>
      <c r="AB86" s="246"/>
      <c r="AC86" s="246"/>
      <c r="AD86" s="246"/>
      <c r="AE86" s="246"/>
      <c r="AF86" s="246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</row>
    <row r="87" spans="1:43" customFormat="1" x14ac:dyDescent="0.15">
      <c r="A87" s="246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46"/>
      <c r="AL87" s="246"/>
      <c r="AM87" s="246"/>
      <c r="AN87" s="246"/>
      <c r="AO87" s="246"/>
      <c r="AP87" s="246"/>
      <c r="AQ87" s="246"/>
    </row>
    <row r="88" spans="1:43" customFormat="1" x14ac:dyDescent="0.15">
      <c r="A88" s="246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  <c r="AA88" s="246"/>
      <c r="AB88" s="246"/>
      <c r="AC88" s="246"/>
      <c r="AD88" s="246"/>
      <c r="AE88" s="246"/>
      <c r="AF88" s="246"/>
      <c r="AG88" s="246"/>
      <c r="AH88" s="246"/>
      <c r="AI88" s="246"/>
      <c r="AJ88" s="246"/>
      <c r="AK88" s="246"/>
      <c r="AL88" s="246"/>
      <c r="AM88" s="246"/>
      <c r="AN88" s="246"/>
      <c r="AO88" s="246"/>
      <c r="AP88" s="246"/>
      <c r="AQ88" s="246"/>
    </row>
    <row r="89" spans="1:43" customFormat="1" x14ac:dyDescent="0.15">
      <c r="A89" s="246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  <c r="AA89" s="246"/>
      <c r="AB89" s="246"/>
      <c r="AC89" s="246"/>
      <c r="AD89" s="246"/>
      <c r="AE89" s="246"/>
      <c r="AF89" s="246"/>
      <c r="AG89" s="246"/>
      <c r="AH89" s="246"/>
      <c r="AI89" s="246"/>
      <c r="AJ89" s="246"/>
      <c r="AK89" s="246"/>
      <c r="AL89" s="246"/>
      <c r="AM89" s="246"/>
      <c r="AN89" s="246"/>
      <c r="AO89" s="246"/>
      <c r="AP89" s="246"/>
      <c r="AQ89" s="246"/>
    </row>
    <row r="90" spans="1:43" customFormat="1" x14ac:dyDescent="0.15">
      <c r="A90" s="246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46"/>
      <c r="AO90" s="246"/>
      <c r="AP90" s="246"/>
      <c r="AQ90" s="246"/>
    </row>
    <row r="91" spans="1:43" customFormat="1" x14ac:dyDescent="0.15">
      <c r="A91" s="246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  <c r="AA91" s="246"/>
      <c r="AB91" s="246"/>
      <c r="AC91" s="246"/>
      <c r="AD91" s="246"/>
      <c r="AE91" s="246"/>
      <c r="AF91" s="246"/>
      <c r="AG91" s="246"/>
      <c r="AH91" s="246"/>
      <c r="AI91" s="246"/>
      <c r="AJ91" s="246"/>
      <c r="AK91" s="246"/>
      <c r="AL91" s="246"/>
      <c r="AM91" s="246"/>
      <c r="AN91" s="246"/>
      <c r="AO91" s="246"/>
      <c r="AP91" s="246"/>
      <c r="AQ91" s="246"/>
    </row>
    <row r="92" spans="1:43" customFormat="1" x14ac:dyDescent="0.15">
      <c r="A92" s="246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  <c r="AO92" s="246"/>
      <c r="AP92" s="246"/>
      <c r="AQ92" s="246"/>
    </row>
    <row r="93" spans="1:43" customFormat="1" x14ac:dyDescent="0.15"/>
    <row r="94" spans="1:43" customFormat="1" x14ac:dyDescent="0.15"/>
    <row r="95" spans="1:43" customFormat="1" x14ac:dyDescent="0.15"/>
    <row r="96" spans="1:43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</sheetData>
  <sheetProtection algorithmName="SHA-512" hashValue="1a6l7yTb9bzvln9h2ZeRmb34NL9+IYV7vNa1wZZEhZtcE9VIWItDnXUmGR5oN0Xp/WPqozuilX6tZYg+aeMJpA==" saltValue="co+svbkGann59lUEclUme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E7822-0674-2B4E-92F1-7E68BDD886AA}">
  <sheetPr codeName="Sheet2"/>
  <dimension ref="A1:W10"/>
  <sheetViews>
    <sheetView zoomScale="105" workbookViewId="0">
      <selection activeCell="C5" sqref="C5"/>
    </sheetView>
  </sheetViews>
  <sheetFormatPr baseColWidth="10" defaultRowHeight="13" x14ac:dyDescent="0.15"/>
  <cols>
    <col min="1" max="1" width="18.1640625" style="202" customWidth="1"/>
    <col min="2" max="2" width="14" style="202" customWidth="1"/>
    <col min="3" max="8" width="11.83203125" style="202" customWidth="1"/>
    <col min="9" max="10" width="11.83203125" style="202" hidden="1" customWidth="1"/>
    <col min="11" max="15" width="11.83203125" style="202" customWidth="1"/>
    <col min="16" max="19" width="11.83203125" style="202" hidden="1" customWidth="1"/>
    <col min="20" max="23" width="11.83203125" style="202" customWidth="1"/>
    <col min="24" max="16384" width="10.83203125" style="202"/>
  </cols>
  <sheetData>
    <row r="1" spans="1:23" ht="14" x14ac:dyDescent="0.15">
      <c r="A1" s="201" t="s">
        <v>162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ht="14" x14ac:dyDescent="0.15">
      <c r="A2" s="203" t="s">
        <v>145</v>
      </c>
      <c r="B2" s="201"/>
      <c r="C2" s="201"/>
      <c r="D2" s="201"/>
      <c r="E2" s="201"/>
      <c r="F2" s="201"/>
      <c r="G2" s="201"/>
      <c r="H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</row>
    <row r="3" spans="1:23" ht="15" thickBot="1" x14ac:dyDescent="0.2">
      <c r="A3" s="201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</row>
    <row r="4" spans="1:23" ht="14" x14ac:dyDescent="0.15">
      <c r="A4" s="177" t="s">
        <v>146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9"/>
    </row>
    <row r="5" spans="1:23" ht="14" x14ac:dyDescent="0.15">
      <c r="A5" s="180" t="s">
        <v>257</v>
      </c>
      <c r="B5" s="181"/>
      <c r="C5" s="182">
        <v>12000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3"/>
    </row>
    <row r="6" spans="1:23" ht="14" x14ac:dyDescent="0.15">
      <c r="A6" s="180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3"/>
    </row>
    <row r="7" spans="1:23" ht="75" x14ac:dyDescent="0.15">
      <c r="A7" s="216" t="s">
        <v>57</v>
      </c>
      <c r="B7" s="217" t="s">
        <v>170</v>
      </c>
      <c r="C7" s="218" t="s">
        <v>171</v>
      </c>
      <c r="D7" s="218" t="s">
        <v>148</v>
      </c>
      <c r="E7" s="218" t="s">
        <v>149</v>
      </c>
      <c r="F7" s="218" t="s">
        <v>150</v>
      </c>
      <c r="G7" s="218" t="s">
        <v>151</v>
      </c>
      <c r="H7" s="219" t="s">
        <v>132</v>
      </c>
      <c r="I7" s="220" t="s">
        <v>133</v>
      </c>
      <c r="J7" s="221" t="s">
        <v>153</v>
      </c>
      <c r="K7" s="222" t="s">
        <v>134</v>
      </c>
      <c r="L7" s="223" t="s">
        <v>154</v>
      </c>
      <c r="M7" s="223" t="s">
        <v>127</v>
      </c>
      <c r="N7" s="223" t="s">
        <v>128</v>
      </c>
      <c r="O7" s="223" t="s">
        <v>129</v>
      </c>
      <c r="P7" s="224" t="s">
        <v>254</v>
      </c>
      <c r="Q7" s="224" t="s">
        <v>255</v>
      </c>
      <c r="R7" s="220" t="s">
        <v>158</v>
      </c>
      <c r="S7" s="220" t="s">
        <v>159</v>
      </c>
      <c r="T7" s="225" t="s">
        <v>160</v>
      </c>
      <c r="U7" s="225" t="s">
        <v>161</v>
      </c>
      <c r="V7" s="223" t="s">
        <v>130</v>
      </c>
      <c r="W7" s="226" t="s">
        <v>131</v>
      </c>
    </row>
    <row r="8" spans="1:23" ht="14" x14ac:dyDescent="0.15">
      <c r="A8" s="184" t="str">
        <f>'Tariffs 2020'!F3</f>
        <v>ActewAGL</v>
      </c>
      <c r="B8" s="185" t="str">
        <f>'Tariffs 2020'!G3</f>
        <v>Home plan</v>
      </c>
      <c r="C8" s="186">
        <f>91*'Tariffs 2020'!H3/100</f>
        <v>71.641818181818167</v>
      </c>
      <c r="D8" s="186">
        <f>IF('Tariffs 2020'!K3="",$C$5*'Tariffs 2020'!W3/100,IF($C$5&gt;='Tariffs 2020'!L3*1.5,('Tariffs 2020'!L3*1.5*'Tariffs 2020'!W3/100),($C$5*'Tariffs 2020'!W3/100)))</f>
        <v>132.47823763636362</v>
      </c>
      <c r="E8" s="186">
        <f>IF(AND('Tariffs 2020'!L3*1.5&gt;0,'Tariffs 2020'!M3*1.5&gt;0),IF($C$5&lt;'Tariffs 2020'!L3*1.5,0,IF(($C$5-'Tariffs 2020'!L3*1.5)&lt;=('Tariffs 2020'!M3*1.5+'Tariffs 2020'!L3*1.5),(($C$5-'Tariffs 2020'!L3*1.5)*'Tariffs 2020'!X3/100),(('Tariffs 2020'!M3*1.5)*'Tariffs 2020'!X3/100))),0)</f>
        <v>255.07842927272725</v>
      </c>
      <c r="F8" s="186">
        <f>IF(AND('Tariffs 2020'!M3*1.5&gt;0,'Tariffs 2020'!N3*1.5&gt;0),IF($C$5&lt;('Tariffs 2020'!L3*1.5+'Tariffs 2020'!M3*1.5),0,IF(($C$5-'Tariffs 2020'!L3*1.5+'Tariffs 2020'!M3*1.5)&lt;=('Tariffs 2020'!L3*1.5+'Tariffs 2020'!M3*1.5+'Tariffs 2020'!N3*1.5),(($C$5-('Tariffs 2020'!L3*1.5+'Tariffs 2020'!M3*1.5))*'Tariffs 2020'!Y3/100),('Tariffs 2020'!N3*1.5*'Tariffs 2020'!Y3/100))),0)</f>
        <v>0</v>
      </c>
      <c r="G8" s="186">
        <f>IF(AND('Tariffs 2020'!P3&gt;0,'Tariffs 2020'!O3&gt;0),IF(($C$5&lt;(SUM('Tariffs 2020'!L3:P3))*1.5),(0),($C$5-(SUM('Tariffs 2020'!L3:P3)*1.5))*'Tariffs 2020'!AB3/100),IF(AND('Tariffs 2020'!O3&gt;0,'Tariffs 2020'!P3=""),IF(($C$5&lt; (SUM('Tariffs 2020'!L3:O3))*1.5),(0),($C$5-(SUM('Tariffs 2020'!L3:O3))*1.5)*'Tariffs 2020'!AA3/100),IF(AND('Tariffs 2020'!N3&gt;0,'Tariffs 2020'!O3=""),IF(($C$5&lt;(SUM('Tariffs 2020'!L3:N3))*1.5),(0),($C$5-(SUM('Tariffs 2020'!L3:N3))*1.5)*'Tariffs 2020'!Z3/100),IF(AND('Tariffs 2020'!M3&gt;0,'Tariffs 2020'!N3=""),IF(($C$5&lt;'Tariffs 2020'!M3*1.5+'Tariffs 2020'!L3*1.5),(0),(($C$5-('Tariffs 2020'!M3*1.5+'Tariffs 2020'!L3*1.5))*'Tariffs 2020'!Y3/100)),IF(AND('Tariffs 2020'!L3&gt;0,'Tariffs 2020'!M3=""&gt;0),IF(($C$5&lt;'Tariffs 2020'!L3*1.5),(0),($C$5-('Tariffs 2020'!L3*1.5))*'Tariffs 2020'!X3/100),0)))))</f>
        <v>0</v>
      </c>
      <c r="H8" s="186">
        <f>SUM(C8:G8)</f>
        <v>459.198485090909</v>
      </c>
      <c r="I8" s="186">
        <f>(H8-C8)*4</f>
        <v>1550.2266676363633</v>
      </c>
      <c r="J8" s="227">
        <f>H8*4</f>
        <v>1836.793940363636</v>
      </c>
      <c r="K8" s="187">
        <f>J8*1.1</f>
        <v>2020.4733343999999</v>
      </c>
      <c r="L8" s="185">
        <f>'Tariffs 2020'!AT3</f>
        <v>0</v>
      </c>
      <c r="M8" s="185">
        <f>'Tariffs 2020'!AU3</f>
        <v>0</v>
      </c>
      <c r="N8" s="185">
        <f>'Tariffs 2020'!AV3</f>
        <v>0</v>
      </c>
      <c r="O8" s="185">
        <f>'Tariffs 2020'!AW3</f>
        <v>0</v>
      </c>
      <c r="P8" s="188" t="str">
        <f>IF(SUM(L8:O8)=0,"No discount",IF(L8&gt;0,"Guaranteed off bill",IF(M8&gt;0,"Guaranteed off usage",IF(N8&gt;0,"Pay-on-time off bill","Pay-on-time off usage"))))</f>
        <v>No discount</v>
      </c>
      <c r="Q8" s="188" t="str">
        <f>IF(OR(A8="Origin Energy",A8="Red Energy",A8="Powershop"),"Inclusive","Exclusive")</f>
        <v>Exclusive</v>
      </c>
      <c r="R8" s="229">
        <f t="shared" ref="R8:R10" si="0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1836.793940363636</v>
      </c>
      <c r="S8" s="229">
        <f t="shared" ref="S8:S10" si="1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1836.793940363636</v>
      </c>
      <c r="T8" s="189">
        <f t="shared" ref="T8:U10" si="2">R8*1.1</f>
        <v>2020.4733343999999</v>
      </c>
      <c r="U8" s="189">
        <f t="shared" si="2"/>
        <v>2020.4733343999999</v>
      </c>
      <c r="V8" s="190">
        <f>'Tariffs 2020'!BF3</f>
        <v>0</v>
      </c>
      <c r="W8" s="191" t="str">
        <f>'Tariffs 2020'!BG3</f>
        <v>n</v>
      </c>
    </row>
    <row r="9" spans="1:23" ht="14" x14ac:dyDescent="0.15">
      <c r="A9" s="184" t="str">
        <f>'Tariffs 2020'!F4</f>
        <v>EnergyAustralia</v>
      </c>
      <c r="B9" s="185" t="str">
        <f>'Tariffs 2020'!G4</f>
        <v>Total Plan</v>
      </c>
      <c r="C9" s="186">
        <f>91*'Tariffs 2020'!H4/100</f>
        <v>62.79</v>
      </c>
      <c r="D9" s="186">
        <f>IF('Tariffs 2020'!K4="",$C$5*'Tariffs 2020'!W4/100,IF($C$5&gt;='Tariffs 2020'!L4*1.5,('Tariffs 2020'!L4*1.5*'Tariffs 2020'!W4/100),($C$5*'Tariffs 2020'!W4/100)))</f>
        <v>127.43495999999998</v>
      </c>
      <c r="E9" s="186">
        <f>IF(AND('Tariffs 2020'!L4*1.5&gt;0,'Tariffs 2020'!M4*1.5&gt;0),IF($C$5&lt;'Tariffs 2020'!L4*1.5,0,IF(($C$5-'Tariffs 2020'!L4*1.5)&lt;=('Tariffs 2020'!M4*1.5+'Tariffs 2020'!L4*1.5),(($C$5-'Tariffs 2020'!L4*1.5)*'Tariffs 2020'!X4/100),(('Tariffs 2020'!M4*1.5)*'Tariffs 2020'!X4/100))),0)</f>
        <v>249.04079999999999</v>
      </c>
      <c r="F9" s="186">
        <f>IF(AND('Tariffs 2020'!M4*1.5&gt;0,'Tariffs 2020'!N4*1.5&gt;0),IF($C$5&lt;('Tariffs 2020'!L4*1.5+'Tariffs 2020'!M4*1.5),0,IF(($C$5-'Tariffs 2020'!L4*1.5+'Tariffs 2020'!M4*1.5)&lt;=('Tariffs 2020'!L4*1.5+'Tariffs 2020'!M4*1.5+'Tariffs 2020'!N4*1.5),(($C$5-('Tariffs 2020'!L4*1.5+'Tariffs 2020'!M4*1.5))*'Tariffs 2020'!Y4/100),('Tariffs 2020'!N4*1.5*'Tariffs 2020'!Y4/100))),0)</f>
        <v>0</v>
      </c>
      <c r="G9" s="186">
        <f>IF(AND('Tariffs 2020'!P4&gt;0,'Tariffs 2020'!O4&gt;0),IF(($C$5&lt;(SUM('Tariffs 2020'!L4:P4))*1.5),(0),($C$5-(SUM('Tariffs 2020'!L4:P4)*1.5))*'Tariffs 2020'!AB4/100),IF(AND('Tariffs 2020'!O4&gt;0,'Tariffs 2020'!P4=""),IF(($C$5&lt; (SUM('Tariffs 2020'!L4:O4))*1.5),(0),($C$5-(SUM('Tariffs 2020'!L4:O4))*1.5)*'Tariffs 2020'!AA4/100),IF(AND('Tariffs 2020'!N4&gt;0,'Tariffs 2020'!O4=""),IF(($C$5&lt;(SUM('Tariffs 2020'!L4:N4))*1.5),(0),($C$5-(SUM('Tariffs 2020'!L4:N4))*1.5)*'Tariffs 2020'!Z4/100),IF(AND('Tariffs 2020'!M4&gt;0,'Tariffs 2020'!N4=""),IF(($C$5&lt;'Tariffs 2020'!M4*1.5+'Tariffs 2020'!L4*1.5),(0),(($C$5-('Tariffs 2020'!M4*1.5+'Tariffs 2020'!L4*1.5))*'Tariffs 2020'!Y4/100)),IF(AND('Tariffs 2020'!L4&gt;0,'Tariffs 2020'!M4=""&gt;0),IF(($C$5&lt;'Tariffs 2020'!L4*1.5),(0),($C$5-('Tariffs 2020'!L4*1.5))*'Tariffs 2020'!X4/100),0)))))</f>
        <v>0</v>
      </c>
      <c r="H9" s="186">
        <f>SUM(C9:G9)</f>
        <v>439.26576</v>
      </c>
      <c r="I9" s="186">
        <f>(H9-C9)*4</f>
        <v>1505.9030399999999</v>
      </c>
      <c r="J9" s="227">
        <f t="shared" ref="J9:J10" si="3">H9*4</f>
        <v>1757.06304</v>
      </c>
      <c r="K9" s="187">
        <f t="shared" ref="K9:K10" si="4">J9*1.1</f>
        <v>1932.769344</v>
      </c>
      <c r="L9" s="185">
        <f>'Tariffs 2020'!AT4</f>
        <v>9</v>
      </c>
      <c r="M9" s="185">
        <f>'Tariffs 2020'!AU4</f>
        <v>0</v>
      </c>
      <c r="N9" s="185">
        <f>'Tariffs 2020'!AV4</f>
        <v>0</v>
      </c>
      <c r="O9" s="185">
        <f>'Tariffs 2020'!AW4</f>
        <v>0</v>
      </c>
      <c r="P9" s="188" t="str">
        <f>IF(SUM(L9:O9)=0,"No discount",IF(L9&gt;0,"Guaranteed off bill",IF(M9&gt;0,"Guaranteed off usage",IF(N9&gt;0,"Pay-on-time off bill","Pay-on-time off usage"))))</f>
        <v>Guaranteed off bill</v>
      </c>
      <c r="Q9" s="188" t="str">
        <f>IF(OR(A9="Origin Energy",A9="Red Energy",A9="Powershop"),"Inclusive","Exclusive")</f>
        <v>Exclusive</v>
      </c>
      <c r="R9" s="229">
        <f t="shared" si="0"/>
        <v>1598.9273664</v>
      </c>
      <c r="S9" s="229">
        <f t="shared" si="1"/>
        <v>1598.9273664</v>
      </c>
      <c r="T9" s="189">
        <f t="shared" si="2"/>
        <v>1758.82010304</v>
      </c>
      <c r="U9" s="189">
        <f t="shared" si="2"/>
        <v>1758.82010304</v>
      </c>
      <c r="V9" s="190">
        <f>'Tariffs 2020'!BF4</f>
        <v>0</v>
      </c>
      <c r="W9" s="191" t="str">
        <f>'Tariffs 2020'!BG4</f>
        <v>n</v>
      </c>
    </row>
    <row r="10" spans="1:23" ht="15" thickBot="1" x14ac:dyDescent="0.2">
      <c r="A10" s="192" t="str">
        <f>'Tariffs 2020'!F5</f>
        <v>Origin Energy</v>
      </c>
      <c r="B10" s="193" t="str">
        <f>'Tariffs 2020'!G5</f>
        <v xml:space="preserve">Flexi </v>
      </c>
      <c r="C10" s="194">
        <f>91*'Tariffs 2020'!H5/100</f>
        <v>65.685454545454547</v>
      </c>
      <c r="D10" s="194">
        <f>IF('Tariffs 2020'!K5="",$C$5*'Tariffs 2020'!W5/100,IF($C$5&gt;='Tariffs 2020'!L5*1.5,('Tariffs 2020'!L5*1.5*'Tariffs 2020'!W5/100),($C$5*'Tariffs 2020'!W5/100)))</f>
        <v>126.42593236363633</v>
      </c>
      <c r="E10" s="194">
        <f>IF(AND('Tariffs 2020'!L5*1.5&gt;0,'Tariffs 2020'!M5*1.5&gt;0),IF($C$5&lt;'Tariffs 2020'!L5*1.5,0,IF(($C$5-'Tariffs 2020'!L5*1.5)&lt;=('Tariffs 2020'!M5*1.5+'Tariffs 2020'!L5*1.5),(($C$5-'Tariffs 2020'!L5*1.5)*'Tariffs 2020'!X5/100),(('Tariffs 2020'!M5*1.5)*'Tariffs 2020'!X5/100))),0)</f>
        <v>236.21168154545455</v>
      </c>
      <c r="F10" s="194">
        <f>IF(AND('Tariffs 2020'!M5*1.5&gt;0,'Tariffs 2020'!N5*1.5&gt;0),IF($C$5&lt;('Tariffs 2020'!L5*1.5+'Tariffs 2020'!M5*1.5),0,IF(($C$5-'Tariffs 2020'!L5*1.5+'Tariffs 2020'!M5*1.5)&lt;=('Tariffs 2020'!L5*1.5+'Tariffs 2020'!M5*1.5+'Tariffs 2020'!N5*1.5),(($C$5-('Tariffs 2020'!L5*1.5+'Tariffs 2020'!M5*1.5))*'Tariffs 2020'!Y5/100),('Tariffs 2020'!N5*1.5*'Tariffs 2020'!Y5/100))),0)</f>
        <v>0</v>
      </c>
      <c r="G10" s="194">
        <f>IF(AND('Tariffs 2020'!P5&gt;0,'Tariffs 2020'!O5&gt;0),IF(($C$5&lt;(SUM('Tariffs 2020'!L5:P5))*1.5),(0),($C$5-(SUM('Tariffs 2020'!L5:P5)*1.5))*'Tariffs 2020'!AB5/100),IF(AND('Tariffs 2020'!O5&gt;0,'Tariffs 2020'!P5=""),IF(($C$5&lt; (SUM('Tariffs 2020'!L5:O5))*1.5),(0),($C$5-(SUM('Tariffs 2020'!L5:O5))*1.5)*'Tariffs 2020'!AA5/100),IF(AND('Tariffs 2020'!N5&gt;0,'Tariffs 2020'!O5=""),IF(($C$5&lt;(SUM('Tariffs 2020'!L5:N5))*1.5),(0),($C$5-(SUM('Tariffs 2020'!L5:N5))*1.5)*'Tariffs 2020'!Z5/100),IF(AND('Tariffs 2020'!M5&gt;0,'Tariffs 2020'!N5=""),IF(($C$5&lt;'Tariffs 2020'!M5*1.5+'Tariffs 2020'!L5*1.5),(0),(($C$5-('Tariffs 2020'!M5*1.5+'Tariffs 2020'!L5*1.5))*'Tariffs 2020'!Y5/100)),IF(AND('Tariffs 2020'!L5&gt;0,'Tariffs 2020'!M5=""&gt;0),IF(($C$5&lt;'Tariffs 2020'!L5*1.5),(0),($C$5-('Tariffs 2020'!L5*1.5))*'Tariffs 2020'!X5/100),0)))))</f>
        <v>0</v>
      </c>
      <c r="H10" s="194">
        <f>SUM(C10:G10)</f>
        <v>428.32306845454542</v>
      </c>
      <c r="I10" s="194">
        <f>(H10-C10)*4</f>
        <v>1450.5504556363635</v>
      </c>
      <c r="J10" s="228">
        <f t="shared" si="3"/>
        <v>1713.2922738181817</v>
      </c>
      <c r="K10" s="195">
        <f t="shared" si="4"/>
        <v>1884.6215012</v>
      </c>
      <c r="L10" s="193">
        <f>'Tariffs 2020'!AT5</f>
        <v>0</v>
      </c>
      <c r="M10" s="193">
        <f>'Tariffs 2020'!AU5</f>
        <v>10</v>
      </c>
      <c r="N10" s="193">
        <f>'Tariffs 2020'!AV5</f>
        <v>0</v>
      </c>
      <c r="O10" s="193">
        <f>'Tariffs 2020'!AW5</f>
        <v>0</v>
      </c>
      <c r="P10" s="196" t="str">
        <f>IF(SUM(L10:O10)=0,"No discount",IF(L10&gt;0,"Guaranteed off bill",IF(M10&gt;0,"Guaranteed off usage",IF(N10&gt;0,"Pay-on-time off bill","Pay-on-time off usage"))))</f>
        <v>Guaranteed off usage</v>
      </c>
      <c r="Q10" s="196" t="str">
        <f>IF(OR(A10="Origin Energy",A10="Red Energy",A10="Powershop"),"Inclusive","Exclusive")</f>
        <v>Inclusive</v>
      </c>
      <c r="R10" s="230">
        <f t="shared" si="0"/>
        <v>1568.2372282545452</v>
      </c>
      <c r="S10" s="231">
        <f t="shared" si="1"/>
        <v>1568.2372282545452</v>
      </c>
      <c r="T10" s="197">
        <f t="shared" si="2"/>
        <v>1725.06095108</v>
      </c>
      <c r="U10" s="197">
        <f t="shared" si="2"/>
        <v>1725.06095108</v>
      </c>
      <c r="V10" s="198">
        <f>'Tariffs 2020'!BF5</f>
        <v>0</v>
      </c>
      <c r="W10" s="199" t="str">
        <f>'Tariffs 2020'!BG5</f>
        <v>n</v>
      </c>
    </row>
  </sheetData>
  <sheetProtection algorithmName="SHA-512" hashValue="0koCh0RIh+MQDzeGNKr1MjUKa/p/pcadGWgBN213L7V1leGgr4Bl4zw6jzjcC2JDNBQTJH8oFlM5TWWYtBdPXQ==" saltValue="AQ5HZvJWPxvfHCH933KCxA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0ECD9-112C-0B43-92CE-C2485700AD5D}">
  <sheetPr codeName="Sheet3"/>
  <dimension ref="A1:U10"/>
  <sheetViews>
    <sheetView zoomScale="105" workbookViewId="0">
      <selection activeCell="C5" sqref="C5"/>
    </sheetView>
  </sheetViews>
  <sheetFormatPr baseColWidth="10" defaultRowHeight="13" x14ac:dyDescent="0.15"/>
  <cols>
    <col min="1" max="1" width="18.1640625" style="134" customWidth="1"/>
    <col min="2" max="2" width="16.33203125" style="134" customWidth="1"/>
    <col min="3" max="8" width="11.83203125" style="134" customWidth="1"/>
    <col min="9" max="10" width="11.83203125" style="134" hidden="1" customWidth="1"/>
    <col min="11" max="15" width="11.83203125" style="134" customWidth="1"/>
    <col min="16" max="17" width="11.83203125" style="134" hidden="1" customWidth="1"/>
    <col min="18" max="21" width="11.83203125" style="134" customWidth="1"/>
    <col min="22" max="16384" width="10.83203125" style="134"/>
  </cols>
  <sheetData>
    <row r="1" spans="1:21" ht="14" x14ac:dyDescent="0.15">
      <c r="A1" s="133" t="s">
        <v>162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14" x14ac:dyDescent="0.15">
      <c r="A2" s="135" t="s">
        <v>145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</row>
    <row r="3" spans="1:21" ht="15" thickBot="1" x14ac:dyDescent="0.2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</row>
    <row r="4" spans="1:21" ht="14" x14ac:dyDescent="0.15">
      <c r="A4" s="100" t="s">
        <v>146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2"/>
    </row>
    <row r="5" spans="1:21" ht="14" x14ac:dyDescent="0.15">
      <c r="A5" s="103" t="s">
        <v>257</v>
      </c>
      <c r="B5" s="52"/>
      <c r="C5" s="119">
        <v>12000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104"/>
    </row>
    <row r="6" spans="1:21" ht="14" x14ac:dyDescent="0.15">
      <c r="A6" s="103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104"/>
    </row>
    <row r="7" spans="1:21" ht="75" x14ac:dyDescent="0.15">
      <c r="A7" s="232" t="s">
        <v>57</v>
      </c>
      <c r="B7" s="233" t="s">
        <v>170</v>
      </c>
      <c r="C7" s="234" t="s">
        <v>171</v>
      </c>
      <c r="D7" s="234" t="s">
        <v>148</v>
      </c>
      <c r="E7" s="235" t="s">
        <v>149</v>
      </c>
      <c r="F7" s="235" t="s">
        <v>150</v>
      </c>
      <c r="G7" s="235" t="s">
        <v>151</v>
      </c>
      <c r="H7" s="235" t="s">
        <v>132</v>
      </c>
      <c r="I7" s="241" t="s">
        <v>133</v>
      </c>
      <c r="J7" s="242" t="s">
        <v>153</v>
      </c>
      <c r="K7" s="238" t="s">
        <v>134</v>
      </c>
      <c r="L7" s="239" t="s">
        <v>154</v>
      </c>
      <c r="M7" s="239" t="s">
        <v>127</v>
      </c>
      <c r="N7" s="239" t="s">
        <v>128</v>
      </c>
      <c r="O7" s="239" t="s">
        <v>129</v>
      </c>
      <c r="P7" s="241" t="s">
        <v>158</v>
      </c>
      <c r="Q7" s="241" t="s">
        <v>159</v>
      </c>
      <c r="R7" s="236" t="s">
        <v>160</v>
      </c>
      <c r="S7" s="236" t="s">
        <v>161</v>
      </c>
      <c r="T7" s="239" t="s">
        <v>130</v>
      </c>
      <c r="U7" s="240" t="s">
        <v>131</v>
      </c>
    </row>
    <row r="8" spans="1:21" x14ac:dyDescent="0.15">
      <c r="A8" s="105" t="str">
        <f>'Tariffs 2019'!F2</f>
        <v>ActewAGL</v>
      </c>
      <c r="B8" s="34" t="str">
        <f>'Tariffs 2019'!G2</f>
        <v>Home plan</v>
      </c>
      <c r="C8" s="49">
        <f>91*'Tariffs 2019'!H2/100</f>
        <v>71.641818181818167</v>
      </c>
      <c r="D8" s="49">
        <f>IF($C$5&gt;='Tariffs 2019'!L2,('Tariffs 2019'!L2*'Tariffs 2019'!W2/100),($C$5*'Tariffs 2019'!W2/100))</f>
        <v>88.318825090909087</v>
      </c>
      <c r="E8" s="49">
        <f>IF($C$5&lt;'Tariffs 2019'!L2,0,IF(($C$5-'Tariffs 2019'!L2)&lt;='Tariffs 2019'!M2,(($C$5-'Tariffs 2019'!L2)*'Tariffs 2019'!X2/100),(('Tariffs 2019'!M2-'Tariffs 2019'!L2)*'Tariffs 2019'!X2/100)))</f>
        <v>292.96137709090902</v>
      </c>
      <c r="F8" s="49">
        <f>IF($C$5&lt;'Tariffs 2019'!M2,0,IF(($C$5-'Tariffs 2019'!M2)&lt;='Tariffs 2019'!N2,(($C$5-'Tariffs 2019'!M2)*'Tariffs 2019'!Y2/100),(('Tariffs 2019'!N2-'Tariffs 2019'!M2)*'Tariffs 2019'!Y2/100)))</f>
        <v>0</v>
      </c>
      <c r="G8" s="49">
        <f>IF(($C$5&lt;'Tariffs 2019'!N2),(0),($C$5-'Tariffs 2019'!N2)*'Tariffs 2019'!Z2/100)</f>
        <v>0</v>
      </c>
      <c r="H8" s="49">
        <f>SUM(C8:G8)</f>
        <v>452.92202036363631</v>
      </c>
      <c r="I8" s="49">
        <f>(H8-C8)*4</f>
        <v>1525.1208087272726</v>
      </c>
      <c r="J8" s="106">
        <f>H8*4</f>
        <v>1811.6880814545452</v>
      </c>
      <c r="K8" s="107">
        <f>J8*1.1</f>
        <v>1992.8568895999999</v>
      </c>
      <c r="L8" s="34">
        <f>'Tariffs 2019'!AV2</f>
        <v>0</v>
      </c>
      <c r="M8" s="34">
        <f>'Tariffs 2019'!AW2</f>
        <v>0</v>
      </c>
      <c r="N8" s="34">
        <f>'Tariffs 2019'!AX2</f>
        <v>0</v>
      </c>
      <c r="O8" s="34">
        <f>'Tariffs 2019'!AY2</f>
        <v>0</v>
      </c>
      <c r="P8" s="107">
        <f>J8</f>
        <v>1811.6880814545452</v>
      </c>
      <c r="Q8" s="107">
        <f>P8</f>
        <v>1811.6880814545452</v>
      </c>
      <c r="R8" s="108">
        <f>P8*1.1</f>
        <v>1992.8568895999999</v>
      </c>
      <c r="S8" s="108">
        <f>Q8*1.1</f>
        <v>1992.8568895999999</v>
      </c>
      <c r="T8" s="109">
        <f>'Tariffs 2019'!BH2</f>
        <v>0</v>
      </c>
      <c r="U8" s="110" t="str">
        <f>'Tariffs 2019'!BI2</f>
        <v>n</v>
      </c>
    </row>
    <row r="9" spans="1:21" x14ac:dyDescent="0.15">
      <c r="A9" s="105" t="str">
        <f>'Tariffs 2019'!F3</f>
        <v>EnergyAustralia</v>
      </c>
      <c r="B9" s="34" t="str">
        <f>'Tariffs 2019'!G3</f>
        <v>Total Plan Home</v>
      </c>
      <c r="C9" s="49">
        <f>91*'Tariffs 2019'!H3/100</f>
        <v>61.789000000000009</v>
      </c>
      <c r="D9" s="49">
        <f>IF($C$5&gt;='Tariffs 2019'!L3,('Tariffs 2019'!L3*'Tariffs 2019'!W3/100),($C$5*'Tariffs 2019'!W3/100))</f>
        <v>83.589264</v>
      </c>
      <c r="E9" s="49">
        <f>IF($C$5&lt;'Tariffs 2019'!L3,0,IF(($C$5-'Tariffs 2019'!L3)&lt;='Tariffs 2019'!M3,(($C$5-'Tariffs 2019'!L3)*'Tariffs 2019'!X3/100),(('Tariffs 2019'!M3-'Tariffs 2019'!L3)*'Tariffs 2019'!X3/100)))</f>
        <v>281.26008000000002</v>
      </c>
      <c r="F9" s="49">
        <f>IF($C$5&lt;'Tariffs 2019'!M3,0,IF(($C$5-'Tariffs 2019'!M3)&lt;='Tariffs 2019'!N3,(($C$5-'Tariffs 2019'!M3)*'Tariffs 2019'!Y3/100),(('Tariffs 2019'!N3-'Tariffs 2019'!M3)*'Tariffs 2019'!Y3/100)))</f>
        <v>0</v>
      </c>
      <c r="G9" s="49">
        <f>IF(($C$5&lt;'Tariffs 2019'!N3),(0),($C$5-'Tariffs 2019'!N3)*'Tariffs 2019'!Z3/100)</f>
        <v>0</v>
      </c>
      <c r="H9" s="49">
        <f t="shared" ref="H9:H10" si="0">SUM(C9:G9)</f>
        <v>426.63834400000002</v>
      </c>
      <c r="I9" s="49">
        <f t="shared" ref="I9:I10" si="1">(H9-C9)*4</f>
        <v>1459.3973760000001</v>
      </c>
      <c r="J9" s="106">
        <f t="shared" ref="J9:J10" si="2">H9*4</f>
        <v>1706.5533760000001</v>
      </c>
      <c r="K9" s="107">
        <f t="shared" ref="K9:K10" si="3">J9*1.1</f>
        <v>1877.2087136000002</v>
      </c>
      <c r="L9" s="34">
        <f>'Tariffs 2019'!AV3</f>
        <v>9</v>
      </c>
      <c r="M9" s="34">
        <f>'Tariffs 2019'!AW3</f>
        <v>0</v>
      </c>
      <c r="N9" s="34">
        <f>'Tariffs 2019'!AX3</f>
        <v>0</v>
      </c>
      <c r="O9" s="34">
        <f>'Tariffs 2019'!AY3</f>
        <v>0</v>
      </c>
      <c r="P9" s="107">
        <f>J9-(J9*L9/100)</f>
        <v>1552.96357216</v>
      </c>
      <c r="Q9" s="107">
        <f>P9</f>
        <v>1552.96357216</v>
      </c>
      <c r="R9" s="108">
        <f t="shared" ref="R9" si="4">P9*1.1</f>
        <v>1708.2599293760002</v>
      </c>
      <c r="S9" s="108">
        <f>Q9*1.1</f>
        <v>1708.2599293760002</v>
      </c>
      <c r="T9" s="109">
        <f>'Tariffs 2019'!BH3</f>
        <v>0</v>
      </c>
      <c r="U9" s="110" t="str">
        <f>'Tariffs 2019'!BI3</f>
        <v>n</v>
      </c>
    </row>
    <row r="10" spans="1:21" ht="14" thickBot="1" x14ac:dyDescent="0.2">
      <c r="A10" s="111" t="str">
        <f>'Tariffs 2019'!F4</f>
        <v>Origin Energy</v>
      </c>
      <c r="B10" s="112" t="str">
        <f>'Tariffs 2019'!G4</f>
        <v xml:space="preserve">Flexi </v>
      </c>
      <c r="C10" s="113">
        <f>91*'Tariffs 2019'!H4/100</f>
        <v>65.751636363636365</v>
      </c>
      <c r="D10" s="113">
        <f>IF($C$5&gt;='Tariffs 2019'!L4,('Tariffs 2019'!L4*'Tariffs 2019'!W4/100),($C$5*'Tariffs 2019'!W4/100))</f>
        <v>84.508114363636338</v>
      </c>
      <c r="E10" s="113">
        <f>IF($C$5&lt;'Tariffs 2019'!L4,0,IF(($C$5-'Tariffs 2019'!L4)&lt;='Tariffs 2019'!M4,(($C$5-'Tariffs 2019'!L4)*'Tariffs 2019'!X4/100),(('Tariffs 2019'!M4-'Tariffs 2019'!L4)*'Tariffs 2019'!X4/100)))</f>
        <v>277.35988363636363</v>
      </c>
      <c r="F10" s="113">
        <f>IF($C$5&lt;'Tariffs 2019'!M4,0,IF(($C$5-'Tariffs 2019'!M4)&lt;='Tariffs 2019'!N4,(($C$5-'Tariffs 2019'!M4)*'Tariffs 2019'!Y4/100),(('Tariffs 2019'!N4-'Tariffs 2019'!M4)*'Tariffs 2019'!Y4/100)))</f>
        <v>0</v>
      </c>
      <c r="G10" s="113">
        <f>IF(($C$5&lt;'Tariffs 2019'!N4),(0),($C$5-'Tariffs 2019'!N4)*'Tariffs 2019'!Z4/100)</f>
        <v>0</v>
      </c>
      <c r="H10" s="113">
        <f t="shared" si="0"/>
        <v>427.61963436363635</v>
      </c>
      <c r="I10" s="113">
        <f t="shared" si="1"/>
        <v>1447.471992</v>
      </c>
      <c r="J10" s="114">
        <f t="shared" si="2"/>
        <v>1710.4785374545454</v>
      </c>
      <c r="K10" s="115">
        <f t="shared" si="3"/>
        <v>1881.5263912</v>
      </c>
      <c r="L10" s="112">
        <f>'Tariffs 2019'!AV4</f>
        <v>0</v>
      </c>
      <c r="M10" s="112">
        <f>'Tariffs 2019'!AW4</f>
        <v>10</v>
      </c>
      <c r="N10" s="112">
        <f>'Tariffs 2019'!AX4</f>
        <v>0</v>
      </c>
      <c r="O10" s="112">
        <f>'Tariffs 2019'!AY4</f>
        <v>0</v>
      </c>
      <c r="P10" s="115">
        <f>K10-((I10*1.1)*M10/100)</f>
        <v>1722.3044720800001</v>
      </c>
      <c r="Q10" s="115">
        <f>P10</f>
        <v>1722.3044720800001</v>
      </c>
      <c r="R10" s="116">
        <f>P10</f>
        <v>1722.3044720800001</v>
      </c>
      <c r="S10" s="116">
        <f>Q10</f>
        <v>1722.3044720800001</v>
      </c>
      <c r="T10" s="117">
        <f>'Tariffs 2019'!BH4</f>
        <v>0</v>
      </c>
      <c r="U10" s="118" t="str">
        <f>'Tariffs 2019'!BI4</f>
        <v>n</v>
      </c>
    </row>
  </sheetData>
  <sheetProtection algorithmName="SHA-512" hashValue="oaCj0PO76LRuTdF+ZCrnylpIcSW1QSHG9JOyzcmu/4BVBPeNZTMfW42wk0gXtfU4hT760o3JtCsGDRgOwgObrA==" saltValue="InoD4O+l9CyYazISVzQKug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AD43-D4E4-2441-9C82-1890063A0629}">
  <sheetPr codeName="Sheet4"/>
  <dimension ref="A1:U10"/>
  <sheetViews>
    <sheetView zoomScale="105" workbookViewId="0">
      <selection activeCell="C5" sqref="C5"/>
    </sheetView>
  </sheetViews>
  <sheetFormatPr baseColWidth="10" defaultRowHeight="13" x14ac:dyDescent="0.15"/>
  <cols>
    <col min="1" max="1" width="16.83203125" style="128" customWidth="1"/>
    <col min="2" max="2" width="14" style="128" customWidth="1"/>
    <col min="3" max="8" width="12.1640625" style="128" customWidth="1"/>
    <col min="9" max="10" width="12.1640625" style="128" hidden="1" customWidth="1"/>
    <col min="11" max="15" width="12.1640625" style="128" customWidth="1"/>
    <col min="16" max="17" width="12.1640625" style="128" hidden="1" customWidth="1"/>
    <col min="18" max="21" width="12.1640625" style="128" customWidth="1"/>
    <col min="22" max="16384" width="10.83203125" style="128"/>
  </cols>
  <sheetData>
    <row r="1" spans="1:21" ht="14" x14ac:dyDescent="0.15">
      <c r="A1" s="127" t="s">
        <v>162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</row>
    <row r="2" spans="1:21" ht="14" x14ac:dyDescent="0.15">
      <c r="A2" s="129" t="s">
        <v>145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</row>
    <row r="3" spans="1:21" ht="15" thickBot="1" x14ac:dyDescent="0.2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</row>
    <row r="4" spans="1:21" ht="14" x14ac:dyDescent="0.15">
      <c r="A4" s="100" t="s">
        <v>146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2"/>
    </row>
    <row r="5" spans="1:21" ht="14" x14ac:dyDescent="0.15">
      <c r="A5" s="103" t="s">
        <v>257</v>
      </c>
      <c r="B5" s="52"/>
      <c r="C5" s="119">
        <v>12000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104"/>
    </row>
    <row r="6" spans="1:21" ht="14" x14ac:dyDescent="0.15">
      <c r="A6" s="103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104"/>
    </row>
    <row r="7" spans="1:21" ht="75" x14ac:dyDescent="0.15">
      <c r="A7" s="232" t="s">
        <v>57</v>
      </c>
      <c r="B7" s="233" t="s">
        <v>170</v>
      </c>
      <c r="C7" s="234" t="s">
        <v>171</v>
      </c>
      <c r="D7" s="234" t="s">
        <v>148</v>
      </c>
      <c r="E7" s="235" t="s">
        <v>149</v>
      </c>
      <c r="F7" s="235" t="s">
        <v>150</v>
      </c>
      <c r="G7" s="235" t="s">
        <v>151</v>
      </c>
      <c r="H7" s="235" t="s">
        <v>132</v>
      </c>
      <c r="I7" s="238" t="s">
        <v>133</v>
      </c>
      <c r="J7" s="237" t="s">
        <v>153</v>
      </c>
      <c r="K7" s="238" t="s">
        <v>134</v>
      </c>
      <c r="L7" s="239" t="s">
        <v>154</v>
      </c>
      <c r="M7" s="239" t="s">
        <v>127</v>
      </c>
      <c r="N7" s="239" t="s">
        <v>128</v>
      </c>
      <c r="O7" s="239" t="s">
        <v>129</v>
      </c>
      <c r="P7" s="236" t="s">
        <v>158</v>
      </c>
      <c r="Q7" s="236" t="s">
        <v>159</v>
      </c>
      <c r="R7" s="236" t="s">
        <v>160</v>
      </c>
      <c r="S7" s="236" t="s">
        <v>161</v>
      </c>
      <c r="T7" s="239" t="s">
        <v>130</v>
      </c>
      <c r="U7" s="240" t="s">
        <v>131</v>
      </c>
    </row>
    <row r="8" spans="1:21" x14ac:dyDescent="0.15">
      <c r="A8" s="105" t="str">
        <f>'Tariffs 2018'!F2</f>
        <v>ActewAGL</v>
      </c>
      <c r="B8" s="34" t="str">
        <f>'Tariffs 2018'!G2</f>
        <v>Home plan</v>
      </c>
      <c r="C8" s="49">
        <f>91*'Tariffs 2018'!H2/100</f>
        <v>70.634200000000007</v>
      </c>
      <c r="D8" s="49">
        <f>IF($C$5&gt;='Tariffs 2018'!J2,('Tariffs 2018'!J2*'Tariffs 2018'!O2/100),($C$5*'Tariffs 2018'!O2/100))</f>
        <v>86.473992780000003</v>
      </c>
      <c r="E8" s="49">
        <f>IF($C$5&lt;'Tariffs 2018'!J2,0,IF(($C$5-'Tariffs 2018'!J2)&lt;='Tariffs 2018'!K2,(($C$5-'Tariffs 2018'!J2)*'Tariffs 2018'!P2/100),(('Tariffs 2018'!K2-'Tariffs 2018'!J2)*'Tariffs 2018'!P2/100)))</f>
        <v>288.22025658000001</v>
      </c>
      <c r="F8" s="49">
        <f>IF($C$5&lt;'Tariffs 2018'!K2,0,IF(($C$5-'Tariffs 2018'!K2)&lt;='Tariffs 2018'!L2,(($C$5-'Tariffs 2018'!K2)*'Tariffs 2018'!Q2/100),(('Tariffs 2018'!L2-'Tariffs 2018'!K2)*'Tariffs 2018'!Q2/100)))</f>
        <v>0</v>
      </c>
      <c r="G8" s="49">
        <f>IF(($C$5&lt;'Tariffs 2018'!L2),(0),($C$5-'Tariffs 2018'!L2)*'Tariffs 2018'!R2/100)</f>
        <v>0</v>
      </c>
      <c r="H8" s="49">
        <f>SUM(C8:G8)</f>
        <v>445.32844936000004</v>
      </c>
      <c r="I8" s="49">
        <f>(H8-C8)*4</f>
        <v>1498.7769974400001</v>
      </c>
      <c r="J8" s="106">
        <f>H8*4</f>
        <v>1781.3137974400001</v>
      </c>
      <c r="K8" s="107">
        <f>J8*1.1</f>
        <v>1959.4451771840004</v>
      </c>
      <c r="L8" s="34">
        <f>'Tariffs 2018'!AK2</f>
        <v>0</v>
      </c>
      <c r="M8" s="34">
        <f>'Tariffs 2018'!AL2</f>
        <v>0</v>
      </c>
      <c r="N8" s="34">
        <f>'Tariffs 2018'!AM2</f>
        <v>0</v>
      </c>
      <c r="O8" s="34">
        <f>'Tariffs 2018'!AN2</f>
        <v>0</v>
      </c>
      <c r="P8" s="107">
        <f>J8</f>
        <v>1781.3137974400001</v>
      </c>
      <c r="Q8" s="107">
        <f>P8</f>
        <v>1781.3137974400001</v>
      </c>
      <c r="R8" s="108">
        <f>P8*1.1</f>
        <v>1959.4451771840004</v>
      </c>
      <c r="S8" s="108">
        <f>Q8*1.1</f>
        <v>1959.4451771840004</v>
      </c>
      <c r="T8" s="109">
        <f>'Tariffs 2018'!AU2</f>
        <v>0</v>
      </c>
      <c r="U8" s="110" t="str">
        <f>'Tariffs 2018'!AV2</f>
        <v>n</v>
      </c>
    </row>
    <row r="9" spans="1:21" x14ac:dyDescent="0.15">
      <c r="A9" s="105" t="str">
        <f>'Tariffs 2018'!F3</f>
        <v>EnergyAustralia</v>
      </c>
      <c r="B9" s="34" t="str">
        <f>'Tariffs 2018'!G3</f>
        <v xml:space="preserve">Flexi Saver </v>
      </c>
      <c r="C9" s="49">
        <f>91*'Tariffs 2018'!H3/100</f>
        <v>61.789000000000009</v>
      </c>
      <c r="D9" s="49">
        <f>IF($C$5&gt;='Tariffs 2018'!J3,('Tariffs 2018'!J3*'Tariffs 2018'!O3/100),($C$5*'Tariffs 2018'!O3/100))</f>
        <v>83.589264</v>
      </c>
      <c r="E9" s="49">
        <f>IF($C$5&lt;'Tariffs 2018'!J3,0,IF(($C$5-'Tariffs 2018'!J3)&lt;='Tariffs 2018'!K3,(($C$5-'Tariffs 2018'!J3)*'Tariffs 2018'!P3/100),(('Tariffs 2018'!K3-'Tariffs 2018'!J3)*'Tariffs 2018'!P3/100)))</f>
        <v>281.26008000000002</v>
      </c>
      <c r="F9" s="49">
        <f>IF($C$5&lt;'Tariffs 2018'!K3,0,IF(($C$5-'Tariffs 2018'!K3)&lt;='Tariffs 2018'!L3,(($C$5-'Tariffs 2018'!K3)*'Tariffs 2018'!Q3/100),(('Tariffs 2018'!L3-'Tariffs 2018'!K3)*'Tariffs 2018'!Q3/100)))</f>
        <v>0</v>
      </c>
      <c r="G9" s="49">
        <f>IF(($C$5&lt;'Tariffs 2018'!L3),(0),($C$5-'Tariffs 2018'!L3)*'Tariffs 2018'!R3/100)</f>
        <v>0</v>
      </c>
      <c r="H9" s="49">
        <f t="shared" ref="H9:H10" si="0">SUM(C9:G9)</f>
        <v>426.63834400000002</v>
      </c>
      <c r="I9" s="49">
        <f t="shared" ref="I9:I10" si="1">(H9-C9)*4</f>
        <v>1459.3973760000001</v>
      </c>
      <c r="J9" s="106">
        <f t="shared" ref="J9:J10" si="2">H9*4</f>
        <v>1706.5533760000001</v>
      </c>
      <c r="K9" s="107">
        <f t="shared" ref="K9:K10" si="3">J9*1.1</f>
        <v>1877.2087136000002</v>
      </c>
      <c r="L9" s="34">
        <f>'Tariffs 2018'!AK3</f>
        <v>0</v>
      </c>
      <c r="M9" s="34">
        <f>'Tariffs 2018'!AL3</f>
        <v>0</v>
      </c>
      <c r="N9" s="34">
        <f>'Tariffs 2018'!AM3</f>
        <v>0</v>
      </c>
      <c r="O9" s="34">
        <f>'Tariffs 2018'!AN3</f>
        <v>11</v>
      </c>
      <c r="P9" s="107">
        <f>J9</f>
        <v>1706.5533760000001</v>
      </c>
      <c r="Q9" s="107">
        <f>P9-(I9*O9/100)</f>
        <v>1546.01966464</v>
      </c>
      <c r="R9" s="108">
        <f t="shared" ref="R9:R10" si="4">P9*1.1</f>
        <v>1877.2087136000002</v>
      </c>
      <c r="S9" s="108">
        <f>Q9*1.1</f>
        <v>1700.621631104</v>
      </c>
      <c r="T9" s="109">
        <f>'Tariffs 2018'!AU3</f>
        <v>0</v>
      </c>
      <c r="U9" s="110" t="str">
        <f>'Tariffs 2018'!AV3</f>
        <v>n</v>
      </c>
    </row>
    <row r="10" spans="1:21" ht="14" thickBot="1" x14ac:dyDescent="0.2">
      <c r="A10" s="111" t="str">
        <f>'Tariffs 2018'!F4</f>
        <v>Origin Energy</v>
      </c>
      <c r="B10" s="112" t="str">
        <f>'Tariffs 2018'!G4</f>
        <v>Saver</v>
      </c>
      <c r="C10" s="113">
        <f>91*'Tariffs 2018'!H4/100</f>
        <v>65.52</v>
      </c>
      <c r="D10" s="113">
        <f>IF($C$5&gt;='Tariffs 2018'!J4,('Tariffs 2018'!J4*'Tariffs 2018'!O4/100),($C$5*'Tariffs 2018'!O4/100))</f>
        <v>81.863032799999985</v>
      </c>
      <c r="E10" s="113">
        <f>IF($C$5&lt;'Tariffs 2018'!J4,0,IF(($C$5-'Tariffs 2018'!J4)&lt;='Tariffs 2018'!K4,(($C$5-'Tariffs 2018'!J4)*'Tariffs 2018'!P4/100),(('Tariffs 2018'!K4-'Tariffs 2018'!J4)*'Tariffs 2018'!P4/100)))</f>
        <v>269.34244949999999</v>
      </c>
      <c r="F10" s="113">
        <f>IF($C$5&lt;'Tariffs 2018'!K4,0,IF(($C$5-'Tariffs 2018'!K4)&lt;='Tariffs 2018'!L4,(($C$5-'Tariffs 2018'!K4)*'Tariffs 2018'!Q4/100),(('Tariffs 2018'!L4-'Tariffs 2018'!K4)*'Tariffs 2018'!Q4/100)))</f>
        <v>0</v>
      </c>
      <c r="G10" s="113">
        <f>IF(($C$5&lt;'Tariffs 2018'!L4),(0),($C$5-'Tariffs 2018'!L4)*'Tariffs 2018'!R4/100)</f>
        <v>0</v>
      </c>
      <c r="H10" s="113">
        <f t="shared" si="0"/>
        <v>416.72548229999995</v>
      </c>
      <c r="I10" s="113">
        <f t="shared" si="1"/>
        <v>1404.8219291999999</v>
      </c>
      <c r="J10" s="114">
        <f t="shared" si="2"/>
        <v>1666.9019291999998</v>
      </c>
      <c r="K10" s="115">
        <f t="shared" si="3"/>
        <v>1833.5921221199999</v>
      </c>
      <c r="L10" s="112">
        <f>'Tariffs 2018'!AK4</f>
        <v>0</v>
      </c>
      <c r="M10" s="112">
        <f>'Tariffs 2018'!AL4</f>
        <v>0</v>
      </c>
      <c r="N10" s="112">
        <f>'Tariffs 2018'!AM4</f>
        <v>0</v>
      </c>
      <c r="O10" s="112">
        <f>'Tariffs 2018'!AN4</f>
        <v>10</v>
      </c>
      <c r="P10" s="115">
        <f>J10</f>
        <v>1666.9019291999998</v>
      </c>
      <c r="Q10" s="115">
        <f>P10-(I10*O10/100)</f>
        <v>1526.4197362799998</v>
      </c>
      <c r="R10" s="116">
        <f t="shared" si="4"/>
        <v>1833.5921221199999</v>
      </c>
      <c r="S10" s="116">
        <f>Q10*1.1</f>
        <v>1679.061709908</v>
      </c>
      <c r="T10" s="117">
        <f>'Tariffs 2018'!AU4</f>
        <v>0</v>
      </c>
      <c r="U10" s="118" t="str">
        <f>'Tariffs 2018'!AV4</f>
        <v>n</v>
      </c>
    </row>
  </sheetData>
  <sheetProtection algorithmName="SHA-512" hashValue="8zcKb5BxRBepBWOfNrsbSOgEs90c9xgcUXuL5/6xrZY3cS3Lm2vwnAI6M3iE1XmfUgLu0TdnhayGyJUYIzmhgQ==" saltValue="+wmMvLZEzcvf/L6BCyDLHw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U300"/>
  <sheetViews>
    <sheetView workbookViewId="0">
      <selection activeCell="C5" sqref="C5"/>
    </sheetView>
  </sheetViews>
  <sheetFormatPr baseColWidth="10" defaultRowHeight="13" x14ac:dyDescent="0.15"/>
  <cols>
    <col min="1" max="1" width="15.83203125" style="34" customWidth="1"/>
    <col min="2" max="2" width="14" style="34" customWidth="1"/>
    <col min="3" max="8" width="12.1640625" style="34" customWidth="1"/>
    <col min="9" max="10" width="12.1640625" style="34" hidden="1" customWidth="1"/>
    <col min="11" max="15" width="12.1640625" style="34" customWidth="1"/>
    <col min="16" max="17" width="12.1640625" style="34" hidden="1" customWidth="1"/>
    <col min="18" max="21" width="12.1640625" style="34" customWidth="1"/>
    <col min="22" max="16384" width="10.83203125" style="124"/>
  </cols>
  <sheetData>
    <row r="1" spans="1:21" ht="14" x14ac:dyDescent="0.15">
      <c r="A1" s="123" t="s">
        <v>162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</row>
    <row r="2" spans="1:21" ht="14" x14ac:dyDescent="0.15">
      <c r="A2" s="125" t="s">
        <v>145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</row>
    <row r="3" spans="1:21" ht="15" thickBot="1" x14ac:dyDescent="0.2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</row>
    <row r="4" spans="1:21" ht="14" x14ac:dyDescent="0.15">
      <c r="A4" s="100" t="s">
        <v>146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2"/>
    </row>
    <row r="5" spans="1:21" ht="14" x14ac:dyDescent="0.15">
      <c r="A5" s="103" t="s">
        <v>257</v>
      </c>
      <c r="B5" s="52"/>
      <c r="C5" s="119">
        <v>7500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104"/>
    </row>
    <row r="6" spans="1:21" ht="14" x14ac:dyDescent="0.15">
      <c r="A6" s="103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104"/>
    </row>
    <row r="7" spans="1:21" ht="75" x14ac:dyDescent="0.15">
      <c r="A7" s="232" t="s">
        <v>57</v>
      </c>
      <c r="B7" s="233" t="s">
        <v>170</v>
      </c>
      <c r="C7" s="234" t="s">
        <v>171</v>
      </c>
      <c r="D7" s="234" t="s">
        <v>148</v>
      </c>
      <c r="E7" s="235" t="s">
        <v>149</v>
      </c>
      <c r="F7" s="235" t="s">
        <v>150</v>
      </c>
      <c r="G7" s="235" t="s">
        <v>151</v>
      </c>
      <c r="H7" s="235" t="s">
        <v>132</v>
      </c>
      <c r="I7" s="238" t="s">
        <v>133</v>
      </c>
      <c r="J7" s="237" t="s">
        <v>153</v>
      </c>
      <c r="K7" s="238" t="s">
        <v>134</v>
      </c>
      <c r="L7" s="239" t="s">
        <v>154</v>
      </c>
      <c r="M7" s="239" t="s">
        <v>127</v>
      </c>
      <c r="N7" s="239" t="s">
        <v>128</v>
      </c>
      <c r="O7" s="239" t="s">
        <v>129</v>
      </c>
      <c r="P7" s="236" t="s">
        <v>158</v>
      </c>
      <c r="Q7" s="236" t="s">
        <v>159</v>
      </c>
      <c r="R7" s="236" t="s">
        <v>160</v>
      </c>
      <c r="S7" s="236" t="s">
        <v>161</v>
      </c>
      <c r="T7" s="239" t="s">
        <v>130</v>
      </c>
      <c r="U7" s="240" t="s">
        <v>131</v>
      </c>
    </row>
    <row r="8" spans="1:21" x14ac:dyDescent="0.15">
      <c r="A8" s="105" t="str">
        <f>'Tariffs 2017'!F2</f>
        <v>ActewAGL</v>
      </c>
      <c r="B8" s="34" t="str">
        <f>'Tariffs 2017'!G2</f>
        <v>Home plan</v>
      </c>
      <c r="C8" s="49">
        <f>91*'Tariffs 2017'!H2/100</f>
        <v>66.011400000000009</v>
      </c>
      <c r="D8" s="49">
        <f>IF($C$5&gt;='Tariffs 2017'!J2,('Tariffs 2017'!J2*'Tariffs 2017'!O2/100),($C$5*'Tariffs 2017'!O2/100))</f>
        <v>81.024676439999993</v>
      </c>
      <c r="E8" s="49">
        <f>IF($C$5&lt;'Tariffs 2017'!J2,0,IF(($C$5-'Tariffs 2017'!J2)&lt;='Tariffs 2017'!K2,(($C$5-'Tariffs 2017'!J2)*'Tariffs 2017'!P2/100),(('Tariffs 2017'!K2-'Tariffs 2017'!J2)*'Tariffs 2017'!P2/100)))</f>
        <v>142.51950425999999</v>
      </c>
      <c r="F8" s="49">
        <f>IF($C$5&lt;'Tariffs 2017'!K2,0,IF(($C$5-'Tariffs 2017'!K2)&lt;='Tariffs 2017'!L2,(($C$5-'Tariffs 2017'!K2)*'Tariffs 2017'!Q2/100),(('Tariffs 2017'!L2-'Tariffs 2017'!K2)*'Tariffs 2017'!Q2/100)))</f>
        <v>0</v>
      </c>
      <c r="G8" s="49">
        <f>IF(($C$5&lt;'Tariffs 2017'!L2),(0),($C$5-'Tariffs 2017'!L2)*'Tariffs 2017'!R2/100)</f>
        <v>0</v>
      </c>
      <c r="H8" s="49">
        <f>SUM(C8:G8)</f>
        <v>289.55558069999995</v>
      </c>
      <c r="I8" s="49">
        <f>(H8-C8)*4</f>
        <v>894.17672279999977</v>
      </c>
      <c r="J8" s="106">
        <f>H8*4</f>
        <v>1158.2223227999998</v>
      </c>
      <c r="K8" s="107">
        <f>J8*1.1</f>
        <v>1274.0445550799998</v>
      </c>
      <c r="L8" s="34">
        <f>'Tariffs 2017'!AK2</f>
        <v>0</v>
      </c>
      <c r="M8" s="34">
        <f>'Tariffs 2017'!AL2</f>
        <v>0</v>
      </c>
      <c r="N8" s="34">
        <f>'Tariffs 2017'!AM2</f>
        <v>0</v>
      </c>
      <c r="O8" s="34">
        <f>'Tariffs 2017'!AN2</f>
        <v>0</v>
      </c>
      <c r="P8" s="107">
        <f>J8</f>
        <v>1158.2223227999998</v>
      </c>
      <c r="Q8" s="107">
        <f>P8</f>
        <v>1158.2223227999998</v>
      </c>
      <c r="R8" s="108">
        <f>P8*1.1</f>
        <v>1274.0445550799998</v>
      </c>
      <c r="S8" s="108">
        <f>Q8*1.1</f>
        <v>1274.0445550799998</v>
      </c>
      <c r="T8" s="109">
        <f>'Tariffs 2017'!AU2</f>
        <v>0</v>
      </c>
      <c r="U8" s="110" t="str">
        <f>'Tariffs 2017'!AV2</f>
        <v>n</v>
      </c>
    </row>
    <row r="9" spans="1:21" x14ac:dyDescent="0.15">
      <c r="A9" s="105" t="str">
        <f>'Tariffs 2017'!F3</f>
        <v>EnergyAustralia</v>
      </c>
      <c r="B9" s="34" t="str">
        <f>'Tariffs 2017'!G3</f>
        <v xml:space="preserve">Flexi Saver </v>
      </c>
      <c r="C9" s="49">
        <f>91*'Tariffs 2017'!H3/100</f>
        <v>61.789000000000009</v>
      </c>
      <c r="D9" s="49">
        <f>IF($C$5&gt;='Tariffs 2017'!J3,('Tariffs 2017'!J3*'Tariffs 2017'!O3/100),($C$5*'Tariffs 2017'!O3/100))</f>
        <v>83.589060599999996</v>
      </c>
      <c r="E9" s="49">
        <f>IF($C$5&lt;'Tariffs 2017'!J3,0,IF(($C$5-'Tariffs 2017'!J3)&lt;='Tariffs 2017'!K3,(($C$5-'Tariffs 2017'!J3)*'Tariffs 2017'!P3/100),(('Tariffs 2017'!K3-'Tariffs 2017'!J3)*'Tariffs 2017'!P3/100)))</f>
        <v>148.51025700000002</v>
      </c>
      <c r="F9" s="49">
        <f>IF($C$5&lt;'Tariffs 2017'!K3,0,IF(($C$5-'Tariffs 2017'!K3)&lt;='Tariffs 2017'!L3,(($C$5-'Tariffs 2017'!K3)*'Tariffs 2017'!Q3/100),(('Tariffs 2017'!L3-'Tariffs 2017'!K3)*'Tariffs 2017'!Q3/100)))</f>
        <v>0</v>
      </c>
      <c r="G9" s="49">
        <f>IF(($C$5&lt;'Tariffs 2017'!L3),(0),($C$5-'Tariffs 2017'!L3)*'Tariffs 2017'!R3/100)</f>
        <v>0</v>
      </c>
      <c r="H9" s="49">
        <f t="shared" ref="H9:H10" si="0">SUM(C9:G9)</f>
        <v>293.88831760000005</v>
      </c>
      <c r="I9" s="49">
        <f t="shared" ref="I9:I10" si="1">(H9-C9)*4</f>
        <v>928.39727040000014</v>
      </c>
      <c r="J9" s="106">
        <f t="shared" ref="J9:J10" si="2">H9*4</f>
        <v>1175.5532704000002</v>
      </c>
      <c r="K9" s="107">
        <f t="shared" ref="K9:K10" si="3">J9*1.1</f>
        <v>1293.1085974400003</v>
      </c>
      <c r="L9" s="34">
        <f>'Tariffs 2017'!AK3</f>
        <v>0</v>
      </c>
      <c r="M9" s="34">
        <f>'Tariffs 2017'!AL3</f>
        <v>0</v>
      </c>
      <c r="N9" s="34">
        <f>'Tariffs 2017'!AM3</f>
        <v>0</v>
      </c>
      <c r="O9" s="34">
        <f>'Tariffs 2017'!AN3</f>
        <v>14</v>
      </c>
      <c r="P9" s="107">
        <f>J9</f>
        <v>1175.5532704000002</v>
      </c>
      <c r="Q9" s="107">
        <f>P9-(I9*O9/100)</f>
        <v>1045.5776525440001</v>
      </c>
      <c r="R9" s="108">
        <f t="shared" ref="R9:S9" si="4">P9*1.1</f>
        <v>1293.1085974400003</v>
      </c>
      <c r="S9" s="108">
        <f t="shared" si="4"/>
        <v>1150.1354177984001</v>
      </c>
      <c r="T9" s="109">
        <f>'Tariffs 2017'!AU3</f>
        <v>0</v>
      </c>
      <c r="U9" s="110" t="str">
        <f>'Tariffs 2017'!AV3</f>
        <v>n</v>
      </c>
    </row>
    <row r="10" spans="1:21" ht="14" thickBot="1" x14ac:dyDescent="0.2">
      <c r="A10" s="111" t="str">
        <f>'Tariffs 2017'!F4</f>
        <v>Origin Energy</v>
      </c>
      <c r="B10" s="112" t="str">
        <f>'Tariffs 2017'!G4</f>
        <v>Saver</v>
      </c>
      <c r="C10" s="113">
        <f>91*'Tariffs 2017'!H4/100</f>
        <v>65.52</v>
      </c>
      <c r="D10" s="113">
        <f>IF($C$5&gt;='Tariffs 2017'!J4,('Tariffs 2017'!J4*'Tariffs 2017'!O4/100),($C$5*'Tariffs 2017'!O4/100))</f>
        <v>81.863032799999985</v>
      </c>
      <c r="E10" s="113">
        <f>IF($C$5&lt;'Tariffs 2017'!J4,0,IF(($C$5-'Tariffs 2017'!J4)&lt;='Tariffs 2017'!K4,(($C$5-'Tariffs 2017'!J4)*'Tariffs 2017'!P4/100),(('Tariffs 2017'!K4-'Tariffs 2017'!J4)*'Tariffs 2017'!P4/100)))</f>
        <v>142.21744950000001</v>
      </c>
      <c r="F10" s="113">
        <f>IF($C$5&lt;'Tariffs 2017'!K4,0,IF(($C$5-'Tariffs 2017'!K4)&lt;='Tariffs 2017'!L4,(($C$5-'Tariffs 2017'!K4)*'Tariffs 2017'!Q4/100),(('Tariffs 2017'!L4-'Tariffs 2017'!K4)*'Tariffs 2017'!Q4/100)))</f>
        <v>0</v>
      </c>
      <c r="G10" s="113">
        <f>IF(($C$5&lt;'Tariffs 2017'!L4),(0),($C$5-'Tariffs 2017'!L4)*'Tariffs 2017'!R4/100)</f>
        <v>0</v>
      </c>
      <c r="H10" s="113">
        <f t="shared" si="0"/>
        <v>289.60048229999995</v>
      </c>
      <c r="I10" s="113">
        <f t="shared" si="1"/>
        <v>896.32192919999989</v>
      </c>
      <c r="J10" s="114">
        <f t="shared" si="2"/>
        <v>1158.4019291999998</v>
      </c>
      <c r="K10" s="115">
        <f t="shared" si="3"/>
        <v>1274.24212212</v>
      </c>
      <c r="L10" s="112">
        <f>'Tariffs 2017'!AK4</f>
        <v>0</v>
      </c>
      <c r="M10" s="112">
        <f>'Tariffs 2017'!AL4</f>
        <v>0</v>
      </c>
      <c r="N10" s="112">
        <f>'Tariffs 2017'!AM4</f>
        <v>0</v>
      </c>
      <c r="O10" s="112">
        <f>'Tariffs 2017'!AN4</f>
        <v>10</v>
      </c>
      <c r="P10" s="115">
        <f>J10</f>
        <v>1158.4019291999998</v>
      </c>
      <c r="Q10" s="115">
        <f>P10-(I10*O10/100)</f>
        <v>1068.7697362799997</v>
      </c>
      <c r="R10" s="116">
        <f>P10*1.1</f>
        <v>1274.24212212</v>
      </c>
      <c r="S10" s="116">
        <f>Q10*1.1</f>
        <v>1175.6467099079998</v>
      </c>
      <c r="T10" s="117">
        <f>'Tariffs 2017'!AU4</f>
        <v>0</v>
      </c>
      <c r="U10" s="118" t="str">
        <f>'Tariffs 2017'!AV4</f>
        <v>n</v>
      </c>
    </row>
    <row r="11" spans="1:21" x14ac:dyDescent="0.15">
      <c r="A11" s="124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</row>
    <row r="12" spans="1:21" x14ac:dyDescent="0.15">
      <c r="A12" s="124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</row>
    <row r="13" spans="1:21" x14ac:dyDescent="0.15">
      <c r="A13" s="124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</row>
    <row r="14" spans="1:21" x14ac:dyDescent="0.15">
      <c r="A14" s="124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</row>
    <row r="15" spans="1:21" x14ac:dyDescent="0.15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</row>
    <row r="16" spans="1:21" x14ac:dyDescent="0.15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</row>
    <row r="17" s="124" customFormat="1" x14ac:dyDescent="0.15"/>
    <row r="18" s="124" customFormat="1" x14ac:dyDescent="0.15"/>
    <row r="19" s="124" customFormat="1" x14ac:dyDescent="0.15"/>
    <row r="20" s="124" customFormat="1" x14ac:dyDescent="0.15"/>
    <row r="21" s="124" customFormat="1" x14ac:dyDescent="0.15"/>
    <row r="22" s="124" customFormat="1" x14ac:dyDescent="0.15"/>
    <row r="23" s="124" customFormat="1" x14ac:dyDescent="0.15"/>
    <row r="24" s="124" customFormat="1" x14ac:dyDescent="0.15"/>
    <row r="25" s="124" customFormat="1" x14ac:dyDescent="0.15"/>
    <row r="26" s="124" customFormat="1" x14ac:dyDescent="0.15"/>
    <row r="27" s="124" customFormat="1" x14ac:dyDescent="0.15"/>
    <row r="28" s="124" customFormat="1" x14ac:dyDescent="0.15"/>
    <row r="29" s="124" customFormat="1" x14ac:dyDescent="0.15"/>
    <row r="30" s="124" customFormat="1" x14ac:dyDescent="0.15"/>
    <row r="31" s="124" customFormat="1" x14ac:dyDescent="0.15"/>
    <row r="32" s="124" customFormat="1" x14ac:dyDescent="0.15"/>
    <row r="33" s="124" customFormat="1" x14ac:dyDescent="0.15"/>
    <row r="34" s="124" customFormat="1" x14ac:dyDescent="0.15"/>
    <row r="35" s="124" customFormat="1" x14ac:dyDescent="0.15"/>
    <row r="36" s="124" customFormat="1" x14ac:dyDescent="0.15"/>
    <row r="37" s="124" customFormat="1" x14ac:dyDescent="0.15"/>
    <row r="38" s="124" customFormat="1" x14ac:dyDescent="0.15"/>
    <row r="39" s="124" customFormat="1" x14ac:dyDescent="0.15"/>
    <row r="40" s="124" customFormat="1" x14ac:dyDescent="0.15"/>
    <row r="41" s="124" customFormat="1" x14ac:dyDescent="0.15"/>
    <row r="42" s="124" customFormat="1" x14ac:dyDescent="0.15"/>
    <row r="43" s="124" customFormat="1" x14ac:dyDescent="0.15"/>
    <row r="44" s="124" customFormat="1" x14ac:dyDescent="0.15"/>
    <row r="45" s="124" customFormat="1" x14ac:dyDescent="0.15"/>
    <row r="46" s="124" customFormat="1" x14ac:dyDescent="0.15"/>
    <row r="47" s="124" customFormat="1" x14ac:dyDescent="0.15"/>
    <row r="48" s="124" customFormat="1" x14ac:dyDescent="0.15"/>
    <row r="49" s="124" customFormat="1" x14ac:dyDescent="0.15"/>
    <row r="50" s="124" customFormat="1" x14ac:dyDescent="0.15"/>
    <row r="51" s="124" customFormat="1" x14ac:dyDescent="0.15"/>
    <row r="52" s="124" customFormat="1" x14ac:dyDescent="0.15"/>
    <row r="53" s="124" customFormat="1" x14ac:dyDescent="0.15"/>
    <row r="54" s="124" customFormat="1" x14ac:dyDescent="0.15"/>
    <row r="55" s="124" customFormat="1" x14ac:dyDescent="0.15"/>
    <row r="56" s="124" customFormat="1" x14ac:dyDescent="0.15"/>
    <row r="57" s="124" customFormat="1" x14ac:dyDescent="0.15"/>
    <row r="58" s="124" customFormat="1" x14ac:dyDescent="0.15"/>
    <row r="59" s="124" customFormat="1" x14ac:dyDescent="0.15"/>
    <row r="60" s="124" customFormat="1" x14ac:dyDescent="0.15"/>
    <row r="61" s="124" customFormat="1" x14ac:dyDescent="0.15"/>
    <row r="62" s="124" customFormat="1" x14ac:dyDescent="0.15"/>
    <row r="63" s="124" customFormat="1" x14ac:dyDescent="0.15"/>
    <row r="64" s="124" customFormat="1" x14ac:dyDescent="0.15"/>
    <row r="65" s="124" customFormat="1" x14ac:dyDescent="0.15"/>
    <row r="66" s="124" customFormat="1" x14ac:dyDescent="0.15"/>
    <row r="67" s="124" customFormat="1" x14ac:dyDescent="0.15"/>
    <row r="68" s="124" customFormat="1" x14ac:dyDescent="0.15"/>
    <row r="69" s="124" customFormat="1" x14ac:dyDescent="0.15"/>
    <row r="70" s="124" customFormat="1" x14ac:dyDescent="0.15"/>
    <row r="71" s="124" customFormat="1" x14ac:dyDescent="0.15"/>
    <row r="72" s="124" customFormat="1" x14ac:dyDescent="0.15"/>
    <row r="73" s="124" customFormat="1" x14ac:dyDescent="0.15"/>
    <row r="74" s="124" customFormat="1" x14ac:dyDescent="0.15"/>
    <row r="75" s="124" customFormat="1" x14ac:dyDescent="0.15"/>
    <row r="76" s="124" customFormat="1" x14ac:dyDescent="0.15"/>
    <row r="77" s="124" customFormat="1" x14ac:dyDescent="0.15"/>
    <row r="78" s="124" customFormat="1" x14ac:dyDescent="0.15"/>
    <row r="79" s="124" customFormat="1" x14ac:dyDescent="0.15"/>
    <row r="80" s="124" customFormat="1" x14ac:dyDescent="0.15"/>
    <row r="81" s="124" customFormat="1" x14ac:dyDescent="0.15"/>
    <row r="82" s="124" customFormat="1" x14ac:dyDescent="0.15"/>
    <row r="83" s="124" customFormat="1" x14ac:dyDescent="0.15"/>
    <row r="84" s="124" customFormat="1" x14ac:dyDescent="0.15"/>
    <row r="85" s="124" customFormat="1" x14ac:dyDescent="0.15"/>
    <row r="86" s="124" customFormat="1" x14ac:dyDescent="0.15"/>
    <row r="87" s="124" customFormat="1" x14ac:dyDescent="0.15"/>
    <row r="88" s="124" customFormat="1" x14ac:dyDescent="0.15"/>
    <row r="89" s="124" customFormat="1" x14ac:dyDescent="0.15"/>
    <row r="90" s="124" customFormat="1" x14ac:dyDescent="0.15"/>
    <row r="91" s="124" customFormat="1" x14ac:dyDescent="0.15"/>
    <row r="92" s="124" customFormat="1" x14ac:dyDescent="0.15"/>
    <row r="93" s="124" customFormat="1" x14ac:dyDescent="0.15"/>
    <row r="94" s="124" customFormat="1" x14ac:dyDescent="0.15"/>
    <row r="95" s="124" customFormat="1" x14ac:dyDescent="0.15"/>
    <row r="96" s="124" customFormat="1" x14ac:dyDescent="0.15"/>
    <row r="97" s="124" customFormat="1" x14ac:dyDescent="0.15"/>
    <row r="98" s="124" customFormat="1" x14ac:dyDescent="0.15"/>
    <row r="99" s="124" customFormat="1" x14ac:dyDescent="0.15"/>
    <row r="100" s="124" customFormat="1" x14ac:dyDescent="0.15"/>
    <row r="101" s="124" customFormat="1" x14ac:dyDescent="0.15"/>
    <row r="102" s="124" customFormat="1" x14ac:dyDescent="0.15"/>
    <row r="103" s="124" customFormat="1" x14ac:dyDescent="0.15"/>
    <row r="104" s="124" customFormat="1" x14ac:dyDescent="0.15"/>
    <row r="105" s="124" customFormat="1" x14ac:dyDescent="0.15"/>
    <row r="106" s="124" customFormat="1" x14ac:dyDescent="0.15"/>
    <row r="107" s="124" customFormat="1" x14ac:dyDescent="0.15"/>
    <row r="108" s="124" customFormat="1" x14ac:dyDescent="0.15"/>
    <row r="109" s="124" customFormat="1" x14ac:dyDescent="0.15"/>
    <row r="110" s="124" customFormat="1" x14ac:dyDescent="0.15"/>
    <row r="111" s="124" customFormat="1" x14ac:dyDescent="0.15"/>
    <row r="112" s="124" customFormat="1" x14ac:dyDescent="0.15"/>
    <row r="113" s="124" customFormat="1" x14ac:dyDescent="0.15"/>
    <row r="114" s="124" customFormat="1" x14ac:dyDescent="0.15"/>
    <row r="115" s="124" customFormat="1" x14ac:dyDescent="0.15"/>
    <row r="116" s="124" customFormat="1" x14ac:dyDescent="0.15"/>
    <row r="117" s="124" customFormat="1" x14ac:dyDescent="0.15"/>
    <row r="118" s="124" customFormat="1" x14ac:dyDescent="0.15"/>
    <row r="119" s="124" customFormat="1" x14ac:dyDescent="0.15"/>
    <row r="120" s="124" customFormat="1" x14ac:dyDescent="0.15"/>
    <row r="121" s="124" customFormat="1" x14ac:dyDescent="0.15"/>
    <row r="122" s="124" customFormat="1" x14ac:dyDescent="0.15"/>
    <row r="123" s="124" customFormat="1" x14ac:dyDescent="0.15"/>
    <row r="124" s="124" customFormat="1" x14ac:dyDescent="0.15"/>
    <row r="125" s="124" customFormat="1" x14ac:dyDescent="0.15"/>
    <row r="126" s="124" customFormat="1" x14ac:dyDescent="0.15"/>
    <row r="127" s="124" customFormat="1" x14ac:dyDescent="0.15"/>
    <row r="128" s="124" customFormat="1" x14ac:dyDescent="0.15"/>
    <row r="129" s="124" customFormat="1" x14ac:dyDescent="0.15"/>
    <row r="130" s="124" customFormat="1" x14ac:dyDescent="0.15"/>
    <row r="131" s="124" customFormat="1" x14ac:dyDescent="0.15"/>
    <row r="132" s="124" customFormat="1" x14ac:dyDescent="0.15"/>
    <row r="133" s="124" customFormat="1" x14ac:dyDescent="0.15"/>
    <row r="134" s="124" customFormat="1" x14ac:dyDescent="0.15"/>
    <row r="135" s="124" customFormat="1" x14ac:dyDescent="0.15"/>
    <row r="136" s="124" customFormat="1" x14ac:dyDescent="0.15"/>
    <row r="137" s="124" customFormat="1" x14ac:dyDescent="0.15"/>
    <row r="138" s="124" customFormat="1" x14ac:dyDescent="0.15"/>
    <row r="139" s="124" customFormat="1" x14ac:dyDescent="0.15"/>
    <row r="140" s="124" customFormat="1" x14ac:dyDescent="0.15"/>
    <row r="141" s="124" customFormat="1" x14ac:dyDescent="0.15"/>
    <row r="142" s="124" customFormat="1" x14ac:dyDescent="0.15"/>
    <row r="143" s="124" customFormat="1" x14ac:dyDescent="0.15"/>
    <row r="144" s="124" customFormat="1" x14ac:dyDescent="0.15"/>
    <row r="145" s="124" customFormat="1" x14ac:dyDescent="0.15"/>
    <row r="146" s="124" customFormat="1" x14ac:dyDescent="0.15"/>
    <row r="147" s="124" customFormat="1" x14ac:dyDescent="0.15"/>
    <row r="148" s="124" customFormat="1" x14ac:dyDescent="0.15"/>
    <row r="149" s="124" customFormat="1" x14ac:dyDescent="0.15"/>
    <row r="150" s="124" customFormat="1" x14ac:dyDescent="0.15"/>
    <row r="151" s="124" customFormat="1" x14ac:dyDescent="0.15"/>
    <row r="152" s="124" customFormat="1" x14ac:dyDescent="0.15"/>
    <row r="153" s="124" customFormat="1" x14ac:dyDescent="0.15"/>
    <row r="154" s="124" customFormat="1" x14ac:dyDescent="0.15"/>
    <row r="155" s="124" customFormat="1" x14ac:dyDescent="0.15"/>
    <row r="156" s="124" customFormat="1" x14ac:dyDescent="0.15"/>
    <row r="157" s="124" customFormat="1" x14ac:dyDescent="0.15"/>
    <row r="158" s="124" customFormat="1" x14ac:dyDescent="0.15"/>
    <row r="159" s="124" customFormat="1" x14ac:dyDescent="0.15"/>
    <row r="160" s="124" customFormat="1" x14ac:dyDescent="0.15"/>
    <row r="161" s="124" customFormat="1" x14ac:dyDescent="0.15"/>
    <row r="162" s="124" customFormat="1" x14ac:dyDescent="0.15"/>
    <row r="163" s="124" customFormat="1" x14ac:dyDescent="0.15"/>
    <row r="164" s="124" customFormat="1" x14ac:dyDescent="0.15"/>
    <row r="165" s="124" customFormat="1" x14ac:dyDescent="0.15"/>
    <row r="166" s="124" customFormat="1" x14ac:dyDescent="0.15"/>
    <row r="167" s="124" customFormat="1" x14ac:dyDescent="0.15"/>
    <row r="168" s="124" customFormat="1" x14ac:dyDescent="0.15"/>
    <row r="169" s="124" customFormat="1" x14ac:dyDescent="0.15"/>
    <row r="170" s="124" customFormat="1" x14ac:dyDescent="0.15"/>
    <row r="171" s="124" customFormat="1" x14ac:dyDescent="0.15"/>
    <row r="172" s="124" customFormat="1" x14ac:dyDescent="0.15"/>
    <row r="173" s="124" customFormat="1" x14ac:dyDescent="0.15"/>
    <row r="174" s="124" customFormat="1" x14ac:dyDescent="0.15"/>
    <row r="175" s="124" customFormat="1" x14ac:dyDescent="0.15"/>
    <row r="176" s="124" customFormat="1" x14ac:dyDescent="0.15"/>
    <row r="177" s="124" customFormat="1" x14ac:dyDescent="0.15"/>
    <row r="178" s="124" customFormat="1" x14ac:dyDescent="0.15"/>
    <row r="179" s="124" customFormat="1" x14ac:dyDescent="0.15"/>
    <row r="180" s="124" customFormat="1" x14ac:dyDescent="0.15"/>
    <row r="181" s="124" customFormat="1" x14ac:dyDescent="0.15"/>
    <row r="182" s="124" customFormat="1" x14ac:dyDescent="0.15"/>
    <row r="183" s="124" customFormat="1" x14ac:dyDescent="0.15"/>
    <row r="184" s="124" customFormat="1" x14ac:dyDescent="0.15"/>
    <row r="185" s="124" customFormat="1" x14ac:dyDescent="0.15"/>
    <row r="186" s="124" customFormat="1" x14ac:dyDescent="0.15"/>
    <row r="187" s="124" customFormat="1" x14ac:dyDescent="0.15"/>
    <row r="188" s="124" customFormat="1" x14ac:dyDescent="0.15"/>
    <row r="189" s="124" customFormat="1" x14ac:dyDescent="0.15"/>
    <row r="190" s="124" customFormat="1" x14ac:dyDescent="0.15"/>
    <row r="191" s="124" customFormat="1" x14ac:dyDescent="0.15"/>
    <row r="192" s="124" customFormat="1" x14ac:dyDescent="0.15"/>
    <row r="193" s="124" customFormat="1" x14ac:dyDescent="0.15"/>
    <row r="194" s="124" customFormat="1" x14ac:dyDescent="0.15"/>
    <row r="195" s="124" customFormat="1" x14ac:dyDescent="0.15"/>
    <row r="196" s="124" customFormat="1" x14ac:dyDescent="0.15"/>
    <row r="197" s="124" customFormat="1" x14ac:dyDescent="0.15"/>
    <row r="198" s="124" customFormat="1" x14ac:dyDescent="0.15"/>
    <row r="199" s="124" customFormat="1" x14ac:dyDescent="0.15"/>
    <row r="200" s="124" customFormat="1" x14ac:dyDescent="0.15"/>
    <row r="201" s="124" customFormat="1" x14ac:dyDescent="0.15"/>
    <row r="202" s="124" customFormat="1" x14ac:dyDescent="0.15"/>
    <row r="203" s="124" customFormat="1" x14ac:dyDescent="0.15"/>
    <row r="204" s="124" customFormat="1" x14ac:dyDescent="0.15"/>
    <row r="205" s="124" customFormat="1" x14ac:dyDescent="0.15"/>
    <row r="206" s="124" customFormat="1" x14ac:dyDescent="0.15"/>
    <row r="207" s="124" customFormat="1" x14ac:dyDescent="0.15"/>
    <row r="208" s="124" customFormat="1" x14ac:dyDescent="0.15"/>
    <row r="209" s="124" customFormat="1" x14ac:dyDescent="0.15"/>
    <row r="210" s="124" customFormat="1" x14ac:dyDescent="0.15"/>
    <row r="211" s="124" customFormat="1" x14ac:dyDescent="0.15"/>
    <row r="212" s="124" customFormat="1" x14ac:dyDescent="0.15"/>
    <row r="213" s="124" customFormat="1" x14ac:dyDescent="0.15"/>
    <row r="214" s="124" customFormat="1" x14ac:dyDescent="0.15"/>
    <row r="215" s="124" customFormat="1" x14ac:dyDescent="0.15"/>
    <row r="216" s="124" customFormat="1" x14ac:dyDescent="0.15"/>
    <row r="217" s="124" customFormat="1" x14ac:dyDescent="0.15"/>
    <row r="218" s="124" customFormat="1" x14ac:dyDescent="0.15"/>
    <row r="219" s="124" customFormat="1" x14ac:dyDescent="0.15"/>
    <row r="220" s="124" customFormat="1" x14ac:dyDescent="0.15"/>
    <row r="221" s="124" customFormat="1" x14ac:dyDescent="0.15"/>
    <row r="222" s="124" customFormat="1" x14ac:dyDescent="0.15"/>
    <row r="223" s="124" customFormat="1" x14ac:dyDescent="0.15"/>
    <row r="224" s="124" customFormat="1" x14ac:dyDescent="0.15"/>
    <row r="225" s="124" customFormat="1" x14ac:dyDescent="0.15"/>
    <row r="226" s="124" customFormat="1" x14ac:dyDescent="0.15"/>
    <row r="227" s="124" customFormat="1" x14ac:dyDescent="0.15"/>
    <row r="228" s="124" customFormat="1" x14ac:dyDescent="0.15"/>
    <row r="229" s="124" customFormat="1" x14ac:dyDescent="0.15"/>
    <row r="230" s="124" customFormat="1" x14ac:dyDescent="0.15"/>
    <row r="231" s="124" customFormat="1" x14ac:dyDescent="0.15"/>
    <row r="232" s="124" customFormat="1" x14ac:dyDescent="0.15"/>
    <row r="233" s="124" customFormat="1" x14ac:dyDescent="0.15"/>
    <row r="234" s="124" customFormat="1" x14ac:dyDescent="0.15"/>
    <row r="235" s="124" customFormat="1" x14ac:dyDescent="0.15"/>
    <row r="236" s="124" customFormat="1" x14ac:dyDescent="0.15"/>
    <row r="237" s="124" customFormat="1" x14ac:dyDescent="0.15"/>
    <row r="238" s="124" customFormat="1" x14ac:dyDescent="0.15"/>
    <row r="239" s="124" customFormat="1" x14ac:dyDescent="0.15"/>
    <row r="240" s="124" customFormat="1" x14ac:dyDescent="0.15"/>
    <row r="241" s="124" customFormat="1" x14ac:dyDescent="0.15"/>
    <row r="242" s="124" customFormat="1" x14ac:dyDescent="0.15"/>
    <row r="243" s="124" customFormat="1" x14ac:dyDescent="0.15"/>
    <row r="244" s="124" customFormat="1" x14ac:dyDescent="0.15"/>
    <row r="245" s="124" customFormat="1" x14ac:dyDescent="0.15"/>
    <row r="246" s="124" customFormat="1" x14ac:dyDescent="0.15"/>
    <row r="247" s="124" customFormat="1" x14ac:dyDescent="0.15"/>
    <row r="248" s="124" customFormat="1" x14ac:dyDescent="0.15"/>
    <row r="249" s="124" customFormat="1" x14ac:dyDescent="0.15"/>
    <row r="250" s="124" customFormat="1" x14ac:dyDescent="0.15"/>
    <row r="251" s="124" customFormat="1" x14ac:dyDescent="0.15"/>
    <row r="252" s="124" customFormat="1" x14ac:dyDescent="0.15"/>
    <row r="253" s="124" customFormat="1" x14ac:dyDescent="0.15"/>
    <row r="254" s="124" customFormat="1" x14ac:dyDescent="0.15"/>
    <row r="255" s="124" customFormat="1" x14ac:dyDescent="0.15"/>
    <row r="256" s="124" customFormat="1" x14ac:dyDescent="0.15"/>
    <row r="257" s="124" customFormat="1" x14ac:dyDescent="0.15"/>
    <row r="258" s="124" customFormat="1" x14ac:dyDescent="0.15"/>
    <row r="259" s="124" customFormat="1" x14ac:dyDescent="0.15"/>
    <row r="260" s="124" customFormat="1" x14ac:dyDescent="0.15"/>
    <row r="261" s="124" customFormat="1" x14ac:dyDescent="0.15"/>
    <row r="262" s="124" customFormat="1" x14ac:dyDescent="0.15"/>
    <row r="263" s="124" customFormat="1" x14ac:dyDescent="0.15"/>
    <row r="264" s="124" customFormat="1" x14ac:dyDescent="0.15"/>
    <row r="265" s="124" customFormat="1" x14ac:dyDescent="0.15"/>
    <row r="266" s="124" customFormat="1" x14ac:dyDescent="0.15"/>
    <row r="267" s="124" customFormat="1" x14ac:dyDescent="0.15"/>
    <row r="268" s="124" customFormat="1" x14ac:dyDescent="0.15"/>
    <row r="269" s="124" customFormat="1" x14ac:dyDescent="0.15"/>
    <row r="270" s="124" customFormat="1" x14ac:dyDescent="0.15"/>
    <row r="271" s="124" customFormat="1" x14ac:dyDescent="0.15"/>
    <row r="272" s="124" customFormat="1" x14ac:dyDescent="0.15"/>
    <row r="273" s="124" customFormat="1" x14ac:dyDescent="0.15"/>
    <row r="274" s="124" customFormat="1" x14ac:dyDescent="0.15"/>
    <row r="275" s="124" customFormat="1" x14ac:dyDescent="0.15"/>
    <row r="276" s="124" customFormat="1" x14ac:dyDescent="0.15"/>
    <row r="277" s="124" customFormat="1" x14ac:dyDescent="0.15"/>
    <row r="278" s="124" customFormat="1" x14ac:dyDescent="0.15"/>
    <row r="279" s="124" customFormat="1" x14ac:dyDescent="0.15"/>
    <row r="280" s="124" customFormat="1" x14ac:dyDescent="0.15"/>
    <row r="281" s="124" customFormat="1" x14ac:dyDescent="0.15"/>
    <row r="282" s="124" customFormat="1" x14ac:dyDescent="0.15"/>
    <row r="283" s="124" customFormat="1" x14ac:dyDescent="0.15"/>
    <row r="284" s="124" customFormat="1" x14ac:dyDescent="0.15"/>
    <row r="285" s="124" customFormat="1" x14ac:dyDescent="0.15"/>
    <row r="286" s="124" customFormat="1" x14ac:dyDescent="0.15"/>
    <row r="287" s="124" customFormat="1" x14ac:dyDescent="0.15"/>
    <row r="288" s="124" customFormat="1" x14ac:dyDescent="0.15"/>
    <row r="289" s="124" customFormat="1" x14ac:dyDescent="0.15"/>
    <row r="290" s="124" customFormat="1" x14ac:dyDescent="0.15"/>
    <row r="291" s="124" customFormat="1" x14ac:dyDescent="0.15"/>
    <row r="292" s="124" customFormat="1" x14ac:dyDescent="0.15"/>
    <row r="293" s="124" customFormat="1" x14ac:dyDescent="0.15"/>
    <row r="294" s="124" customFormat="1" x14ac:dyDescent="0.15"/>
    <row r="295" s="124" customFormat="1" x14ac:dyDescent="0.15"/>
    <row r="296" s="124" customFormat="1" x14ac:dyDescent="0.15"/>
    <row r="297" s="124" customFormat="1" x14ac:dyDescent="0.15"/>
    <row r="298" s="124" customFormat="1" x14ac:dyDescent="0.15"/>
    <row r="299" s="124" customFormat="1" x14ac:dyDescent="0.15"/>
    <row r="300" s="124" customFormat="1" x14ac:dyDescent="0.15"/>
  </sheetData>
  <sheetProtection algorithmName="SHA-512" hashValue="gh0r0SN2BmkY0WnV5priLmU499pwTjcKnEucZrvO73SG9SfF/sADCutuuBYBy/7M9S85H9BwMX4QLJHJN0E2JQ==" saltValue="UN8G3NYUYbMhQVcFVPE16Q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CQ253"/>
  <sheetViews>
    <sheetView workbookViewId="0">
      <selection activeCell="C5" sqref="C5"/>
    </sheetView>
  </sheetViews>
  <sheetFormatPr baseColWidth="10" defaultRowHeight="13" x14ac:dyDescent="0.15"/>
  <cols>
    <col min="1" max="1" width="15.83203125" style="34" customWidth="1"/>
    <col min="2" max="2" width="13.33203125" style="34" customWidth="1"/>
    <col min="3" max="8" width="12.1640625" style="34" customWidth="1"/>
    <col min="9" max="10" width="12.1640625" style="34" hidden="1" customWidth="1"/>
    <col min="11" max="15" width="12.1640625" style="34" customWidth="1"/>
    <col min="16" max="17" width="12.1640625" style="34" hidden="1" customWidth="1"/>
    <col min="18" max="21" width="12.1640625" style="34" customWidth="1"/>
    <col min="22" max="16384" width="10.83203125" style="34"/>
  </cols>
  <sheetData>
    <row r="1" spans="1:95" ht="14" x14ac:dyDescent="0.15">
      <c r="A1" s="97" t="s">
        <v>162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</row>
    <row r="2" spans="1:95" ht="14" x14ac:dyDescent="0.15">
      <c r="A2" s="99" t="s">
        <v>145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</row>
    <row r="3" spans="1:95" ht="15" thickBot="1" x14ac:dyDescent="0.2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</row>
    <row r="4" spans="1:95" ht="14" x14ac:dyDescent="0.15">
      <c r="A4" s="100" t="s">
        <v>146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2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</row>
    <row r="5" spans="1:95" ht="14" x14ac:dyDescent="0.15">
      <c r="A5" s="103" t="s">
        <v>257</v>
      </c>
      <c r="B5" s="52"/>
      <c r="C5" s="119">
        <v>7500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104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</row>
    <row r="6" spans="1:95" ht="14" x14ac:dyDescent="0.15">
      <c r="A6" s="103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104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</row>
    <row r="7" spans="1:95" ht="75" x14ac:dyDescent="0.15">
      <c r="A7" s="232" t="s">
        <v>57</v>
      </c>
      <c r="B7" s="233" t="s">
        <v>170</v>
      </c>
      <c r="C7" s="234" t="s">
        <v>171</v>
      </c>
      <c r="D7" s="234" t="s">
        <v>148</v>
      </c>
      <c r="E7" s="235" t="s">
        <v>149</v>
      </c>
      <c r="F7" s="235" t="s">
        <v>150</v>
      </c>
      <c r="G7" s="235" t="s">
        <v>151</v>
      </c>
      <c r="H7" s="235" t="s">
        <v>132</v>
      </c>
      <c r="I7" s="238" t="s">
        <v>133</v>
      </c>
      <c r="J7" s="237" t="s">
        <v>153</v>
      </c>
      <c r="K7" s="238" t="s">
        <v>134</v>
      </c>
      <c r="L7" s="239" t="s">
        <v>154</v>
      </c>
      <c r="M7" s="239" t="s">
        <v>127</v>
      </c>
      <c r="N7" s="239" t="s">
        <v>128</v>
      </c>
      <c r="O7" s="239" t="s">
        <v>129</v>
      </c>
      <c r="P7" s="236" t="s">
        <v>158</v>
      </c>
      <c r="Q7" s="236" t="s">
        <v>159</v>
      </c>
      <c r="R7" s="236" t="s">
        <v>160</v>
      </c>
      <c r="S7" s="236" t="s">
        <v>161</v>
      </c>
      <c r="T7" s="239" t="s">
        <v>130</v>
      </c>
      <c r="U7" s="240" t="s">
        <v>131</v>
      </c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</row>
    <row r="8" spans="1:95" x14ac:dyDescent="0.15">
      <c r="A8" s="105" t="str">
        <f>'Tariffs 2016'!F2</f>
        <v>ActewAGL</v>
      </c>
      <c r="B8" s="34" t="str">
        <f>'Tariffs 2016'!G2</f>
        <v>Home plan</v>
      </c>
      <c r="C8" s="49">
        <f>91*'Tariffs 2016'!H2/100</f>
        <v>57.266300000000001</v>
      </c>
      <c r="D8" s="49">
        <f>IF($C$5&gt;='Tariffs 2016'!J2,('Tariffs 2016'!J2*'Tariffs 2016'!O2/100),($C$5*'Tariffs 2016'!O2/100))</f>
        <v>103.26140000000001</v>
      </c>
      <c r="E8" s="49">
        <f>IF($C$5&lt;'Tariffs 2016'!J2,0,IF(($C$5-'Tariffs 2016'!J2)&lt;='Tariffs 2016'!K2,(($C$5-'Tariffs 2016'!J2)*'Tariffs 2016'!P2/100),(('Tariffs 2016'!K2-'Tariffs 2016'!J2)*'Tariffs 2016'!P2/100)))</f>
        <v>90.352800000000002</v>
      </c>
      <c r="F8" s="49">
        <f>IF($C$5&lt;'Tariffs 2016'!K2,0,IF(($C$5-'Tariffs 2016'!K2)&lt;='Tariffs 2016'!L2,(($C$5-'Tariffs 2016'!K2)*'Tariffs 2016'!Q2/100),(('Tariffs 2016'!L2-'Tariffs 2016'!K2)*'Tariffs 2016'!Q2/100)))</f>
        <v>0</v>
      </c>
      <c r="G8" s="49">
        <f>IF(($C$5&lt;'Tariffs 2016'!L2),(0),($C$5-'Tariffs 2016'!L2)*'Tariffs 2016'!R2/100)</f>
        <v>0</v>
      </c>
      <c r="H8" s="49">
        <f>SUM(C8:G8)</f>
        <v>250.88050000000001</v>
      </c>
      <c r="I8" s="49">
        <f>(H8-C8)*4</f>
        <v>774.45680000000004</v>
      </c>
      <c r="J8" s="106">
        <f>H8*4</f>
        <v>1003.522</v>
      </c>
      <c r="K8" s="107">
        <f>J8*1.1</f>
        <v>1103.8742000000002</v>
      </c>
      <c r="L8" s="34">
        <f>'Tariffs 2016'!AK2</f>
        <v>0</v>
      </c>
      <c r="M8" s="34">
        <f>'Tariffs 2016'!AL2</f>
        <v>0</v>
      </c>
      <c r="N8" s="34">
        <f>'Tariffs 2016'!AM2</f>
        <v>0</v>
      </c>
      <c r="O8" s="34">
        <f>'Tariffs 2016'!AN2</f>
        <v>0</v>
      </c>
      <c r="P8" s="107">
        <f>J8</f>
        <v>1003.522</v>
      </c>
      <c r="Q8" s="107">
        <f>P8</f>
        <v>1003.522</v>
      </c>
      <c r="R8" s="108">
        <f>P8*1.1</f>
        <v>1103.8742000000002</v>
      </c>
      <c r="S8" s="108">
        <f>Q8*1.1</f>
        <v>1103.8742000000002</v>
      </c>
      <c r="T8" s="109">
        <f>'Tariffs 2016'!AU2</f>
        <v>0</v>
      </c>
      <c r="U8" s="110" t="str">
        <f>'Tariffs 2016'!AV2</f>
        <v>n</v>
      </c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</row>
    <row r="9" spans="1:95" x14ac:dyDescent="0.15">
      <c r="A9" s="105" t="str">
        <f>'Tariffs 2016'!F3</f>
        <v>EnergyAustralia</v>
      </c>
      <c r="B9" s="34" t="str">
        <f>'Tariffs 2016'!G3</f>
        <v xml:space="preserve">Flexi Saver </v>
      </c>
      <c r="C9" s="49">
        <f>91*'Tariffs 2016'!H3/100</f>
        <v>60.660599999999995</v>
      </c>
      <c r="D9" s="49">
        <f>IF($C$5&gt;='Tariffs 2016'!J3,('Tariffs 2016'!J3*'Tariffs 2016'!O3/100),($C$5*'Tariffs 2016'!O3/100))</f>
        <v>107.12482</v>
      </c>
      <c r="E9" s="49">
        <f>IF($C$5&lt;'Tariffs 2016'!J3,0,IF(($C$5-'Tariffs 2016'!J3)&lt;='Tariffs 2016'!K3,(($C$5-'Tariffs 2016'!J3)*'Tariffs 2016'!P3/100),(('Tariffs 2016'!K3-'Tariffs 2016'!J3)*'Tariffs 2016'!P3/100)))</f>
        <v>97.154640000000001</v>
      </c>
      <c r="F9" s="49">
        <f>IF($C$5&lt;'Tariffs 2016'!K3,0,IF(($C$5-'Tariffs 2016'!K3)&lt;='Tariffs 2016'!L3,(($C$5-'Tariffs 2016'!K3)*'Tariffs 2016'!Q3/100),(('Tariffs 2016'!L3-'Tariffs 2016'!K3)*'Tariffs 2016'!Q3/100)))</f>
        <v>0</v>
      </c>
      <c r="G9" s="49">
        <f>IF(($C$5&lt;'Tariffs 2016'!L3),(0),($C$5-'Tariffs 2016'!L3)*'Tariffs 2016'!R3/100)</f>
        <v>0</v>
      </c>
      <c r="H9" s="49">
        <f t="shared" ref="H9:H10" si="0">SUM(C9:G9)</f>
        <v>264.94006000000002</v>
      </c>
      <c r="I9" s="49">
        <f t="shared" ref="I9:I10" si="1">(H9-C9)*4</f>
        <v>817.11784000000011</v>
      </c>
      <c r="J9" s="106">
        <f t="shared" ref="J9:J10" si="2">H9*4</f>
        <v>1059.7602400000001</v>
      </c>
      <c r="K9" s="107">
        <f t="shared" ref="K9:K10" si="3">J9*1.1</f>
        <v>1165.7362640000001</v>
      </c>
      <c r="L9" s="34">
        <f>'Tariffs 2016'!AK3</f>
        <v>0</v>
      </c>
      <c r="M9" s="34">
        <f>'Tariffs 2016'!AL3</f>
        <v>0</v>
      </c>
      <c r="N9" s="34">
        <f>'Tariffs 2016'!AM3</f>
        <v>0</v>
      </c>
      <c r="O9" s="34">
        <f>'Tariffs 2016'!AN3</f>
        <v>12</v>
      </c>
      <c r="P9" s="107">
        <f>J9</f>
        <v>1059.7602400000001</v>
      </c>
      <c r="Q9" s="107">
        <f>P9-(I9*O9/100)</f>
        <v>961.70609920000004</v>
      </c>
      <c r="R9" s="108">
        <f t="shared" ref="R9:R10" si="4">P9*1.1</f>
        <v>1165.7362640000001</v>
      </c>
      <c r="S9" s="108">
        <f t="shared" ref="S9:S10" si="5">Q9*1.1</f>
        <v>1057.8767091200002</v>
      </c>
      <c r="T9" s="109">
        <f>'Tariffs 2016'!AU3</f>
        <v>0</v>
      </c>
      <c r="U9" s="110" t="str">
        <f>'Tariffs 2016'!AV3</f>
        <v>n</v>
      </c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</row>
    <row r="10" spans="1:95" ht="14" thickBot="1" x14ac:dyDescent="0.2">
      <c r="A10" s="111" t="str">
        <f>'Tariffs 2016'!F4</f>
        <v>Origin Energy</v>
      </c>
      <c r="B10" s="112" t="str">
        <f>'Tariffs 2016'!G4</f>
        <v>Saver</v>
      </c>
      <c r="C10" s="113">
        <f>91*'Tariffs 2016'!H4/100</f>
        <v>56.993299999999998</v>
      </c>
      <c r="D10" s="113">
        <f>IF($C$5&gt;='Tariffs 2016'!J4,('Tariffs 2016'!J4*'Tariffs 2016'!O4/100),($C$5*'Tariffs 2016'!O4/100))</f>
        <v>103.26140000000001</v>
      </c>
      <c r="E10" s="113">
        <f>IF($C$5&lt;'Tariffs 2016'!J4,0,IF(($C$5-'Tariffs 2016'!J4)&lt;='Tariffs 2016'!K4,(($C$5-'Tariffs 2016'!J4)*'Tariffs 2016'!P4/100),(('Tariffs 2016'!K4-'Tariffs 2016'!J4)*'Tariffs 2016'!P4/100)))</f>
        <v>90.352800000000002</v>
      </c>
      <c r="F10" s="113">
        <f>IF($C$5&lt;'Tariffs 2016'!K4,0,IF(($C$5-'Tariffs 2016'!K4)&lt;='Tariffs 2016'!L4,(($C$5-'Tariffs 2016'!K4)*'Tariffs 2016'!Q4/100),(('Tariffs 2016'!L4-'Tariffs 2016'!K4)*'Tariffs 2016'!Q4/100)))</f>
        <v>0</v>
      </c>
      <c r="G10" s="113">
        <f>IF(($C$5&lt;'Tariffs 2016'!L4),(0),($C$5-'Tariffs 2016'!L4)*'Tariffs 2016'!R4/100)</f>
        <v>0</v>
      </c>
      <c r="H10" s="113">
        <f t="shared" si="0"/>
        <v>250.60750000000002</v>
      </c>
      <c r="I10" s="113">
        <f t="shared" si="1"/>
        <v>774.45680000000004</v>
      </c>
      <c r="J10" s="114">
        <f t="shared" si="2"/>
        <v>1002.4300000000001</v>
      </c>
      <c r="K10" s="115">
        <f t="shared" si="3"/>
        <v>1102.6730000000002</v>
      </c>
      <c r="L10" s="112">
        <f>'Tariffs 2016'!AK4</f>
        <v>0</v>
      </c>
      <c r="M10" s="112">
        <f>'Tariffs 2016'!AL4</f>
        <v>0</v>
      </c>
      <c r="N10" s="112">
        <f>'Tariffs 2016'!AM4</f>
        <v>0</v>
      </c>
      <c r="O10" s="112">
        <f>'Tariffs 2016'!AN4</f>
        <v>10</v>
      </c>
      <c r="P10" s="115">
        <f>J10</f>
        <v>1002.4300000000001</v>
      </c>
      <c r="Q10" s="115">
        <f>P10-(I10*O10/100)</f>
        <v>924.98432000000003</v>
      </c>
      <c r="R10" s="116">
        <f t="shared" si="4"/>
        <v>1102.6730000000002</v>
      </c>
      <c r="S10" s="116">
        <f t="shared" si="5"/>
        <v>1017.4827520000001</v>
      </c>
      <c r="T10" s="117">
        <f>'Tariffs 2016'!AU4</f>
        <v>0</v>
      </c>
      <c r="U10" s="118" t="str">
        <f>'Tariffs 2016'!AV4</f>
        <v>n</v>
      </c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</row>
    <row r="11" spans="1:95" x14ac:dyDescent="0.15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</row>
    <row r="12" spans="1:95" x14ac:dyDescent="0.15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</row>
    <row r="13" spans="1:95" x14ac:dyDescent="0.15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</row>
    <row r="14" spans="1:95" x14ac:dyDescent="0.15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</row>
    <row r="15" spans="1:95" x14ac:dyDescent="0.15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</row>
    <row r="16" spans="1:95" x14ac:dyDescent="0.15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</row>
    <row r="17" spans="1:95" x14ac:dyDescent="0.1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</row>
    <row r="18" spans="1:95" x14ac:dyDescent="0.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</row>
    <row r="19" spans="1:95" x14ac:dyDescent="0.15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</row>
    <row r="20" spans="1:95" x14ac:dyDescent="0.1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</row>
    <row r="21" spans="1:95" x14ac:dyDescent="0.1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</row>
    <row r="22" spans="1:95" x14ac:dyDescent="0.15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</row>
    <row r="23" spans="1:95" x14ac:dyDescent="0.15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</row>
    <row r="24" spans="1:95" x14ac:dyDescent="0.1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</row>
    <row r="25" spans="1:95" x14ac:dyDescent="0.15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</row>
    <row r="26" spans="1:95" x14ac:dyDescent="0.15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</row>
    <row r="27" spans="1:95" x14ac:dyDescent="0.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</row>
    <row r="28" spans="1:95" x14ac:dyDescent="0.15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</row>
    <row r="29" spans="1:95" x14ac:dyDescent="0.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</row>
    <row r="30" spans="1:95" x14ac:dyDescent="0.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</row>
    <row r="31" spans="1:95" x14ac:dyDescent="0.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</row>
    <row r="32" spans="1:95" x14ac:dyDescent="0.15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</row>
    <row r="33" spans="1:95" x14ac:dyDescent="0.1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</row>
    <row r="34" spans="1:95" x14ac:dyDescent="0.1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</row>
    <row r="35" spans="1:95" x14ac:dyDescent="0.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</row>
    <row r="36" spans="1:95" x14ac:dyDescent="0.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</row>
    <row r="37" spans="1:95" x14ac:dyDescent="0.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</row>
    <row r="38" spans="1:95" x14ac:dyDescent="0.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</row>
    <row r="39" spans="1:95" x14ac:dyDescent="0.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</row>
    <row r="40" spans="1:95" x14ac:dyDescent="0.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</row>
    <row r="41" spans="1:95" x14ac:dyDescent="0.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</row>
    <row r="42" spans="1:95" x14ac:dyDescent="0.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</row>
    <row r="43" spans="1:95" x14ac:dyDescent="0.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</row>
    <row r="44" spans="1:95" x14ac:dyDescent="0.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</row>
    <row r="45" spans="1:95" x14ac:dyDescent="0.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</row>
    <row r="46" spans="1:95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</row>
    <row r="47" spans="1:95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</row>
    <row r="48" spans="1:95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</row>
    <row r="49" spans="1:95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</row>
    <row r="50" spans="1:95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</row>
    <row r="51" spans="1:95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</row>
    <row r="52" spans="1:95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</row>
    <row r="53" spans="1:95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</row>
    <row r="54" spans="1:95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</row>
    <row r="55" spans="1:95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</row>
    <row r="56" spans="1:95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</row>
    <row r="57" spans="1:95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</row>
    <row r="58" spans="1:95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</row>
    <row r="59" spans="1:95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</row>
    <row r="60" spans="1:95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</row>
    <row r="61" spans="1:95" x14ac:dyDescent="0.1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</row>
    <row r="62" spans="1:95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</row>
    <row r="63" spans="1:95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</row>
    <row r="64" spans="1:95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</row>
    <row r="65" spans="1:95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</row>
    <row r="66" spans="1:95" x14ac:dyDescent="0.15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</row>
    <row r="67" spans="1:95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</row>
    <row r="68" spans="1:95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</row>
    <row r="69" spans="1:95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</row>
    <row r="70" spans="1:95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</row>
    <row r="71" spans="1:95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</row>
    <row r="72" spans="1:95" x14ac:dyDescent="0.15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</row>
    <row r="73" spans="1:95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</row>
    <row r="74" spans="1:95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</row>
    <row r="75" spans="1:95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</row>
    <row r="76" spans="1:95" x14ac:dyDescent="0.15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</row>
    <row r="77" spans="1:95" x14ac:dyDescent="0.15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</row>
    <row r="78" spans="1:95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</row>
    <row r="79" spans="1:95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</row>
    <row r="80" spans="1:95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</row>
    <row r="81" spans="1:95" x14ac:dyDescent="0.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</row>
    <row r="82" spans="1:95" x14ac:dyDescent="0.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</row>
    <row r="83" spans="1:95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</row>
    <row r="84" spans="1:95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</row>
    <row r="85" spans="1:95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</row>
    <row r="86" spans="1:95" x14ac:dyDescent="0.15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</row>
    <row r="87" spans="1:95" x14ac:dyDescent="0.15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</row>
    <row r="88" spans="1:95" x14ac:dyDescent="0.15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</row>
    <row r="89" spans="1:95" x14ac:dyDescent="0.15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</row>
    <row r="90" spans="1:95" x14ac:dyDescent="0.15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</row>
    <row r="91" spans="1:95" x14ac:dyDescent="0.15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</row>
    <row r="92" spans="1:95" x14ac:dyDescent="0.15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</row>
    <row r="93" spans="1:95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</row>
    <row r="94" spans="1:95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</row>
    <row r="95" spans="1:95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</row>
    <row r="96" spans="1:95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</row>
    <row r="97" spans="1:95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8"/>
      <c r="CB97" s="9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</row>
    <row r="98" spans="1:95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</row>
    <row r="99" spans="1:95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</row>
    <row r="100" spans="1:95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</row>
    <row r="101" spans="1:95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</row>
    <row r="102" spans="1:95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</row>
    <row r="103" spans="1:95" x14ac:dyDescent="0.15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</row>
    <row r="104" spans="1:95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</row>
    <row r="105" spans="1:95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</row>
    <row r="106" spans="1:95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</row>
    <row r="107" spans="1:95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</row>
    <row r="108" spans="1:95" x14ac:dyDescent="0.15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</row>
    <row r="109" spans="1:95" x14ac:dyDescent="0.1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</row>
    <row r="110" spans="1:95" x14ac:dyDescent="0.15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</row>
    <row r="111" spans="1:95" x14ac:dyDescent="0.15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</row>
    <row r="112" spans="1:95" x14ac:dyDescent="0.15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</row>
    <row r="113" spans="1:95" x14ac:dyDescent="0.15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</row>
    <row r="114" spans="1:95" x14ac:dyDescent="0.15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</row>
    <row r="115" spans="1:95" x14ac:dyDescent="0.15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</row>
    <row r="116" spans="1:95" x14ac:dyDescent="0.15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</row>
    <row r="117" spans="1:95" x14ac:dyDescent="0.15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</row>
    <row r="118" spans="1:95" x14ac:dyDescent="0.15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</row>
    <row r="119" spans="1:95" x14ac:dyDescent="0.15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</row>
    <row r="120" spans="1:95" x14ac:dyDescent="0.15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</row>
    <row r="121" spans="1:95" x14ac:dyDescent="0.15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</row>
    <row r="122" spans="1:95" x14ac:dyDescent="0.15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</row>
    <row r="123" spans="1:95" x14ac:dyDescent="0.15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</row>
    <row r="124" spans="1:95" x14ac:dyDescent="0.15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</row>
    <row r="125" spans="1:95" x14ac:dyDescent="0.15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</row>
    <row r="126" spans="1:95" x14ac:dyDescent="0.15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</row>
    <row r="127" spans="1:95" x14ac:dyDescent="0.15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</row>
    <row r="128" spans="1:95" x14ac:dyDescent="0.15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</row>
    <row r="129" spans="1:95" x14ac:dyDescent="0.15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</row>
    <row r="130" spans="1:95" x14ac:dyDescent="0.15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</row>
    <row r="131" spans="1:95" x14ac:dyDescent="0.15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</row>
    <row r="132" spans="1:95" x14ac:dyDescent="0.15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</row>
    <row r="133" spans="1:95" x14ac:dyDescent="0.15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</row>
    <row r="134" spans="1:95" x14ac:dyDescent="0.1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</row>
    <row r="135" spans="1:95" x14ac:dyDescent="0.15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</row>
    <row r="136" spans="1:95" x14ac:dyDescent="0.15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</row>
    <row r="137" spans="1:95" x14ac:dyDescent="0.15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</row>
    <row r="138" spans="1:95" x14ac:dyDescent="0.15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</row>
    <row r="139" spans="1:95" x14ac:dyDescent="0.15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</row>
    <row r="140" spans="1:95" x14ac:dyDescent="0.15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</row>
    <row r="141" spans="1:95" x14ac:dyDescent="0.15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</row>
    <row r="142" spans="1:95" x14ac:dyDescent="0.15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</row>
    <row r="143" spans="1:95" x14ac:dyDescent="0.15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</row>
    <row r="144" spans="1:95" x14ac:dyDescent="0.15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98"/>
      <c r="CC144" s="98"/>
      <c r="CD144" s="98"/>
      <c r="CE144" s="98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</row>
    <row r="145" spans="1:95" x14ac:dyDescent="0.15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</row>
    <row r="146" spans="1:95" x14ac:dyDescent="0.15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</row>
    <row r="147" spans="1:95" x14ac:dyDescent="0.15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8"/>
      <c r="CH147" s="98"/>
      <c r="CI147" s="98"/>
      <c r="CJ147" s="98"/>
      <c r="CK147" s="98"/>
      <c r="CL147" s="98"/>
      <c r="CM147" s="98"/>
      <c r="CN147" s="98"/>
      <c r="CO147" s="98"/>
      <c r="CP147" s="98"/>
      <c r="CQ147" s="98"/>
    </row>
    <row r="148" spans="1:95" x14ac:dyDescent="0.15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</row>
    <row r="149" spans="1:95" x14ac:dyDescent="0.15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8"/>
      <c r="CH149" s="98"/>
      <c r="CI149" s="98"/>
      <c r="CJ149" s="98"/>
      <c r="CK149" s="98"/>
      <c r="CL149" s="98"/>
      <c r="CM149" s="98"/>
      <c r="CN149" s="98"/>
      <c r="CO149" s="98"/>
      <c r="CP149" s="98"/>
      <c r="CQ149" s="98"/>
    </row>
    <row r="150" spans="1:95" x14ac:dyDescent="0.15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8"/>
      <c r="CH150" s="98"/>
      <c r="CI150" s="98"/>
      <c r="CJ150" s="98"/>
      <c r="CK150" s="98"/>
      <c r="CL150" s="98"/>
      <c r="CM150" s="98"/>
      <c r="CN150" s="98"/>
      <c r="CO150" s="98"/>
      <c r="CP150" s="98"/>
      <c r="CQ150" s="98"/>
    </row>
    <row r="151" spans="1:95" x14ac:dyDescent="0.15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</row>
    <row r="152" spans="1:95" x14ac:dyDescent="0.15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</row>
    <row r="153" spans="1:95" x14ac:dyDescent="0.15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</row>
    <row r="154" spans="1:95" x14ac:dyDescent="0.15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</row>
    <row r="155" spans="1:95" x14ac:dyDescent="0.15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</row>
    <row r="156" spans="1:95" x14ac:dyDescent="0.1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</row>
    <row r="157" spans="1:95" x14ac:dyDescent="0.1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</row>
    <row r="158" spans="1:95" x14ac:dyDescent="0.15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</row>
    <row r="159" spans="1:95" x14ac:dyDescent="0.15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</row>
    <row r="160" spans="1:95" x14ac:dyDescent="0.15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</row>
    <row r="161" spans="1:95" x14ac:dyDescent="0.15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</row>
    <row r="162" spans="1:95" x14ac:dyDescent="0.15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</row>
    <row r="163" spans="1:95" x14ac:dyDescent="0.15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</row>
    <row r="164" spans="1:95" x14ac:dyDescent="0.15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</row>
    <row r="165" spans="1:95" x14ac:dyDescent="0.15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</row>
    <row r="166" spans="1:95" x14ac:dyDescent="0.15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</row>
    <row r="167" spans="1:95" x14ac:dyDescent="0.15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</row>
    <row r="168" spans="1:95" x14ac:dyDescent="0.15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</row>
    <row r="169" spans="1:95" x14ac:dyDescent="0.15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</row>
    <row r="170" spans="1:95" x14ac:dyDescent="0.15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</row>
    <row r="171" spans="1:95" x14ac:dyDescent="0.15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  <c r="CQ171" s="98"/>
    </row>
    <row r="172" spans="1:95" x14ac:dyDescent="0.15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</row>
    <row r="173" spans="1:95" x14ac:dyDescent="0.15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</row>
    <row r="174" spans="1:95" x14ac:dyDescent="0.15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</row>
    <row r="175" spans="1:95" x14ac:dyDescent="0.1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</row>
    <row r="176" spans="1:95" x14ac:dyDescent="0.15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</row>
    <row r="177" spans="1:95" x14ac:dyDescent="0.15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</row>
    <row r="178" spans="1:95" x14ac:dyDescent="0.15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  <c r="CQ178" s="98"/>
    </row>
    <row r="179" spans="1:95" x14ac:dyDescent="0.15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</row>
    <row r="180" spans="1:95" x14ac:dyDescent="0.15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</row>
    <row r="181" spans="1:95" x14ac:dyDescent="0.15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</row>
    <row r="182" spans="1:95" x14ac:dyDescent="0.15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</row>
    <row r="183" spans="1:95" x14ac:dyDescent="0.15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</row>
    <row r="184" spans="1:95" x14ac:dyDescent="0.1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</row>
    <row r="185" spans="1:95" x14ac:dyDescent="0.1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</row>
    <row r="186" spans="1:95" x14ac:dyDescent="0.15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</row>
    <row r="187" spans="1:95" x14ac:dyDescent="0.15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  <c r="CQ187" s="98"/>
    </row>
    <row r="188" spans="1:95" x14ac:dyDescent="0.15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/>
      <c r="BZ188" s="98"/>
      <c r="CA188" s="98"/>
      <c r="CB188" s="98"/>
      <c r="CC188" s="98"/>
      <c r="CD188" s="98"/>
      <c r="CE188" s="98"/>
      <c r="CF188" s="98"/>
      <c r="CG188" s="98"/>
      <c r="CH188" s="98"/>
      <c r="CI188" s="98"/>
      <c r="CJ188" s="98"/>
      <c r="CK188" s="98"/>
      <c r="CL188" s="98"/>
      <c r="CM188" s="98"/>
      <c r="CN188" s="98"/>
      <c r="CO188" s="98"/>
      <c r="CP188" s="98"/>
      <c r="CQ188" s="98"/>
    </row>
    <row r="189" spans="1:95" x14ac:dyDescent="0.15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  <c r="CQ189" s="98"/>
    </row>
    <row r="190" spans="1:95" x14ac:dyDescent="0.15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/>
      <c r="BZ190" s="98"/>
      <c r="CA190" s="98"/>
      <c r="CB190" s="98"/>
      <c r="CC190" s="98"/>
      <c r="CD190" s="98"/>
      <c r="CE190" s="98"/>
      <c r="CF190" s="98"/>
      <c r="CG190" s="98"/>
      <c r="CH190" s="98"/>
      <c r="CI190" s="98"/>
      <c r="CJ190" s="98"/>
      <c r="CK190" s="98"/>
      <c r="CL190" s="98"/>
      <c r="CM190" s="98"/>
      <c r="CN190" s="98"/>
      <c r="CO190" s="98"/>
      <c r="CP190" s="98"/>
      <c r="CQ190" s="98"/>
    </row>
    <row r="191" spans="1:95" x14ac:dyDescent="0.15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  <c r="CQ191" s="98"/>
    </row>
    <row r="192" spans="1:95" x14ac:dyDescent="0.15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/>
      <c r="BZ192" s="98"/>
      <c r="CA192" s="98"/>
      <c r="CB192" s="98"/>
      <c r="CC192" s="98"/>
      <c r="CD192" s="98"/>
      <c r="CE192" s="98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</row>
    <row r="193" spans="1:95" x14ac:dyDescent="0.15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</row>
    <row r="194" spans="1:95" x14ac:dyDescent="0.15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</row>
    <row r="195" spans="1:95" x14ac:dyDescent="0.1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</row>
    <row r="196" spans="1:95" x14ac:dyDescent="0.15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</row>
    <row r="197" spans="1:95" x14ac:dyDescent="0.15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</row>
    <row r="198" spans="1:95" x14ac:dyDescent="0.15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</row>
    <row r="199" spans="1:95" x14ac:dyDescent="0.15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</row>
    <row r="200" spans="1:95" x14ac:dyDescent="0.15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</row>
    <row r="201" spans="1:95" x14ac:dyDescent="0.15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</row>
    <row r="202" spans="1:95" x14ac:dyDescent="0.15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</row>
    <row r="203" spans="1:95" x14ac:dyDescent="0.15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</row>
    <row r="204" spans="1:95" x14ac:dyDescent="0.15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</row>
    <row r="205" spans="1:95" x14ac:dyDescent="0.1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</row>
    <row r="206" spans="1:95" x14ac:dyDescent="0.15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</row>
    <row r="207" spans="1:95" x14ac:dyDescent="0.15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</row>
    <row r="208" spans="1:95" x14ac:dyDescent="0.15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</row>
    <row r="209" spans="1:95" x14ac:dyDescent="0.15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</row>
    <row r="210" spans="1:95" x14ac:dyDescent="0.15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</row>
    <row r="211" spans="1:95" x14ac:dyDescent="0.15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</row>
    <row r="212" spans="1:95" x14ac:dyDescent="0.15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</row>
    <row r="213" spans="1:95" x14ac:dyDescent="0.15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</row>
    <row r="214" spans="1:95" x14ac:dyDescent="0.15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</row>
    <row r="215" spans="1:95" x14ac:dyDescent="0.1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</row>
    <row r="216" spans="1:95" x14ac:dyDescent="0.15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</row>
    <row r="217" spans="1:95" x14ac:dyDescent="0.15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</row>
    <row r="218" spans="1:95" x14ac:dyDescent="0.15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</row>
    <row r="219" spans="1:95" x14ac:dyDescent="0.15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</row>
    <row r="220" spans="1:95" x14ac:dyDescent="0.15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</row>
    <row r="221" spans="1:95" x14ac:dyDescent="0.15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</row>
    <row r="222" spans="1:95" x14ac:dyDescent="0.15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</row>
    <row r="223" spans="1:95" x14ac:dyDescent="0.15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</row>
    <row r="224" spans="1:95" x14ac:dyDescent="0.15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</row>
    <row r="225" spans="1:95" x14ac:dyDescent="0.1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</row>
    <row r="226" spans="1:95" x14ac:dyDescent="0.15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</row>
    <row r="227" spans="1:95" x14ac:dyDescent="0.15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</row>
    <row r="228" spans="1:95" x14ac:dyDescent="0.15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</row>
    <row r="229" spans="1:95" x14ac:dyDescent="0.15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</row>
    <row r="230" spans="1:95" x14ac:dyDescent="0.15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</row>
    <row r="231" spans="1:95" x14ac:dyDescent="0.15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</row>
    <row r="232" spans="1:95" x14ac:dyDescent="0.15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</row>
    <row r="233" spans="1:95" x14ac:dyDescent="0.15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</row>
    <row r="234" spans="1:95" x14ac:dyDescent="0.15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</row>
    <row r="235" spans="1:95" x14ac:dyDescent="0.1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</row>
    <row r="236" spans="1:95" x14ac:dyDescent="0.15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</row>
    <row r="237" spans="1:95" x14ac:dyDescent="0.15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</row>
    <row r="238" spans="1:95" x14ac:dyDescent="0.15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</row>
    <row r="239" spans="1:95" x14ac:dyDescent="0.15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98"/>
      <c r="CD239" s="98"/>
      <c r="CE239" s="98"/>
      <c r="CF239" s="98"/>
      <c r="CG239" s="98"/>
      <c r="CH239" s="98"/>
      <c r="CI239" s="98"/>
      <c r="CJ239" s="98"/>
      <c r="CK239" s="98"/>
      <c r="CL239" s="98"/>
      <c r="CM239" s="98"/>
      <c r="CN239" s="98"/>
      <c r="CO239" s="98"/>
      <c r="CP239" s="98"/>
      <c r="CQ239" s="98"/>
    </row>
    <row r="240" spans="1:95" x14ac:dyDescent="0.15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  <c r="BY240" s="98"/>
      <c r="BZ240" s="98"/>
      <c r="CA240" s="98"/>
      <c r="CB240" s="98"/>
      <c r="CC240" s="98"/>
      <c r="CD240" s="98"/>
      <c r="CE240" s="98"/>
      <c r="CF240" s="98"/>
      <c r="CG240" s="98"/>
      <c r="CH240" s="98"/>
      <c r="CI240" s="98"/>
      <c r="CJ240" s="98"/>
      <c r="CK240" s="98"/>
      <c r="CL240" s="98"/>
      <c r="CM240" s="98"/>
      <c r="CN240" s="98"/>
      <c r="CO240" s="98"/>
      <c r="CP240" s="98"/>
      <c r="CQ240" s="98"/>
    </row>
    <row r="241" spans="1:95" x14ac:dyDescent="0.15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  <c r="BY241" s="98"/>
      <c r="BZ241" s="98"/>
      <c r="CA241" s="98"/>
      <c r="CB241" s="98"/>
      <c r="CC241" s="98"/>
      <c r="CD241" s="98"/>
      <c r="CE241" s="98"/>
      <c r="CF241" s="98"/>
      <c r="CG241" s="98"/>
      <c r="CH241" s="98"/>
      <c r="CI241" s="98"/>
      <c r="CJ241" s="98"/>
      <c r="CK241" s="98"/>
      <c r="CL241" s="98"/>
      <c r="CM241" s="98"/>
      <c r="CN241" s="98"/>
      <c r="CO241" s="98"/>
      <c r="CP241" s="98"/>
      <c r="CQ241" s="98"/>
    </row>
    <row r="242" spans="1:95" x14ac:dyDescent="0.15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  <c r="BY242" s="98"/>
      <c r="BZ242" s="98"/>
      <c r="CA242" s="98"/>
      <c r="CB242" s="98"/>
      <c r="CC242" s="98"/>
      <c r="CD242" s="98"/>
      <c r="CE242" s="98"/>
      <c r="CF242" s="98"/>
      <c r="CG242" s="98"/>
      <c r="CH242" s="98"/>
      <c r="CI242" s="98"/>
      <c r="CJ242" s="98"/>
      <c r="CK242" s="98"/>
      <c r="CL242" s="98"/>
      <c r="CM242" s="98"/>
      <c r="CN242" s="98"/>
      <c r="CO242" s="98"/>
      <c r="CP242" s="98"/>
      <c r="CQ242" s="98"/>
    </row>
    <row r="243" spans="1:95" x14ac:dyDescent="0.15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  <c r="BY243" s="98"/>
      <c r="BZ243" s="98"/>
      <c r="CA243" s="98"/>
      <c r="CB243" s="98"/>
      <c r="CC243" s="98"/>
      <c r="CD243" s="98"/>
      <c r="CE243" s="98"/>
      <c r="CF243" s="98"/>
      <c r="CG243" s="98"/>
      <c r="CH243" s="98"/>
      <c r="CI243" s="98"/>
      <c r="CJ243" s="98"/>
      <c r="CK243" s="98"/>
      <c r="CL243" s="98"/>
      <c r="CM243" s="98"/>
      <c r="CN243" s="98"/>
      <c r="CO243" s="98"/>
      <c r="CP243" s="98"/>
      <c r="CQ243" s="98"/>
    </row>
    <row r="244" spans="1:95" x14ac:dyDescent="0.15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  <c r="BY244" s="98"/>
      <c r="BZ244" s="98"/>
      <c r="CA244" s="98"/>
      <c r="CB244" s="98"/>
      <c r="CC244" s="98"/>
      <c r="CD244" s="98"/>
      <c r="CE244" s="98"/>
      <c r="CF244" s="98"/>
      <c r="CG244" s="98"/>
      <c r="CH244" s="98"/>
      <c r="CI244" s="98"/>
      <c r="CJ244" s="98"/>
      <c r="CK244" s="98"/>
      <c r="CL244" s="98"/>
      <c r="CM244" s="98"/>
      <c r="CN244" s="98"/>
      <c r="CO244" s="98"/>
      <c r="CP244" s="98"/>
      <c r="CQ244" s="98"/>
    </row>
    <row r="245" spans="1:95" x14ac:dyDescent="0.1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98"/>
      <c r="BY245" s="98"/>
      <c r="BZ245" s="98"/>
      <c r="CA245" s="98"/>
      <c r="CB245" s="98"/>
      <c r="CC245" s="98"/>
      <c r="CD245" s="98"/>
      <c r="CE245" s="98"/>
      <c r="CF245" s="98"/>
      <c r="CG245" s="98"/>
      <c r="CH245" s="98"/>
      <c r="CI245" s="98"/>
      <c r="CJ245" s="98"/>
      <c r="CK245" s="98"/>
      <c r="CL245" s="98"/>
      <c r="CM245" s="98"/>
      <c r="CN245" s="98"/>
      <c r="CO245" s="98"/>
      <c r="CP245" s="98"/>
      <c r="CQ245" s="98"/>
    </row>
    <row r="246" spans="1:95" x14ac:dyDescent="0.15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  <c r="BY246" s="98"/>
      <c r="BZ246" s="98"/>
      <c r="CA246" s="98"/>
      <c r="CB246" s="98"/>
      <c r="CC246" s="98"/>
      <c r="CD246" s="98"/>
      <c r="CE246" s="98"/>
      <c r="CF246" s="98"/>
      <c r="CG246" s="98"/>
      <c r="CH246" s="98"/>
      <c r="CI246" s="98"/>
      <c r="CJ246" s="98"/>
      <c r="CK246" s="98"/>
      <c r="CL246" s="98"/>
      <c r="CM246" s="98"/>
      <c r="CN246" s="98"/>
      <c r="CO246" s="98"/>
      <c r="CP246" s="98"/>
      <c r="CQ246" s="98"/>
    </row>
    <row r="247" spans="1:95" x14ac:dyDescent="0.15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  <c r="BY247" s="98"/>
      <c r="BZ247" s="98"/>
      <c r="CA247" s="98"/>
      <c r="CB247" s="98"/>
      <c r="CC247" s="98"/>
      <c r="CD247" s="98"/>
      <c r="CE247" s="98"/>
      <c r="CF247" s="98"/>
      <c r="CG247" s="98"/>
      <c r="CH247" s="98"/>
      <c r="CI247" s="98"/>
      <c r="CJ247" s="98"/>
      <c r="CK247" s="98"/>
      <c r="CL247" s="98"/>
      <c r="CM247" s="98"/>
      <c r="CN247" s="98"/>
      <c r="CO247" s="98"/>
      <c r="CP247" s="98"/>
      <c r="CQ247" s="98"/>
    </row>
    <row r="248" spans="1:95" x14ac:dyDescent="0.15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  <c r="BY248" s="98"/>
      <c r="BZ248" s="98"/>
      <c r="CA248" s="98"/>
      <c r="CB248" s="98"/>
      <c r="CC248" s="98"/>
      <c r="CD248" s="98"/>
      <c r="CE248" s="98"/>
      <c r="CF248" s="98"/>
      <c r="CG248" s="98"/>
      <c r="CH248" s="98"/>
      <c r="CI248" s="98"/>
      <c r="CJ248" s="98"/>
      <c r="CK248" s="98"/>
      <c r="CL248" s="98"/>
      <c r="CM248" s="98"/>
      <c r="CN248" s="98"/>
      <c r="CO248" s="98"/>
      <c r="CP248" s="98"/>
      <c r="CQ248" s="98"/>
    </row>
    <row r="249" spans="1:95" x14ac:dyDescent="0.15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  <c r="BY249" s="98"/>
      <c r="BZ249" s="98"/>
      <c r="CA249" s="98"/>
      <c r="CB249" s="98"/>
      <c r="CC249" s="98"/>
      <c r="CD249" s="98"/>
      <c r="CE249" s="98"/>
      <c r="CF249" s="98"/>
      <c r="CG249" s="98"/>
      <c r="CH249" s="98"/>
      <c r="CI249" s="98"/>
      <c r="CJ249" s="98"/>
      <c r="CK249" s="98"/>
      <c r="CL249" s="98"/>
      <c r="CM249" s="98"/>
      <c r="CN249" s="98"/>
      <c r="CO249" s="98"/>
      <c r="CP249" s="98"/>
      <c r="CQ249" s="98"/>
    </row>
    <row r="250" spans="1:95" x14ac:dyDescent="0.15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98"/>
      <c r="CD250" s="98"/>
      <c r="CE250" s="98"/>
      <c r="CF250" s="98"/>
      <c r="CG250" s="98"/>
      <c r="CH250" s="98"/>
      <c r="CI250" s="98"/>
      <c r="CJ250" s="98"/>
      <c r="CK250" s="98"/>
      <c r="CL250" s="98"/>
      <c r="CM250" s="98"/>
      <c r="CN250" s="98"/>
      <c r="CO250" s="98"/>
      <c r="CP250" s="98"/>
      <c r="CQ250" s="98"/>
    </row>
    <row r="251" spans="1:95" x14ac:dyDescent="0.15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  <c r="BY251" s="98"/>
      <c r="BZ251" s="98"/>
      <c r="CA251" s="98"/>
      <c r="CB251" s="98"/>
      <c r="CC251" s="98"/>
      <c r="CD251" s="98"/>
      <c r="CE251" s="98"/>
      <c r="CF251" s="98"/>
      <c r="CG251" s="98"/>
      <c r="CH251" s="98"/>
      <c r="CI251" s="98"/>
      <c r="CJ251" s="98"/>
      <c r="CK251" s="98"/>
      <c r="CL251" s="98"/>
      <c r="CM251" s="98"/>
      <c r="CN251" s="98"/>
      <c r="CO251" s="98"/>
      <c r="CP251" s="98"/>
      <c r="CQ251" s="98"/>
    </row>
    <row r="252" spans="1:95" x14ac:dyDescent="0.15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</row>
    <row r="253" spans="1:95" x14ac:dyDescent="0.15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</row>
  </sheetData>
  <sheetProtection algorithmName="SHA-512" hashValue="SK5R+dMVkWsNzPf0NIqnmEEP70U8zNn/32vH15nMYqXbEgt7TBg0QGUo4uoQcbTq2/Lq3R3ZVIcOMrmH+61I1Q==" saltValue="ZWljD3DYocHPbdkpVUAvqA==" spinCount="100000" sheet="1" objects="1" scenarios="1"/>
  <phoneticPr fontId="4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D03DCE-60CF-4CF3-B8AF-96C13CD09631}"/>
</file>

<file path=customXml/itemProps2.xml><?xml version="1.0" encoding="utf-8"?>
<ds:datastoreItem xmlns:ds="http://schemas.openxmlformats.org/officeDocument/2006/customXml" ds:itemID="{7FD2C536-C967-45A1-A38E-D70FE15CA4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Summary</vt:lpstr>
      <vt:lpstr>Bills 2023</vt:lpstr>
      <vt:lpstr>Bills 2022</vt:lpstr>
      <vt:lpstr>Bills 2021</vt:lpstr>
      <vt:lpstr>Bills 2020</vt:lpstr>
      <vt:lpstr>Bills 2019</vt:lpstr>
      <vt:lpstr>Bills 2018</vt:lpstr>
      <vt:lpstr>Bills 2017</vt:lpstr>
      <vt:lpstr>Bills 2016</vt:lpstr>
      <vt:lpstr>Bills 2015</vt:lpstr>
      <vt:lpstr>Bills 2014</vt:lpstr>
      <vt:lpstr>Bills 2013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2015</vt:lpstr>
      <vt:lpstr>Tariffs 2014</vt:lpstr>
      <vt:lpstr>Tariffs 2013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2013-08-20T08:03:19Z</dcterms:created>
  <dcterms:modified xsi:type="dcterms:W3CDTF">2023-11-27T03:07:28Z</dcterms:modified>
</cp:coreProperties>
</file>