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7.xml" ContentType="application/vnd.openxmlformats-officedocument.spreadsheetml.comments+xml"/>
  <Override PartName="/xl/comments36.xml" ContentType="application/vnd.openxmlformats-officedocument.spreadsheetml.comments+xml"/>
  <Override PartName="/xl/comments35.xml" ContentType="application/vnd.openxmlformats-officedocument.spreadsheetml.comments+xml"/>
  <Override PartName="/xl/comments34.xml" ContentType="application/vnd.openxmlformats-officedocument.spreadsheetml.comments+xml"/>
  <Override PartName="/xl/comments33.xml" ContentType="application/vnd.openxmlformats-officedocument.spreadsheetml.comments+xml"/>
  <Override PartName="/xl/comments32.xml" ContentType="application/vnd.openxmlformats-officedocument.spreadsheetml.comments+xml"/>
  <Override PartName="/xl/comments31.xml" ContentType="application/vnd.openxmlformats-officedocument.spreadsheetml.comments+xml"/>
  <Override PartName="/xl/comments30.xml" ContentType="application/vnd.openxmlformats-officedocument.spreadsheetml.comments+xml"/>
  <Override PartName="/xl/comments29.xml" ContentType="application/vnd.openxmlformats-officedocument.spreadsheetml.comments+xml"/>
  <Override PartName="/xl/comments28.xml" ContentType="application/vnd.openxmlformats-officedocument.spreadsheetml.comments+xml"/>
  <Override PartName="/xl/comments27.xml" ContentType="application/vnd.openxmlformats-officedocument.spreadsheetml.comments+xml"/>
  <Override PartName="/xl/comments26.xml" ContentType="application/vnd.openxmlformats-officedocument.spreadsheetml.comments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5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NSW/NSW Workbooks/Locked/"/>
    </mc:Choice>
  </mc:AlternateContent>
  <xr:revisionPtr revIDLastSave="0" documentId="13_ncr:1_{FF82CD5A-5507-944D-A6A9-FBF38977332C}" xr6:coauthVersionLast="47" xr6:coauthVersionMax="47" xr10:uidLastSave="{00000000-0000-0000-0000-000000000000}"/>
  <workbookProtection workbookAlgorithmName="SHA-512" workbookHashValue="OHRUE6GEUyAP2PvOr7QvrSvYRIAoSS6K3Erf3S1/mngutBQwXkRjY018ZXACKJ9DRddB+dOcaztoqZ+S47gkwg==" workbookSaltValue="wQxxZb2X39TVSM+nLVRtYg==" workbookSpinCount="100000" lockStructure="1"/>
  <bookViews>
    <workbookView xWindow="3020" yWindow="1340" windowWidth="38400" windowHeight="19580" tabRatio="825" activeTab="1" xr2:uid="{00000000-000D-0000-FFFF-FFFF00000000}"/>
  </bookViews>
  <sheets>
    <sheet name="Summary" sheetId="1" r:id="rId1"/>
    <sheet name="Bills Jul'23" sheetId="53" r:id="rId2"/>
    <sheet name="Bills Jul'22" sheetId="51" r:id="rId3"/>
    <sheet name="Bills Jul'21" sheetId="49" r:id="rId4"/>
    <sheet name="Bills Jul'20" sheetId="46" r:id="rId5"/>
    <sheet name="Bills Jul'19" sheetId="44" r:id="rId6"/>
    <sheet name="Bills Jul'18" sheetId="42" r:id="rId7"/>
    <sheet name="Bills Jul'17" sheetId="39" r:id="rId8"/>
    <sheet name="Bills Jul'16" sheetId="38" r:id="rId9"/>
    <sheet name="Bills Jul'15" sheetId="32" r:id="rId10"/>
    <sheet name="Bills Jul'14" sheetId="27" r:id="rId11"/>
    <sheet name="Bills Jul'13" sheetId="22" r:id="rId12"/>
    <sheet name="Bills Jul'12" sheetId="17" r:id="rId13"/>
    <sheet name="Bills Jul'11" sheetId="2" r:id="rId14"/>
    <sheet name="Bills Jul'10" sheetId="3" r:id="rId15"/>
    <sheet name="Bills Jul'09" sheetId="4" r:id="rId16"/>
    <sheet name="Tariffs 2023" sheetId="52" state="hidden" r:id="rId17"/>
    <sheet name="Tariffs 2022" sheetId="50" state="hidden" r:id="rId18"/>
    <sheet name="Tariffs 2021" sheetId="47" state="hidden" r:id="rId19"/>
    <sheet name="Tariffs 2020" sheetId="45" state="hidden" r:id="rId20"/>
    <sheet name="Tariffs 2019" sheetId="43" state="hidden" r:id="rId21"/>
    <sheet name="Tariffs 2018" sheetId="41" state="hidden" r:id="rId22"/>
    <sheet name="Tariffs 2017" sheetId="40" state="hidden" r:id="rId23"/>
    <sheet name="Tariffs 2016" sheetId="37" state="hidden" r:id="rId24"/>
    <sheet name="Jul'15 AGL" sheetId="33" state="hidden" r:id="rId25"/>
    <sheet name="Jul'15 Country" sheetId="34" state="hidden" r:id="rId26"/>
    <sheet name="Jul'15 Actew" sheetId="35" state="hidden" r:id="rId27"/>
    <sheet name="Jul'15 Origin" sheetId="36" state="hidden" r:id="rId28"/>
    <sheet name="Jul'14 AGL" sheetId="28" state="hidden" r:id="rId29"/>
    <sheet name="Jul'14 Country" sheetId="29" state="hidden" r:id="rId30"/>
    <sheet name="Jul'14 Actew" sheetId="30" state="hidden" r:id="rId31"/>
    <sheet name="Jul'14 Origin" sheetId="31" state="hidden" r:id="rId32"/>
    <sheet name="Jul'13 AGL" sheetId="23" state="hidden" r:id="rId33"/>
    <sheet name="Jul'13 Country" sheetId="24" state="hidden" r:id="rId34"/>
    <sheet name="Jul'13 Actew" sheetId="25" state="hidden" r:id="rId35"/>
    <sheet name="Jul'13 Origin" sheetId="26" state="hidden" r:id="rId36"/>
    <sheet name="Jul'12 AGL" sheetId="18" state="hidden" r:id="rId37"/>
    <sheet name="Jul'12 Country" sheetId="19" state="hidden" r:id="rId38"/>
    <sheet name="Jul'12 Actew" sheetId="20" state="hidden" r:id="rId39"/>
    <sheet name="Jul'12 Origin" sheetId="21" state="hidden" r:id="rId40"/>
    <sheet name="Jul'11 AGL" sheetId="5" state="hidden" r:id="rId41"/>
    <sheet name="Jul'11 Country" sheetId="6" state="hidden" r:id="rId42"/>
    <sheet name="Jul'11 Actew" sheetId="7" state="hidden" r:id="rId43"/>
    <sheet name="Jul'11 Origin" sheetId="8" state="hidden" r:id="rId44"/>
    <sheet name="Jul'10 AGL" sheetId="9" state="hidden" r:id="rId45"/>
    <sheet name="Jul'10 Country" sheetId="10" state="hidden" r:id="rId46"/>
    <sheet name="Jul'10 Actew" sheetId="11" state="hidden" r:id="rId47"/>
    <sheet name="Jul'10 Origin" sheetId="12" state="hidden" r:id="rId48"/>
    <sheet name="Jul'09 AGL" sheetId="13" state="hidden" r:id="rId49"/>
    <sheet name="Jul'09 Country" sheetId="14" state="hidden" r:id="rId50"/>
    <sheet name="Jul'09 Actew" sheetId="15" state="hidden" r:id="rId51"/>
    <sheet name="Jul'09 Origin" sheetId="16" state="hidden" r:id="rId5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45" i="53" l="1"/>
  <c r="B45" i="53"/>
  <c r="C45" i="53"/>
  <c r="D45" i="53"/>
  <c r="E45" i="53"/>
  <c r="K45" i="53"/>
  <c r="L45" i="53" s="1"/>
  <c r="M45" i="53" s="1"/>
  <c r="E17" i="53"/>
  <c r="F17" i="53"/>
  <c r="G17" i="53"/>
  <c r="J17" i="53"/>
  <c r="E19" i="53"/>
  <c r="E18" i="53"/>
  <c r="D18" i="53"/>
  <c r="K18" i="53" s="1"/>
  <c r="L18" i="53" s="1"/>
  <c r="M18" i="53" s="1"/>
  <c r="A18" i="53"/>
  <c r="B18" i="53"/>
  <c r="C18" i="53"/>
  <c r="A19" i="53"/>
  <c r="B19" i="53"/>
  <c r="C19" i="53"/>
  <c r="D19" i="53"/>
  <c r="K19" i="53" s="1"/>
  <c r="L19" i="53" s="1"/>
  <c r="M19" i="53" s="1"/>
  <c r="E44" i="53"/>
  <c r="D44" i="53"/>
  <c r="C44" i="53"/>
  <c r="B44" i="53"/>
  <c r="A44" i="53"/>
  <c r="E43" i="53"/>
  <c r="D43" i="53"/>
  <c r="C43" i="53"/>
  <c r="B43" i="53"/>
  <c r="A43" i="53"/>
  <c r="J42" i="53"/>
  <c r="G42" i="53"/>
  <c r="F42" i="53"/>
  <c r="E42" i="53"/>
  <c r="D42" i="53"/>
  <c r="C42" i="53"/>
  <c r="B42" i="53"/>
  <c r="A42" i="53"/>
  <c r="E41" i="53"/>
  <c r="D41" i="53"/>
  <c r="C41" i="53"/>
  <c r="B41" i="53"/>
  <c r="A41" i="53"/>
  <c r="E40" i="53"/>
  <c r="D40" i="53"/>
  <c r="C40" i="53"/>
  <c r="B40" i="53"/>
  <c r="A40" i="53"/>
  <c r="E39" i="53"/>
  <c r="D39" i="53"/>
  <c r="C39" i="53"/>
  <c r="B39" i="53"/>
  <c r="A39" i="53"/>
  <c r="E38" i="53"/>
  <c r="D38" i="53"/>
  <c r="C38" i="53"/>
  <c r="B38" i="53"/>
  <c r="A38" i="53"/>
  <c r="E37" i="53"/>
  <c r="D37" i="53"/>
  <c r="C37" i="53"/>
  <c r="B37" i="53"/>
  <c r="A37" i="53"/>
  <c r="E36" i="53"/>
  <c r="D36" i="53"/>
  <c r="C36" i="53"/>
  <c r="B36" i="53"/>
  <c r="A36" i="53"/>
  <c r="E35" i="53"/>
  <c r="D35" i="53"/>
  <c r="C35" i="53"/>
  <c r="B35" i="53"/>
  <c r="A35" i="53"/>
  <c r="E34" i="53"/>
  <c r="D34" i="53"/>
  <c r="C34" i="53"/>
  <c r="B34" i="53"/>
  <c r="A34" i="53"/>
  <c r="E33" i="53"/>
  <c r="D33" i="53"/>
  <c r="C33" i="53"/>
  <c r="B33" i="53"/>
  <c r="A33" i="53"/>
  <c r="J32" i="53"/>
  <c r="G32" i="53"/>
  <c r="F32" i="53"/>
  <c r="E32" i="53"/>
  <c r="D32" i="53"/>
  <c r="C32" i="53"/>
  <c r="B32" i="53"/>
  <c r="A32" i="53"/>
  <c r="J31" i="53"/>
  <c r="G31" i="53"/>
  <c r="F31" i="53"/>
  <c r="E31" i="53"/>
  <c r="D31" i="53"/>
  <c r="C31" i="53"/>
  <c r="B31" i="53"/>
  <c r="A31" i="53"/>
  <c r="J30" i="53"/>
  <c r="G30" i="53"/>
  <c r="F30" i="53"/>
  <c r="E30" i="53"/>
  <c r="D30" i="53"/>
  <c r="C30" i="53"/>
  <c r="B30" i="53"/>
  <c r="A30" i="53"/>
  <c r="J29" i="53"/>
  <c r="G29" i="53"/>
  <c r="F29" i="53"/>
  <c r="E29" i="53"/>
  <c r="D29" i="53"/>
  <c r="C29" i="53"/>
  <c r="B29" i="53"/>
  <c r="A29" i="53"/>
  <c r="J28" i="53"/>
  <c r="G28" i="53"/>
  <c r="F28" i="53"/>
  <c r="E28" i="53"/>
  <c r="D28" i="53"/>
  <c r="C28" i="53"/>
  <c r="B28" i="53"/>
  <c r="A28" i="53"/>
  <c r="J27" i="53"/>
  <c r="G27" i="53"/>
  <c r="F27" i="53"/>
  <c r="E27" i="53"/>
  <c r="D27" i="53"/>
  <c r="C27" i="53"/>
  <c r="B27" i="53"/>
  <c r="A27" i="53"/>
  <c r="J26" i="53"/>
  <c r="G26" i="53"/>
  <c r="F26" i="53"/>
  <c r="E26" i="53"/>
  <c r="D26" i="53"/>
  <c r="C26" i="53"/>
  <c r="B26" i="53"/>
  <c r="A26" i="53"/>
  <c r="J25" i="53"/>
  <c r="G25" i="53"/>
  <c r="F25" i="53"/>
  <c r="E25" i="53"/>
  <c r="D25" i="53"/>
  <c r="C25" i="53"/>
  <c r="B25" i="53"/>
  <c r="A25" i="53"/>
  <c r="E24" i="53"/>
  <c r="D24" i="53"/>
  <c r="C24" i="53"/>
  <c r="B24" i="53"/>
  <c r="A24" i="53"/>
  <c r="J23" i="53"/>
  <c r="G23" i="53"/>
  <c r="F23" i="53"/>
  <c r="E23" i="53"/>
  <c r="D23" i="53"/>
  <c r="C23" i="53"/>
  <c r="B23" i="53"/>
  <c r="A23" i="53"/>
  <c r="J22" i="53"/>
  <c r="G22" i="53"/>
  <c r="F22" i="53"/>
  <c r="E22" i="53"/>
  <c r="D22" i="53"/>
  <c r="C22" i="53"/>
  <c r="B22" i="53"/>
  <c r="A22" i="53"/>
  <c r="J21" i="53"/>
  <c r="G21" i="53"/>
  <c r="F21" i="53"/>
  <c r="E21" i="53"/>
  <c r="D21" i="53"/>
  <c r="C21" i="53"/>
  <c r="B21" i="53"/>
  <c r="A21" i="53"/>
  <c r="J20" i="53"/>
  <c r="G20" i="53"/>
  <c r="F20" i="53"/>
  <c r="E20" i="53"/>
  <c r="D20" i="53"/>
  <c r="C20" i="53"/>
  <c r="B20" i="53"/>
  <c r="A20" i="53"/>
  <c r="D17" i="53"/>
  <c r="C17" i="53"/>
  <c r="B17" i="53"/>
  <c r="A17" i="53"/>
  <c r="J16" i="53"/>
  <c r="G16" i="53"/>
  <c r="F16" i="53"/>
  <c r="E16" i="53"/>
  <c r="D16" i="53"/>
  <c r="C16" i="53"/>
  <c r="B16" i="53"/>
  <c r="A16" i="53"/>
  <c r="J15" i="53"/>
  <c r="G15" i="53"/>
  <c r="F15" i="53"/>
  <c r="E15" i="53"/>
  <c r="D15" i="53"/>
  <c r="C15" i="53"/>
  <c r="B15" i="53"/>
  <c r="A15" i="53"/>
  <c r="J14" i="53"/>
  <c r="G14" i="53"/>
  <c r="F14" i="53"/>
  <c r="E14" i="53"/>
  <c r="D14" i="53"/>
  <c r="C14" i="53"/>
  <c r="B14" i="53"/>
  <c r="A14" i="53"/>
  <c r="J13" i="53"/>
  <c r="G13" i="53"/>
  <c r="F13" i="53"/>
  <c r="E13" i="53"/>
  <c r="D13" i="53"/>
  <c r="C13" i="53"/>
  <c r="B13" i="53"/>
  <c r="A13" i="53"/>
  <c r="J12" i="53"/>
  <c r="G12" i="53"/>
  <c r="F12" i="53"/>
  <c r="E12" i="53"/>
  <c r="D12" i="53"/>
  <c r="C12" i="53"/>
  <c r="B12" i="53"/>
  <c r="A12" i="53"/>
  <c r="J11" i="53"/>
  <c r="G11" i="53"/>
  <c r="F11" i="53"/>
  <c r="E11" i="53"/>
  <c r="D11" i="53"/>
  <c r="C11" i="53"/>
  <c r="B11" i="53"/>
  <c r="A11" i="53"/>
  <c r="J10" i="53"/>
  <c r="G10" i="53"/>
  <c r="F10" i="53"/>
  <c r="E10" i="53"/>
  <c r="D10" i="53"/>
  <c r="C10" i="53"/>
  <c r="B10" i="53"/>
  <c r="A10" i="53"/>
  <c r="J9" i="53"/>
  <c r="I9" i="53"/>
  <c r="H9" i="53"/>
  <c r="G9" i="53"/>
  <c r="F9" i="53"/>
  <c r="E9" i="53"/>
  <c r="D9" i="53"/>
  <c r="C9" i="53"/>
  <c r="B9" i="53"/>
  <c r="A9" i="53"/>
  <c r="I8" i="53"/>
  <c r="H8" i="53"/>
  <c r="G8" i="53"/>
  <c r="F8" i="53"/>
  <c r="E8" i="53"/>
  <c r="D8" i="53"/>
  <c r="C8" i="53"/>
  <c r="B8" i="53"/>
  <c r="A8" i="53"/>
  <c r="J41" i="51"/>
  <c r="G41" i="51"/>
  <c r="F41" i="51"/>
  <c r="K41" i="51" s="1"/>
  <c r="L41" i="51" s="1"/>
  <c r="M41" i="51" s="1"/>
  <c r="E41" i="51"/>
  <c r="D41" i="51"/>
  <c r="E43" i="51"/>
  <c r="K43" i="51" s="1"/>
  <c r="L43" i="51" s="1"/>
  <c r="M43" i="51" s="1"/>
  <c r="D43" i="51"/>
  <c r="C43" i="51"/>
  <c r="B43" i="51"/>
  <c r="A43" i="51"/>
  <c r="E42" i="51"/>
  <c r="D42" i="51"/>
  <c r="C42" i="51"/>
  <c r="B42" i="51"/>
  <c r="A42" i="51"/>
  <c r="C41" i="51"/>
  <c r="B41" i="51"/>
  <c r="A41" i="51"/>
  <c r="E40" i="51"/>
  <c r="K40" i="51"/>
  <c r="L40" i="51" s="1"/>
  <c r="M40" i="51" s="1"/>
  <c r="D40" i="51"/>
  <c r="C40" i="51"/>
  <c r="B40" i="51"/>
  <c r="A40" i="51"/>
  <c r="E39" i="51"/>
  <c r="D39" i="51"/>
  <c r="K39" i="51"/>
  <c r="L39" i="51"/>
  <c r="M39" i="51" s="1"/>
  <c r="C39" i="51"/>
  <c r="B39" i="51"/>
  <c r="A39" i="51"/>
  <c r="E38" i="51"/>
  <c r="D38" i="51"/>
  <c r="K38" i="51"/>
  <c r="L38" i="51"/>
  <c r="M38" i="51" s="1"/>
  <c r="C38" i="51"/>
  <c r="B38" i="51"/>
  <c r="A38" i="51"/>
  <c r="E37" i="51"/>
  <c r="D37" i="51"/>
  <c r="C37" i="51"/>
  <c r="B37" i="51"/>
  <c r="A37" i="51"/>
  <c r="E36" i="51"/>
  <c r="D36" i="51"/>
  <c r="K36" i="51"/>
  <c r="L36" i="51"/>
  <c r="M36" i="51"/>
  <c r="C36" i="51"/>
  <c r="B36" i="51"/>
  <c r="A36" i="51"/>
  <c r="E35" i="51"/>
  <c r="K35" i="51"/>
  <c r="L35" i="51" s="1"/>
  <c r="M35" i="51" s="1"/>
  <c r="D35" i="51"/>
  <c r="C35" i="51"/>
  <c r="B35" i="51"/>
  <c r="A35" i="51"/>
  <c r="E34" i="51"/>
  <c r="D34" i="51"/>
  <c r="C34" i="51"/>
  <c r="B34" i="51"/>
  <c r="A34" i="51"/>
  <c r="E33" i="51"/>
  <c r="D33" i="51"/>
  <c r="C33" i="51"/>
  <c r="B33" i="51"/>
  <c r="A33" i="51"/>
  <c r="E32" i="51"/>
  <c r="D32" i="51"/>
  <c r="C32" i="51"/>
  <c r="B32" i="51"/>
  <c r="A32" i="51"/>
  <c r="J31" i="51"/>
  <c r="G31" i="51"/>
  <c r="F31" i="51"/>
  <c r="E31" i="51"/>
  <c r="D31" i="51"/>
  <c r="C31" i="51"/>
  <c r="B31" i="51"/>
  <c r="A31" i="51"/>
  <c r="J30" i="51"/>
  <c r="G30" i="51"/>
  <c r="F30" i="51"/>
  <c r="E30" i="51"/>
  <c r="D30" i="51"/>
  <c r="C30" i="51"/>
  <c r="B30" i="51"/>
  <c r="A30" i="51"/>
  <c r="J29" i="51"/>
  <c r="G29" i="51"/>
  <c r="F29" i="51"/>
  <c r="K29" i="51" s="1"/>
  <c r="L29" i="51" s="1"/>
  <c r="M29" i="51" s="1"/>
  <c r="E29" i="51"/>
  <c r="D29" i="51"/>
  <c r="C29" i="51"/>
  <c r="B29" i="51"/>
  <c r="A29" i="51"/>
  <c r="J28" i="51"/>
  <c r="G28" i="51"/>
  <c r="F28" i="51"/>
  <c r="E28" i="51"/>
  <c r="K28" i="51"/>
  <c r="L28" i="51" s="1"/>
  <c r="M28" i="51" s="1"/>
  <c r="D28" i="51"/>
  <c r="C28" i="51"/>
  <c r="B28" i="51"/>
  <c r="A28" i="51"/>
  <c r="J27" i="51"/>
  <c r="G27" i="51"/>
  <c r="K27" i="51" s="1"/>
  <c r="L27" i="51" s="1"/>
  <c r="M27" i="51" s="1"/>
  <c r="F27" i="51"/>
  <c r="E27" i="51"/>
  <c r="D27" i="51"/>
  <c r="C27" i="51"/>
  <c r="B27" i="51"/>
  <c r="A27" i="51"/>
  <c r="J26" i="51"/>
  <c r="G26" i="51"/>
  <c r="K26" i="51" s="1"/>
  <c r="L26" i="51" s="1"/>
  <c r="M26" i="51" s="1"/>
  <c r="F26" i="51"/>
  <c r="E26" i="51"/>
  <c r="D26" i="51"/>
  <c r="C26" i="51"/>
  <c r="B26" i="51"/>
  <c r="A26" i="51"/>
  <c r="J25" i="51"/>
  <c r="G25" i="51"/>
  <c r="K25" i="51" s="1"/>
  <c r="L25" i="51" s="1"/>
  <c r="M25" i="51" s="1"/>
  <c r="F25" i="51"/>
  <c r="E25" i="51"/>
  <c r="D25" i="51"/>
  <c r="C25" i="51"/>
  <c r="B25" i="51"/>
  <c r="A25" i="51"/>
  <c r="J24" i="51"/>
  <c r="G24" i="51"/>
  <c r="K24" i="51" s="1"/>
  <c r="L24" i="51" s="1"/>
  <c r="M24" i="51" s="1"/>
  <c r="F24" i="51"/>
  <c r="E24" i="51"/>
  <c r="D24" i="51"/>
  <c r="C24" i="51"/>
  <c r="B24" i="51"/>
  <c r="A24" i="51"/>
  <c r="E23" i="51"/>
  <c r="K23" i="51" s="1"/>
  <c r="L23" i="51" s="1"/>
  <c r="M23" i="51" s="1"/>
  <c r="D23" i="51"/>
  <c r="C23" i="51"/>
  <c r="B23" i="51"/>
  <c r="A23" i="51"/>
  <c r="J22" i="51"/>
  <c r="G22" i="51"/>
  <c r="K22" i="51" s="1"/>
  <c r="L22" i="51" s="1"/>
  <c r="M22" i="51" s="1"/>
  <c r="F22" i="51"/>
  <c r="E22" i="51"/>
  <c r="D22" i="51"/>
  <c r="C22" i="51"/>
  <c r="B22" i="51"/>
  <c r="A22" i="51"/>
  <c r="J21" i="51"/>
  <c r="G21" i="51"/>
  <c r="K21" i="51" s="1"/>
  <c r="L21" i="51" s="1"/>
  <c r="M21" i="51" s="1"/>
  <c r="F21" i="51"/>
  <c r="E21" i="51"/>
  <c r="D21" i="51"/>
  <c r="C21" i="51"/>
  <c r="B21" i="51"/>
  <c r="A21" i="51"/>
  <c r="J20" i="51"/>
  <c r="G20" i="51"/>
  <c r="K20" i="51" s="1"/>
  <c r="L20" i="51" s="1"/>
  <c r="M20" i="51" s="1"/>
  <c r="F20" i="51"/>
  <c r="E20" i="51"/>
  <c r="D20" i="51"/>
  <c r="C20" i="51"/>
  <c r="B20" i="51"/>
  <c r="A20" i="51"/>
  <c r="J19" i="51"/>
  <c r="G19" i="51"/>
  <c r="K19" i="51" s="1"/>
  <c r="L19" i="51" s="1"/>
  <c r="M19" i="51" s="1"/>
  <c r="F19" i="51"/>
  <c r="E19" i="51"/>
  <c r="D19" i="51"/>
  <c r="C19" i="51"/>
  <c r="B19" i="51"/>
  <c r="A19" i="51"/>
  <c r="J18" i="51"/>
  <c r="G18" i="51"/>
  <c r="K18" i="51" s="1"/>
  <c r="L18" i="51" s="1"/>
  <c r="M18" i="51" s="1"/>
  <c r="F18" i="51"/>
  <c r="E18" i="51"/>
  <c r="D18" i="51"/>
  <c r="C18" i="51"/>
  <c r="B18" i="51"/>
  <c r="A18" i="51"/>
  <c r="J17" i="51"/>
  <c r="G17" i="51"/>
  <c r="F17" i="51"/>
  <c r="E17" i="51"/>
  <c r="D17" i="51"/>
  <c r="C17" i="51"/>
  <c r="B17" i="51"/>
  <c r="A17" i="51"/>
  <c r="J16" i="51"/>
  <c r="G16" i="51"/>
  <c r="K16" i="51" s="1"/>
  <c r="L16" i="51" s="1"/>
  <c r="M16" i="51" s="1"/>
  <c r="F16" i="51"/>
  <c r="E16" i="51"/>
  <c r="D16" i="51"/>
  <c r="C16" i="51"/>
  <c r="B16" i="51"/>
  <c r="A16" i="51"/>
  <c r="J15" i="51"/>
  <c r="G15" i="51"/>
  <c r="K15" i="51" s="1"/>
  <c r="L15" i="51" s="1"/>
  <c r="M15" i="51" s="1"/>
  <c r="E15" i="51"/>
  <c r="F15" i="51"/>
  <c r="D15" i="51"/>
  <c r="C15" i="51"/>
  <c r="B15" i="51"/>
  <c r="A15" i="51"/>
  <c r="J14" i="51"/>
  <c r="G14" i="51"/>
  <c r="F14" i="51"/>
  <c r="E14" i="51"/>
  <c r="D14" i="51"/>
  <c r="C14" i="51"/>
  <c r="B14" i="51"/>
  <c r="A14" i="51"/>
  <c r="J13" i="51"/>
  <c r="G13" i="51"/>
  <c r="F13" i="51"/>
  <c r="E13" i="51"/>
  <c r="D13" i="51"/>
  <c r="C13" i="51"/>
  <c r="B13" i="51"/>
  <c r="A13" i="51"/>
  <c r="J12" i="51"/>
  <c r="G12" i="51"/>
  <c r="F12" i="51"/>
  <c r="E12" i="51"/>
  <c r="D12" i="51"/>
  <c r="C12" i="51"/>
  <c r="B12" i="51"/>
  <c r="A12" i="51"/>
  <c r="J11" i="51"/>
  <c r="G11" i="51"/>
  <c r="F11" i="51"/>
  <c r="E11" i="51"/>
  <c r="D11" i="51"/>
  <c r="C11" i="51"/>
  <c r="B11" i="51"/>
  <c r="A11" i="51"/>
  <c r="J10" i="51"/>
  <c r="G10" i="51"/>
  <c r="F10" i="51"/>
  <c r="E10" i="51"/>
  <c r="D10" i="51"/>
  <c r="C10" i="51"/>
  <c r="B10" i="51"/>
  <c r="A10" i="51"/>
  <c r="J9" i="51"/>
  <c r="I9" i="51"/>
  <c r="H9" i="51"/>
  <c r="G9" i="51"/>
  <c r="F9" i="51"/>
  <c r="E9" i="51"/>
  <c r="D9" i="51"/>
  <c r="C9" i="51"/>
  <c r="B9" i="51"/>
  <c r="A9" i="51"/>
  <c r="I8" i="51"/>
  <c r="H8" i="51"/>
  <c r="G8" i="51"/>
  <c r="F8" i="51"/>
  <c r="E8" i="51"/>
  <c r="K8" i="51" s="1"/>
  <c r="L8" i="51" s="1"/>
  <c r="M8" i="51" s="1"/>
  <c r="D8" i="51"/>
  <c r="C8" i="51"/>
  <c r="B8" i="51"/>
  <c r="A8" i="51"/>
  <c r="K32" i="51"/>
  <c r="L32" i="51"/>
  <c r="M32" i="51"/>
  <c r="K14" i="51"/>
  <c r="L14" i="51" s="1"/>
  <c r="M14" i="51" s="1"/>
  <c r="E43" i="49"/>
  <c r="D43" i="49"/>
  <c r="C43" i="49"/>
  <c r="B43" i="49"/>
  <c r="A43" i="49"/>
  <c r="E42" i="49"/>
  <c r="K42" i="49"/>
  <c r="L42" i="49"/>
  <c r="M42" i="49"/>
  <c r="D42" i="49"/>
  <c r="C42" i="49"/>
  <c r="B42" i="49"/>
  <c r="A42" i="49"/>
  <c r="E41" i="49"/>
  <c r="K41" i="49"/>
  <c r="L41" i="49"/>
  <c r="M41" i="49"/>
  <c r="D41" i="49"/>
  <c r="C41" i="49"/>
  <c r="B41" i="49"/>
  <c r="A41" i="49"/>
  <c r="E40" i="49"/>
  <c r="D40" i="49"/>
  <c r="C40" i="49"/>
  <c r="B40" i="49"/>
  <c r="A40" i="49"/>
  <c r="E39" i="49"/>
  <c r="D39" i="49"/>
  <c r="C39" i="49"/>
  <c r="B39" i="49"/>
  <c r="A39" i="49"/>
  <c r="E38" i="49"/>
  <c r="D38" i="49"/>
  <c r="C38" i="49"/>
  <c r="B38" i="49"/>
  <c r="A38" i="49"/>
  <c r="E37" i="49"/>
  <c r="K37" i="49"/>
  <c r="L37" i="49"/>
  <c r="M37" i="49"/>
  <c r="D37" i="49"/>
  <c r="C37" i="49"/>
  <c r="B37" i="49"/>
  <c r="A37" i="49"/>
  <c r="E36" i="49"/>
  <c r="D36" i="49"/>
  <c r="C36" i="49"/>
  <c r="B36" i="49"/>
  <c r="A36" i="49"/>
  <c r="E35" i="49"/>
  <c r="D35" i="49"/>
  <c r="C35" i="49"/>
  <c r="B35" i="49"/>
  <c r="A35" i="49"/>
  <c r="E34" i="49"/>
  <c r="K34" i="49"/>
  <c r="L34" i="49"/>
  <c r="M34" i="49"/>
  <c r="D34" i="49"/>
  <c r="C34" i="49"/>
  <c r="B34" i="49"/>
  <c r="A34" i="49"/>
  <c r="E33" i="49"/>
  <c r="D33" i="49"/>
  <c r="K33" i="49"/>
  <c r="L33" i="49"/>
  <c r="M33" i="49"/>
  <c r="C33" i="49"/>
  <c r="B33" i="49"/>
  <c r="A33" i="49"/>
  <c r="E32" i="49"/>
  <c r="K32" i="49"/>
  <c r="L32" i="49"/>
  <c r="M32" i="49"/>
  <c r="D32" i="49"/>
  <c r="C32" i="49"/>
  <c r="B32" i="49"/>
  <c r="A32" i="49"/>
  <c r="J31" i="49"/>
  <c r="G31" i="49"/>
  <c r="F31" i="49"/>
  <c r="E31" i="49"/>
  <c r="K31" i="49"/>
  <c r="L31" i="49"/>
  <c r="M31" i="49"/>
  <c r="D31" i="49"/>
  <c r="C31" i="49"/>
  <c r="B31" i="49"/>
  <c r="A31" i="49"/>
  <c r="J30" i="49"/>
  <c r="G30" i="49"/>
  <c r="F30" i="49"/>
  <c r="E30" i="49"/>
  <c r="D30" i="49"/>
  <c r="C30" i="49"/>
  <c r="B30" i="49"/>
  <c r="A30" i="49"/>
  <c r="J29" i="49"/>
  <c r="G29" i="49"/>
  <c r="F29" i="49"/>
  <c r="E29" i="49"/>
  <c r="K29" i="49"/>
  <c r="L29" i="49"/>
  <c r="M29" i="49"/>
  <c r="D29" i="49"/>
  <c r="C29" i="49"/>
  <c r="B29" i="49"/>
  <c r="A29" i="49"/>
  <c r="J28" i="49"/>
  <c r="G28" i="49"/>
  <c r="F28" i="49"/>
  <c r="E28" i="49"/>
  <c r="K28" i="49"/>
  <c r="L28" i="49"/>
  <c r="M28" i="49"/>
  <c r="D28" i="49"/>
  <c r="C28" i="49"/>
  <c r="B28" i="49"/>
  <c r="A28" i="49"/>
  <c r="J27" i="49"/>
  <c r="G27" i="49"/>
  <c r="F27" i="49"/>
  <c r="E27" i="49"/>
  <c r="D27" i="49"/>
  <c r="C27" i="49"/>
  <c r="B27" i="49"/>
  <c r="A27" i="49"/>
  <c r="J26" i="49"/>
  <c r="G26" i="49"/>
  <c r="F26" i="49"/>
  <c r="E26" i="49"/>
  <c r="K26" i="49"/>
  <c r="L26" i="49"/>
  <c r="M26" i="49"/>
  <c r="D26" i="49"/>
  <c r="C26" i="49"/>
  <c r="B26" i="49"/>
  <c r="A26" i="49"/>
  <c r="J25" i="49"/>
  <c r="G25" i="49"/>
  <c r="F25" i="49"/>
  <c r="E25" i="49"/>
  <c r="D25" i="49"/>
  <c r="C25" i="49"/>
  <c r="B25" i="49"/>
  <c r="A25" i="49"/>
  <c r="J24" i="49"/>
  <c r="G24" i="49"/>
  <c r="F24" i="49"/>
  <c r="E24" i="49"/>
  <c r="K24" i="49"/>
  <c r="L24" i="49"/>
  <c r="M24" i="49"/>
  <c r="D24" i="49"/>
  <c r="C24" i="49"/>
  <c r="B24" i="49"/>
  <c r="A24" i="49"/>
  <c r="E23" i="49"/>
  <c r="D23" i="49"/>
  <c r="K23" i="49"/>
  <c r="L23" i="49"/>
  <c r="M23" i="49"/>
  <c r="C23" i="49"/>
  <c r="B23" i="49"/>
  <c r="A23" i="49"/>
  <c r="J22" i="49"/>
  <c r="G22" i="49"/>
  <c r="F22" i="49"/>
  <c r="E22" i="49"/>
  <c r="D22" i="49"/>
  <c r="K22" i="49"/>
  <c r="L22" i="49"/>
  <c r="M22" i="49"/>
  <c r="C22" i="49"/>
  <c r="B22" i="49"/>
  <c r="A22" i="49"/>
  <c r="J21" i="49"/>
  <c r="G21" i="49"/>
  <c r="F21" i="49"/>
  <c r="E21" i="49"/>
  <c r="K21" i="49"/>
  <c r="L21" i="49"/>
  <c r="M21" i="49"/>
  <c r="D21" i="49"/>
  <c r="C21" i="49"/>
  <c r="B21" i="49"/>
  <c r="A21" i="49"/>
  <c r="J20" i="49"/>
  <c r="G20" i="49"/>
  <c r="F20" i="49"/>
  <c r="E20" i="49"/>
  <c r="D20" i="49"/>
  <c r="K20" i="49"/>
  <c r="L20" i="49"/>
  <c r="M20" i="49"/>
  <c r="C20" i="49"/>
  <c r="B20" i="49"/>
  <c r="A20" i="49"/>
  <c r="J19" i="49"/>
  <c r="G19" i="49"/>
  <c r="F19" i="49"/>
  <c r="E19" i="49"/>
  <c r="K19" i="49"/>
  <c r="L19" i="49"/>
  <c r="M19" i="49"/>
  <c r="D19" i="49"/>
  <c r="C19" i="49"/>
  <c r="B19" i="49"/>
  <c r="A19" i="49"/>
  <c r="J18" i="49"/>
  <c r="G18" i="49"/>
  <c r="K18" i="49"/>
  <c r="L18" i="49"/>
  <c r="M18" i="49"/>
  <c r="F18" i="49"/>
  <c r="E18" i="49"/>
  <c r="D18" i="49"/>
  <c r="C18" i="49"/>
  <c r="B18" i="49"/>
  <c r="A18" i="49"/>
  <c r="J17" i="49"/>
  <c r="G17" i="49"/>
  <c r="F17" i="49"/>
  <c r="E17" i="49"/>
  <c r="D17" i="49"/>
  <c r="K17" i="49"/>
  <c r="L17" i="49"/>
  <c r="M17" i="49"/>
  <c r="C17" i="49"/>
  <c r="B17" i="49"/>
  <c r="A17" i="49"/>
  <c r="J16" i="49"/>
  <c r="G16" i="49"/>
  <c r="F16" i="49"/>
  <c r="E16" i="49"/>
  <c r="K16" i="49"/>
  <c r="L16" i="49"/>
  <c r="M16" i="49"/>
  <c r="D16" i="49"/>
  <c r="C16" i="49"/>
  <c r="B16" i="49"/>
  <c r="A16" i="49"/>
  <c r="J15" i="49"/>
  <c r="G15" i="49"/>
  <c r="K15" i="49"/>
  <c r="L15" i="49"/>
  <c r="M15" i="49"/>
  <c r="F15" i="49"/>
  <c r="E15" i="49"/>
  <c r="D15" i="49"/>
  <c r="C15" i="49"/>
  <c r="B15" i="49"/>
  <c r="A15" i="49"/>
  <c r="J14" i="49"/>
  <c r="G14" i="49"/>
  <c r="F14" i="49"/>
  <c r="E14" i="49"/>
  <c r="D14" i="49"/>
  <c r="K14" i="49"/>
  <c r="L14" i="49"/>
  <c r="M14" i="49"/>
  <c r="C14" i="49"/>
  <c r="B14" i="49"/>
  <c r="A14" i="49"/>
  <c r="J13" i="49"/>
  <c r="G13" i="49"/>
  <c r="F13" i="49"/>
  <c r="E13" i="49"/>
  <c r="K13" i="49"/>
  <c r="L13" i="49"/>
  <c r="M13" i="49"/>
  <c r="D13" i="49"/>
  <c r="C13" i="49"/>
  <c r="B13" i="49"/>
  <c r="A13" i="49"/>
  <c r="J12" i="49"/>
  <c r="G12" i="49"/>
  <c r="F12" i="49"/>
  <c r="E12" i="49"/>
  <c r="D12" i="49"/>
  <c r="K12" i="49"/>
  <c r="L12" i="49"/>
  <c r="M12" i="49"/>
  <c r="C12" i="49"/>
  <c r="B12" i="49"/>
  <c r="A12" i="49"/>
  <c r="J11" i="49"/>
  <c r="G11" i="49"/>
  <c r="F11" i="49"/>
  <c r="E11" i="49"/>
  <c r="K11" i="49"/>
  <c r="L11" i="49"/>
  <c r="M11" i="49"/>
  <c r="D11" i="49"/>
  <c r="C11" i="49"/>
  <c r="B11" i="49"/>
  <c r="A11" i="49"/>
  <c r="J10" i="49"/>
  <c r="G10" i="49"/>
  <c r="K10" i="49"/>
  <c r="L10" i="49"/>
  <c r="M10" i="49"/>
  <c r="F10" i="49"/>
  <c r="E10" i="49"/>
  <c r="D10" i="49"/>
  <c r="C10" i="49"/>
  <c r="B10" i="49"/>
  <c r="A10" i="49"/>
  <c r="J9" i="49"/>
  <c r="I9" i="49"/>
  <c r="H9" i="49"/>
  <c r="G9" i="49"/>
  <c r="F9" i="49"/>
  <c r="E9" i="49"/>
  <c r="K9" i="49"/>
  <c r="L9" i="49"/>
  <c r="M9" i="49"/>
  <c r="D9" i="49"/>
  <c r="C9" i="49"/>
  <c r="B9" i="49"/>
  <c r="A9" i="49"/>
  <c r="I8" i="49"/>
  <c r="H8" i="49"/>
  <c r="G8" i="49"/>
  <c r="F8" i="49"/>
  <c r="E8" i="49"/>
  <c r="K8" i="49"/>
  <c r="L8" i="49"/>
  <c r="M8" i="49"/>
  <c r="D8" i="49"/>
  <c r="C8" i="49"/>
  <c r="B8" i="49"/>
  <c r="A8" i="49"/>
  <c r="K43" i="49"/>
  <c r="L43" i="49"/>
  <c r="M43" i="49"/>
  <c r="K40" i="49"/>
  <c r="L40" i="49"/>
  <c r="M40" i="49"/>
  <c r="K38" i="49"/>
  <c r="L38" i="49"/>
  <c r="M38" i="49"/>
  <c r="K35" i="49"/>
  <c r="L35" i="49"/>
  <c r="M35" i="49"/>
  <c r="I8" i="46"/>
  <c r="H8" i="46"/>
  <c r="G8" i="46"/>
  <c r="K8" i="46" s="1"/>
  <c r="L8" i="46" s="1"/>
  <c r="M8" i="46" s="1"/>
  <c r="F8" i="46"/>
  <c r="E8" i="46"/>
  <c r="F33" i="46"/>
  <c r="F32" i="46"/>
  <c r="F29" i="46"/>
  <c r="K29" i="46" s="1"/>
  <c r="L29" i="46" s="1"/>
  <c r="M29" i="46" s="1"/>
  <c r="F28" i="46"/>
  <c r="F24" i="44"/>
  <c r="K24" i="44" s="1"/>
  <c r="L24" i="44" s="1"/>
  <c r="M24" i="44" s="1"/>
  <c r="F27" i="44"/>
  <c r="K27" i="44" s="1"/>
  <c r="L27" i="44" s="1"/>
  <c r="M27" i="44" s="1"/>
  <c r="F26" i="44"/>
  <c r="F23" i="44"/>
  <c r="K39" i="49"/>
  <c r="L39" i="49"/>
  <c r="M39" i="49"/>
  <c r="K25" i="49"/>
  <c r="L25" i="49"/>
  <c r="M25" i="49"/>
  <c r="K30" i="49"/>
  <c r="L30" i="49"/>
  <c r="M30" i="49"/>
  <c r="K27" i="49"/>
  <c r="L27" i="49"/>
  <c r="M27" i="49"/>
  <c r="K36" i="49"/>
  <c r="L36" i="49"/>
  <c r="M36" i="49"/>
  <c r="E27" i="46"/>
  <c r="J27" i="46"/>
  <c r="G27" i="46"/>
  <c r="F27" i="46"/>
  <c r="K27" i="46" s="1"/>
  <c r="L27" i="46" s="1"/>
  <c r="M27" i="46" s="1"/>
  <c r="D27" i="46"/>
  <c r="E43" i="46"/>
  <c r="K43" i="46"/>
  <c r="L43" i="46" s="1"/>
  <c r="M43" i="46" s="1"/>
  <c r="D43" i="46"/>
  <c r="C43" i="46"/>
  <c r="B43" i="46"/>
  <c r="A43" i="46"/>
  <c r="E42" i="46"/>
  <c r="K42" i="46" s="1"/>
  <c r="L42" i="46" s="1"/>
  <c r="M42" i="46" s="1"/>
  <c r="D42" i="46"/>
  <c r="C42" i="46"/>
  <c r="B42" i="46"/>
  <c r="A42" i="46"/>
  <c r="E44" i="46"/>
  <c r="K44" i="46"/>
  <c r="L44" i="46" s="1"/>
  <c r="M44" i="46" s="1"/>
  <c r="D44" i="46"/>
  <c r="C44" i="46"/>
  <c r="B44" i="46"/>
  <c r="A44" i="46"/>
  <c r="E37" i="46"/>
  <c r="K37" i="46" s="1"/>
  <c r="L37" i="46" s="1"/>
  <c r="M37" i="46" s="1"/>
  <c r="D37" i="46"/>
  <c r="C37" i="46"/>
  <c r="B37" i="46"/>
  <c r="A37" i="46"/>
  <c r="E38" i="46"/>
  <c r="D38" i="46"/>
  <c r="C38" i="46"/>
  <c r="B38" i="46"/>
  <c r="A38" i="46"/>
  <c r="J32" i="46"/>
  <c r="G32" i="46"/>
  <c r="E32" i="46"/>
  <c r="D32" i="46"/>
  <c r="C32" i="46"/>
  <c r="B32" i="46"/>
  <c r="A32" i="46"/>
  <c r="J33" i="46"/>
  <c r="K33" i="46" s="1"/>
  <c r="L33" i="46" s="1"/>
  <c r="M33" i="46" s="1"/>
  <c r="G33" i="46"/>
  <c r="E33" i="46"/>
  <c r="D33" i="46"/>
  <c r="C33" i="46"/>
  <c r="B33" i="46"/>
  <c r="A33" i="46"/>
  <c r="J29" i="46"/>
  <c r="G29" i="46"/>
  <c r="E29" i="46"/>
  <c r="D29" i="46"/>
  <c r="C29" i="46"/>
  <c r="B29" i="46"/>
  <c r="A29" i="46"/>
  <c r="J28" i="46"/>
  <c r="G28" i="46"/>
  <c r="E28" i="46"/>
  <c r="K28" i="46" s="1"/>
  <c r="L28" i="46" s="1"/>
  <c r="M28" i="46" s="1"/>
  <c r="D28" i="46"/>
  <c r="C28" i="46"/>
  <c r="B28" i="46"/>
  <c r="A28" i="46"/>
  <c r="J20" i="46"/>
  <c r="G20" i="46"/>
  <c r="F20" i="46"/>
  <c r="E20" i="46"/>
  <c r="K20" i="46" s="1"/>
  <c r="L20" i="46" s="1"/>
  <c r="M20" i="46" s="1"/>
  <c r="D20" i="46"/>
  <c r="C20" i="46"/>
  <c r="B20" i="46"/>
  <c r="A20" i="46"/>
  <c r="J19" i="46"/>
  <c r="G19" i="46"/>
  <c r="F19" i="46"/>
  <c r="E19" i="46"/>
  <c r="K19" i="46" s="1"/>
  <c r="L19" i="46" s="1"/>
  <c r="M19" i="46" s="1"/>
  <c r="D19" i="46"/>
  <c r="C19" i="46"/>
  <c r="B19" i="46"/>
  <c r="A19" i="46"/>
  <c r="J18" i="46"/>
  <c r="G18" i="46"/>
  <c r="F18" i="46"/>
  <c r="E18" i="46"/>
  <c r="K18" i="46" s="1"/>
  <c r="L18" i="46" s="1"/>
  <c r="M18" i="46" s="1"/>
  <c r="D18" i="46"/>
  <c r="C18" i="46"/>
  <c r="B18" i="46"/>
  <c r="A18" i="46"/>
  <c r="J17" i="46"/>
  <c r="G17" i="46"/>
  <c r="F17" i="46"/>
  <c r="E17" i="46"/>
  <c r="K17" i="46" s="1"/>
  <c r="L17" i="46" s="1"/>
  <c r="M17" i="46" s="1"/>
  <c r="D17" i="46"/>
  <c r="C17" i="46"/>
  <c r="B17" i="46"/>
  <c r="A17" i="46"/>
  <c r="J16" i="46"/>
  <c r="G16" i="46"/>
  <c r="F16" i="46"/>
  <c r="E16" i="46"/>
  <c r="K16" i="46" s="1"/>
  <c r="L16" i="46" s="1"/>
  <c r="M16" i="46" s="1"/>
  <c r="D16" i="46"/>
  <c r="C16" i="46"/>
  <c r="B16" i="46"/>
  <c r="A16" i="46"/>
  <c r="K38" i="46"/>
  <c r="L38" i="46" s="1"/>
  <c r="M38" i="46" s="1"/>
  <c r="K32" i="46"/>
  <c r="L32" i="46"/>
  <c r="M32" i="46"/>
  <c r="E45" i="46"/>
  <c r="D45" i="46"/>
  <c r="C45" i="46"/>
  <c r="B45" i="46"/>
  <c r="A45" i="46"/>
  <c r="E41" i="46"/>
  <c r="D41" i="46"/>
  <c r="C41" i="46"/>
  <c r="B41" i="46"/>
  <c r="A41" i="46"/>
  <c r="E40" i="46"/>
  <c r="D40" i="46"/>
  <c r="C40" i="46"/>
  <c r="B40" i="46"/>
  <c r="A40" i="46"/>
  <c r="E39" i="46"/>
  <c r="D39" i="46"/>
  <c r="C39" i="46"/>
  <c r="B39" i="46"/>
  <c r="A39" i="46"/>
  <c r="E36" i="46"/>
  <c r="D36" i="46"/>
  <c r="C36" i="46"/>
  <c r="B36" i="46"/>
  <c r="A36" i="46"/>
  <c r="E35" i="46"/>
  <c r="K35" i="46" s="1"/>
  <c r="L35" i="46" s="1"/>
  <c r="M35" i="46" s="1"/>
  <c r="D35" i="46"/>
  <c r="C35" i="46"/>
  <c r="B35" i="46"/>
  <c r="A35" i="46"/>
  <c r="E34" i="46"/>
  <c r="K34" i="46" s="1"/>
  <c r="L34" i="46" s="1"/>
  <c r="M34" i="46" s="1"/>
  <c r="D34" i="46"/>
  <c r="C34" i="46"/>
  <c r="B34" i="46"/>
  <c r="A34" i="46"/>
  <c r="J31" i="46"/>
  <c r="G31" i="46"/>
  <c r="F31" i="46"/>
  <c r="E31" i="46"/>
  <c r="D31" i="46"/>
  <c r="C31" i="46"/>
  <c r="B31" i="46"/>
  <c r="A31" i="46"/>
  <c r="J30" i="46"/>
  <c r="G30" i="46"/>
  <c r="F30" i="46"/>
  <c r="E30" i="46"/>
  <c r="D30" i="46"/>
  <c r="C30" i="46"/>
  <c r="B30" i="46"/>
  <c r="A30" i="46"/>
  <c r="C27" i="46"/>
  <c r="B27" i="46"/>
  <c r="A27" i="46"/>
  <c r="J26" i="46"/>
  <c r="G26" i="46"/>
  <c r="F26" i="46"/>
  <c r="E26" i="46"/>
  <c r="D26" i="46"/>
  <c r="C26" i="46"/>
  <c r="B26" i="46"/>
  <c r="A26" i="46"/>
  <c r="E25" i="46"/>
  <c r="D25" i="46"/>
  <c r="C25" i="46"/>
  <c r="B25" i="46"/>
  <c r="A25" i="46"/>
  <c r="J24" i="46"/>
  <c r="G24" i="46"/>
  <c r="F24" i="46"/>
  <c r="E24" i="46"/>
  <c r="K24" i="46" s="1"/>
  <c r="L24" i="46" s="1"/>
  <c r="M24" i="46" s="1"/>
  <c r="D24" i="46"/>
  <c r="C24" i="46"/>
  <c r="B24" i="46"/>
  <c r="A24" i="46"/>
  <c r="J23" i="46"/>
  <c r="G23" i="46"/>
  <c r="F23" i="46"/>
  <c r="E23" i="46"/>
  <c r="D23" i="46"/>
  <c r="C23" i="46"/>
  <c r="B23" i="46"/>
  <c r="A23" i="46"/>
  <c r="J22" i="46"/>
  <c r="G22" i="46"/>
  <c r="F22" i="46"/>
  <c r="E22" i="46"/>
  <c r="K22" i="46" s="1"/>
  <c r="L22" i="46" s="1"/>
  <c r="M22" i="46" s="1"/>
  <c r="D22" i="46"/>
  <c r="C22" i="46"/>
  <c r="B22" i="46"/>
  <c r="A22" i="46"/>
  <c r="J21" i="46"/>
  <c r="G21" i="46"/>
  <c r="F21" i="46"/>
  <c r="E21" i="46"/>
  <c r="D21" i="46"/>
  <c r="C21" i="46"/>
  <c r="B21" i="46"/>
  <c r="A21" i="46"/>
  <c r="J15" i="46"/>
  <c r="G15" i="46"/>
  <c r="F15" i="46"/>
  <c r="E15" i="46"/>
  <c r="D15" i="46"/>
  <c r="C15" i="46"/>
  <c r="B15" i="46"/>
  <c r="A15" i="46"/>
  <c r="J14" i="46"/>
  <c r="G14" i="46"/>
  <c r="F14" i="46"/>
  <c r="E14" i="46"/>
  <c r="K14" i="46" s="1"/>
  <c r="L14" i="46" s="1"/>
  <c r="M14" i="46" s="1"/>
  <c r="D14" i="46"/>
  <c r="C14" i="46"/>
  <c r="B14" i="46"/>
  <c r="A14" i="46"/>
  <c r="J13" i="46"/>
  <c r="G13" i="46"/>
  <c r="F13" i="46"/>
  <c r="E13" i="46"/>
  <c r="K13" i="46" s="1"/>
  <c r="L13" i="46" s="1"/>
  <c r="M13" i="46" s="1"/>
  <c r="D13" i="46"/>
  <c r="C13" i="46"/>
  <c r="B13" i="46"/>
  <c r="A13" i="46"/>
  <c r="J12" i="46"/>
  <c r="G12" i="46"/>
  <c r="F12" i="46"/>
  <c r="E12" i="46"/>
  <c r="D12" i="46"/>
  <c r="C12" i="46"/>
  <c r="B12" i="46"/>
  <c r="A12" i="46"/>
  <c r="J11" i="46"/>
  <c r="G11" i="46"/>
  <c r="F11" i="46"/>
  <c r="E11" i="46"/>
  <c r="D11" i="46"/>
  <c r="C11" i="46"/>
  <c r="B11" i="46"/>
  <c r="A11" i="46"/>
  <c r="J10" i="46"/>
  <c r="G10" i="46"/>
  <c r="F10" i="46"/>
  <c r="E10" i="46"/>
  <c r="D10" i="46"/>
  <c r="C10" i="46"/>
  <c r="B10" i="46"/>
  <c r="A10" i="46"/>
  <c r="J9" i="46"/>
  <c r="I9" i="46"/>
  <c r="H9" i="46"/>
  <c r="G9" i="46"/>
  <c r="F9" i="46"/>
  <c r="E9" i="46"/>
  <c r="K9" i="46" s="1"/>
  <c r="L9" i="46" s="1"/>
  <c r="M9" i="46" s="1"/>
  <c r="D9" i="46"/>
  <c r="C9" i="46"/>
  <c r="B9" i="46"/>
  <c r="A9" i="46"/>
  <c r="D8" i="46"/>
  <c r="C8" i="46"/>
  <c r="B8" i="46"/>
  <c r="A8" i="46"/>
  <c r="K45" i="46"/>
  <c r="L45" i="46"/>
  <c r="M45" i="46" s="1"/>
  <c r="K41" i="46"/>
  <c r="L41" i="46"/>
  <c r="M41" i="46"/>
  <c r="K40" i="46"/>
  <c r="L40" i="46" s="1"/>
  <c r="M40" i="46" s="1"/>
  <c r="K39" i="46"/>
  <c r="L39" i="46"/>
  <c r="M39" i="46"/>
  <c r="K23" i="46"/>
  <c r="L23" i="46"/>
  <c r="M23" i="46"/>
  <c r="K26" i="46"/>
  <c r="L26" i="46"/>
  <c r="M26" i="46" s="1"/>
  <c r="K30" i="46"/>
  <c r="L30" i="46"/>
  <c r="M30" i="46"/>
  <c r="K31" i="46"/>
  <c r="L31" i="46" s="1"/>
  <c r="M31" i="46" s="1"/>
  <c r="K36" i="46"/>
  <c r="L36" i="46"/>
  <c r="M36" i="46"/>
  <c r="K25" i="46"/>
  <c r="L25" i="46"/>
  <c r="M25" i="46"/>
  <c r="K11" i="46"/>
  <c r="L11" i="46"/>
  <c r="M11" i="46"/>
  <c r="K15" i="46"/>
  <c r="L15" i="46"/>
  <c r="M15" i="46" s="1"/>
  <c r="K10" i="46"/>
  <c r="L10" i="46" s="1"/>
  <c r="M10" i="46" s="1"/>
  <c r="K21" i="46"/>
  <c r="L21" i="46"/>
  <c r="M21" i="46"/>
  <c r="K12" i="46"/>
  <c r="L12" i="46"/>
  <c r="M12" i="46"/>
  <c r="E36" i="44"/>
  <c r="K36" i="44" s="1"/>
  <c r="L36" i="44" s="1"/>
  <c r="M36" i="44" s="1"/>
  <c r="D36" i="44"/>
  <c r="C36" i="44"/>
  <c r="B36" i="44"/>
  <c r="A36" i="44"/>
  <c r="E35" i="44"/>
  <c r="D35" i="44"/>
  <c r="C35" i="44"/>
  <c r="B35" i="44"/>
  <c r="A35" i="44"/>
  <c r="E34" i="44"/>
  <c r="D34" i="44"/>
  <c r="C34" i="44"/>
  <c r="B34" i="44"/>
  <c r="A34" i="44"/>
  <c r="E33" i="44"/>
  <c r="K33" i="44"/>
  <c r="L33" i="44"/>
  <c r="M33" i="44" s="1"/>
  <c r="D33" i="44"/>
  <c r="C33" i="44"/>
  <c r="B33" i="44"/>
  <c r="A33" i="44"/>
  <c r="E32" i="44"/>
  <c r="D32" i="44"/>
  <c r="C32" i="44"/>
  <c r="B32" i="44"/>
  <c r="A32" i="44"/>
  <c r="E31" i="44"/>
  <c r="D31" i="44"/>
  <c r="C31" i="44"/>
  <c r="B31" i="44"/>
  <c r="A31" i="44"/>
  <c r="E30" i="44"/>
  <c r="D30" i="44"/>
  <c r="C30" i="44"/>
  <c r="B30" i="44"/>
  <c r="A30" i="44"/>
  <c r="E29" i="44"/>
  <c r="K29" i="44"/>
  <c r="L29" i="44"/>
  <c r="M29" i="44"/>
  <c r="D29" i="44"/>
  <c r="C29" i="44"/>
  <c r="B29" i="44"/>
  <c r="A29" i="44"/>
  <c r="E28" i="44"/>
  <c r="K28" i="44"/>
  <c r="L28" i="44"/>
  <c r="M28" i="44"/>
  <c r="D28" i="44"/>
  <c r="C28" i="44"/>
  <c r="B28" i="44"/>
  <c r="A28" i="44"/>
  <c r="J27" i="44"/>
  <c r="G27" i="44"/>
  <c r="E27" i="44"/>
  <c r="D27" i="44"/>
  <c r="C27" i="44"/>
  <c r="B27" i="44"/>
  <c r="A27" i="44"/>
  <c r="J26" i="44"/>
  <c r="G26" i="44"/>
  <c r="E26" i="44"/>
  <c r="D26" i="44"/>
  <c r="C26" i="44"/>
  <c r="B26" i="44"/>
  <c r="A26" i="44"/>
  <c r="J25" i="44"/>
  <c r="G25" i="44"/>
  <c r="F25" i="44"/>
  <c r="E25" i="44"/>
  <c r="K25" i="44" s="1"/>
  <c r="L25" i="44" s="1"/>
  <c r="M25" i="44" s="1"/>
  <c r="D25" i="44"/>
  <c r="C25" i="44"/>
  <c r="B25" i="44"/>
  <c r="A25" i="44"/>
  <c r="J24" i="44"/>
  <c r="G24" i="44"/>
  <c r="E24" i="44"/>
  <c r="D24" i="44"/>
  <c r="C24" i="44"/>
  <c r="B24" i="44"/>
  <c r="A24" i="44"/>
  <c r="J23" i="44"/>
  <c r="G23" i="44"/>
  <c r="E23" i="44"/>
  <c r="K23" i="44" s="1"/>
  <c r="L23" i="44" s="1"/>
  <c r="M23" i="44" s="1"/>
  <c r="D23" i="44"/>
  <c r="C23" i="44"/>
  <c r="B23" i="44"/>
  <c r="A23" i="44"/>
  <c r="J22" i="44"/>
  <c r="G22" i="44"/>
  <c r="F22" i="44"/>
  <c r="E22" i="44"/>
  <c r="D22" i="44"/>
  <c r="C22" i="44"/>
  <c r="B22" i="44"/>
  <c r="A22" i="44"/>
  <c r="E21" i="44"/>
  <c r="D21" i="44"/>
  <c r="C21" i="44"/>
  <c r="B21" i="44"/>
  <c r="A21" i="44"/>
  <c r="J20" i="44"/>
  <c r="G20" i="44"/>
  <c r="F20" i="44"/>
  <c r="K20" i="44" s="1"/>
  <c r="L20" i="44" s="1"/>
  <c r="M20" i="44" s="1"/>
  <c r="E20" i="44"/>
  <c r="D20" i="44"/>
  <c r="C20" i="44"/>
  <c r="B20" i="44"/>
  <c r="A20" i="44"/>
  <c r="J19" i="44"/>
  <c r="G19" i="44"/>
  <c r="F19" i="44"/>
  <c r="K19" i="44" s="1"/>
  <c r="L19" i="44" s="1"/>
  <c r="M19" i="44" s="1"/>
  <c r="E19" i="44"/>
  <c r="D19" i="44"/>
  <c r="C19" i="44"/>
  <c r="B19" i="44"/>
  <c r="A19" i="44"/>
  <c r="J18" i="44"/>
  <c r="G18" i="44"/>
  <c r="F18" i="44"/>
  <c r="K18" i="44" s="1"/>
  <c r="L18" i="44" s="1"/>
  <c r="M18" i="44" s="1"/>
  <c r="E18" i="44"/>
  <c r="D18" i="44"/>
  <c r="C18" i="44"/>
  <c r="B18" i="44"/>
  <c r="A18" i="44"/>
  <c r="J17" i="44"/>
  <c r="G17" i="44"/>
  <c r="F17" i="44"/>
  <c r="K17" i="44" s="1"/>
  <c r="L17" i="44" s="1"/>
  <c r="M17" i="44" s="1"/>
  <c r="E17" i="44"/>
  <c r="D17" i="44"/>
  <c r="C17" i="44"/>
  <c r="B17" i="44"/>
  <c r="A17" i="44"/>
  <c r="J16" i="44"/>
  <c r="G16" i="44"/>
  <c r="F16" i="44"/>
  <c r="K16" i="44" s="1"/>
  <c r="L16" i="44" s="1"/>
  <c r="M16" i="44" s="1"/>
  <c r="E16" i="44"/>
  <c r="D16" i="44"/>
  <c r="C16" i="44"/>
  <c r="B16" i="44"/>
  <c r="A16" i="44"/>
  <c r="J15" i="44"/>
  <c r="G15" i="44"/>
  <c r="F15" i="44"/>
  <c r="K15" i="44" s="1"/>
  <c r="L15" i="44" s="1"/>
  <c r="M15" i="44" s="1"/>
  <c r="E15" i="44"/>
  <c r="D15" i="44"/>
  <c r="C15" i="44"/>
  <c r="B15" i="44"/>
  <c r="A15" i="44"/>
  <c r="J14" i="44"/>
  <c r="G14" i="44"/>
  <c r="F14" i="44"/>
  <c r="K14" i="44" s="1"/>
  <c r="L14" i="44" s="1"/>
  <c r="M14" i="44" s="1"/>
  <c r="E14" i="44"/>
  <c r="D14" i="44"/>
  <c r="C14" i="44"/>
  <c r="B14" i="44"/>
  <c r="A14" i="44"/>
  <c r="J13" i="44"/>
  <c r="G13" i="44"/>
  <c r="F13" i="44"/>
  <c r="E13" i="44"/>
  <c r="D13" i="44"/>
  <c r="C13" i="44"/>
  <c r="B13" i="44"/>
  <c r="A13" i="44"/>
  <c r="J12" i="44"/>
  <c r="G12" i="44"/>
  <c r="F12" i="44"/>
  <c r="K12" i="44" s="1"/>
  <c r="L12" i="44" s="1"/>
  <c r="M12" i="44" s="1"/>
  <c r="E12" i="44"/>
  <c r="D12" i="44"/>
  <c r="C12" i="44"/>
  <c r="B12" i="44"/>
  <c r="A12" i="44"/>
  <c r="J11" i="44"/>
  <c r="G11" i="44"/>
  <c r="F11" i="44"/>
  <c r="K11" i="44" s="1"/>
  <c r="L11" i="44" s="1"/>
  <c r="M11" i="44" s="1"/>
  <c r="E11" i="44"/>
  <c r="D11" i="44"/>
  <c r="C11" i="44"/>
  <c r="B11" i="44"/>
  <c r="A11" i="44"/>
  <c r="J10" i="44"/>
  <c r="G10" i="44"/>
  <c r="F10" i="44"/>
  <c r="K10" i="44" s="1"/>
  <c r="L10" i="44" s="1"/>
  <c r="M10" i="44" s="1"/>
  <c r="E10" i="44"/>
  <c r="D10" i="44"/>
  <c r="C10" i="44"/>
  <c r="B10" i="44"/>
  <c r="A10" i="44"/>
  <c r="J9" i="44"/>
  <c r="I9" i="44"/>
  <c r="H9" i="44"/>
  <c r="G9" i="44"/>
  <c r="F9" i="44"/>
  <c r="E9" i="44"/>
  <c r="D9" i="44"/>
  <c r="C9" i="44"/>
  <c r="B9" i="44"/>
  <c r="A9" i="44"/>
  <c r="E8" i="44"/>
  <c r="K8" i="44" s="1"/>
  <c r="L8" i="44" s="1"/>
  <c r="M8" i="44" s="1"/>
  <c r="D8" i="44"/>
  <c r="C8" i="44"/>
  <c r="B8" i="44"/>
  <c r="A8" i="44"/>
  <c r="K30" i="44"/>
  <c r="L30" i="44" s="1"/>
  <c r="M30" i="44" s="1"/>
  <c r="K34" i="44"/>
  <c r="L34" i="44"/>
  <c r="M34" i="44"/>
  <c r="K21" i="44"/>
  <c r="L21" i="44" s="1"/>
  <c r="M21" i="44" s="1"/>
  <c r="K31" i="44"/>
  <c r="L31" i="44"/>
  <c r="M31" i="44"/>
  <c r="K35" i="44"/>
  <c r="L35" i="44"/>
  <c r="M35" i="44" s="1"/>
  <c r="K32" i="44"/>
  <c r="L32" i="44"/>
  <c r="M32" i="44"/>
  <c r="K9" i="44"/>
  <c r="L9" i="44" s="1"/>
  <c r="M9" i="44" s="1"/>
  <c r="K22" i="44"/>
  <c r="L22" i="44" s="1"/>
  <c r="M22" i="44" s="1"/>
  <c r="K26" i="44"/>
  <c r="L26" i="44" s="1"/>
  <c r="M26" i="44" s="1"/>
  <c r="K13" i="44"/>
  <c r="L13" i="44" s="1"/>
  <c r="M13" i="44" s="1"/>
  <c r="E33" i="42"/>
  <c r="F33" i="42"/>
  <c r="G33" i="42"/>
  <c r="J33" i="42"/>
  <c r="E34" i="42"/>
  <c r="F34" i="42"/>
  <c r="G34" i="42"/>
  <c r="J34" i="42"/>
  <c r="E35" i="42"/>
  <c r="F35" i="42"/>
  <c r="G35" i="42"/>
  <c r="J35" i="42"/>
  <c r="E36" i="42"/>
  <c r="F36" i="42"/>
  <c r="G36" i="42"/>
  <c r="J36" i="42"/>
  <c r="E29" i="42"/>
  <c r="F29" i="42"/>
  <c r="G29" i="42"/>
  <c r="J29" i="42"/>
  <c r="E30" i="42"/>
  <c r="F30" i="42"/>
  <c r="G30" i="42"/>
  <c r="J30" i="42"/>
  <c r="E31" i="42"/>
  <c r="F31" i="42"/>
  <c r="G31" i="42"/>
  <c r="J31" i="42"/>
  <c r="E32" i="42"/>
  <c r="F32" i="42"/>
  <c r="G32" i="42"/>
  <c r="J32" i="42"/>
  <c r="E28" i="42"/>
  <c r="J28" i="42"/>
  <c r="G28" i="42"/>
  <c r="F28" i="42"/>
  <c r="E21" i="42"/>
  <c r="D21" i="42"/>
  <c r="F21" i="42"/>
  <c r="G21" i="42"/>
  <c r="J21" i="42"/>
  <c r="D22" i="42"/>
  <c r="E22" i="42"/>
  <c r="F22" i="42"/>
  <c r="G22" i="42"/>
  <c r="J22" i="42"/>
  <c r="D23" i="42"/>
  <c r="E23" i="42"/>
  <c r="F23" i="42"/>
  <c r="G23" i="42"/>
  <c r="J23" i="42"/>
  <c r="D24" i="42"/>
  <c r="E24" i="42"/>
  <c r="F24" i="42"/>
  <c r="G24" i="42"/>
  <c r="J24" i="42"/>
  <c r="D25" i="42"/>
  <c r="E25" i="42"/>
  <c r="F25" i="42"/>
  <c r="G25" i="42"/>
  <c r="J25" i="42"/>
  <c r="D26" i="42"/>
  <c r="E26" i="42"/>
  <c r="F26" i="42"/>
  <c r="G26" i="42"/>
  <c r="J26" i="42"/>
  <c r="D27" i="42"/>
  <c r="E27" i="42"/>
  <c r="F27" i="42"/>
  <c r="G27" i="42"/>
  <c r="J27" i="42"/>
  <c r="A28" i="42"/>
  <c r="B28" i="42"/>
  <c r="C28" i="42"/>
  <c r="D28" i="42"/>
  <c r="A29" i="42"/>
  <c r="B29" i="42"/>
  <c r="C29" i="42"/>
  <c r="D29" i="42"/>
  <c r="A30" i="42"/>
  <c r="B30" i="42"/>
  <c r="C30" i="42"/>
  <c r="D30" i="42"/>
  <c r="A31" i="42"/>
  <c r="B31" i="42"/>
  <c r="C31" i="42"/>
  <c r="D31" i="42"/>
  <c r="A32" i="42"/>
  <c r="B32" i="42"/>
  <c r="C32" i="42"/>
  <c r="D32" i="42"/>
  <c r="A33" i="42"/>
  <c r="B33" i="42"/>
  <c r="C33" i="42"/>
  <c r="D33" i="42"/>
  <c r="A34" i="42"/>
  <c r="B34" i="42"/>
  <c r="C34" i="42"/>
  <c r="D34" i="42"/>
  <c r="A35" i="42"/>
  <c r="B35" i="42"/>
  <c r="C35" i="42"/>
  <c r="D35" i="42"/>
  <c r="A36" i="42"/>
  <c r="B36" i="42"/>
  <c r="C36" i="42"/>
  <c r="D36" i="42"/>
  <c r="A14" i="42"/>
  <c r="B14" i="42"/>
  <c r="C14" i="42"/>
  <c r="D14" i="42"/>
  <c r="A15" i="42"/>
  <c r="B15" i="42"/>
  <c r="C15" i="42"/>
  <c r="D15" i="42"/>
  <c r="A16" i="42"/>
  <c r="B16" i="42"/>
  <c r="C16" i="42"/>
  <c r="D16" i="42"/>
  <c r="A17" i="42"/>
  <c r="B17" i="42"/>
  <c r="C17" i="42"/>
  <c r="D17" i="42"/>
  <c r="A18" i="42"/>
  <c r="B18" i="42"/>
  <c r="C18" i="42"/>
  <c r="D18" i="42"/>
  <c r="A19" i="42"/>
  <c r="B19" i="42"/>
  <c r="C19" i="42"/>
  <c r="D19" i="42"/>
  <c r="A20" i="42"/>
  <c r="B20" i="42"/>
  <c r="C20" i="42"/>
  <c r="D20" i="42"/>
  <c r="A21" i="42"/>
  <c r="B21" i="42"/>
  <c r="C21" i="42"/>
  <c r="A22" i="42"/>
  <c r="B22" i="42"/>
  <c r="C22" i="42"/>
  <c r="A23" i="42"/>
  <c r="B23" i="42"/>
  <c r="C23" i="42"/>
  <c r="A24" i="42"/>
  <c r="B24" i="42"/>
  <c r="C24" i="42"/>
  <c r="A25" i="42"/>
  <c r="B25" i="42"/>
  <c r="C25" i="42"/>
  <c r="A26" i="42"/>
  <c r="B26" i="42"/>
  <c r="C26" i="42"/>
  <c r="A27" i="42"/>
  <c r="B27" i="42"/>
  <c r="C27" i="42"/>
  <c r="E18" i="42"/>
  <c r="F18" i="42"/>
  <c r="G18" i="42"/>
  <c r="J18" i="42"/>
  <c r="E19" i="42"/>
  <c r="F19" i="42"/>
  <c r="G19" i="42"/>
  <c r="J19" i="42"/>
  <c r="E20" i="42"/>
  <c r="F20" i="42"/>
  <c r="G20" i="42"/>
  <c r="J20" i="42"/>
  <c r="E15" i="42"/>
  <c r="F15" i="42"/>
  <c r="G15" i="42"/>
  <c r="J15" i="42"/>
  <c r="E16" i="42"/>
  <c r="F16" i="42"/>
  <c r="G16" i="42"/>
  <c r="J16" i="42"/>
  <c r="E17" i="42"/>
  <c r="F17" i="42"/>
  <c r="G17" i="42"/>
  <c r="J17" i="42"/>
  <c r="J14" i="42"/>
  <c r="G14" i="42"/>
  <c r="F14" i="42"/>
  <c r="E14" i="42"/>
  <c r="J13" i="42"/>
  <c r="G13" i="42"/>
  <c r="F13" i="42"/>
  <c r="E13" i="42"/>
  <c r="D13" i="42"/>
  <c r="C13" i="42"/>
  <c r="B13" i="42"/>
  <c r="A13" i="42"/>
  <c r="J12" i="42"/>
  <c r="G12" i="42"/>
  <c r="F12" i="42"/>
  <c r="E12" i="42"/>
  <c r="D12" i="42"/>
  <c r="C12" i="42"/>
  <c r="B12" i="42"/>
  <c r="A12" i="42"/>
  <c r="J11" i="42"/>
  <c r="G11" i="42"/>
  <c r="F11" i="42"/>
  <c r="E11" i="42"/>
  <c r="D11" i="42"/>
  <c r="C11" i="42"/>
  <c r="B11" i="42"/>
  <c r="A11" i="42"/>
  <c r="J10" i="42"/>
  <c r="G10" i="42"/>
  <c r="F10" i="42"/>
  <c r="E10" i="42"/>
  <c r="D10" i="42"/>
  <c r="C10" i="42"/>
  <c r="B10" i="42"/>
  <c r="A10" i="42"/>
  <c r="J9" i="42"/>
  <c r="I9" i="42"/>
  <c r="H9" i="42"/>
  <c r="G9" i="42"/>
  <c r="F9" i="42"/>
  <c r="E9" i="42"/>
  <c r="D9" i="42"/>
  <c r="C9" i="42"/>
  <c r="B9" i="42"/>
  <c r="A9" i="42"/>
  <c r="E8" i="42"/>
  <c r="D8" i="42"/>
  <c r="C8" i="42"/>
  <c r="B8" i="42"/>
  <c r="A8" i="42"/>
  <c r="K27" i="42"/>
  <c r="L27" i="42"/>
  <c r="M27" i="42"/>
  <c r="K23" i="42"/>
  <c r="L23" i="42"/>
  <c r="K22" i="42"/>
  <c r="K25" i="42"/>
  <c r="L25" i="42"/>
  <c r="M25" i="42"/>
  <c r="K32" i="42"/>
  <c r="L32" i="42"/>
  <c r="M32" i="42"/>
  <c r="K26" i="42"/>
  <c r="L26" i="42"/>
  <c r="M26" i="42"/>
  <c r="K24" i="42"/>
  <c r="L24" i="42"/>
  <c r="M24" i="42"/>
  <c r="K28" i="42"/>
  <c r="L28" i="42"/>
  <c r="M28" i="42"/>
  <c r="K31" i="42"/>
  <c r="L31" i="42"/>
  <c r="M31" i="42"/>
  <c r="K30" i="42"/>
  <c r="L30" i="42"/>
  <c r="M30" i="42"/>
  <c r="K29" i="42"/>
  <c r="L29" i="42"/>
  <c r="M29" i="42"/>
  <c r="K36" i="42"/>
  <c r="L36" i="42"/>
  <c r="M36" i="42"/>
  <c r="K35" i="42"/>
  <c r="L35" i="42"/>
  <c r="M35" i="42"/>
  <c r="K34" i="42"/>
  <c r="L34" i="42"/>
  <c r="M34" i="42"/>
  <c r="K33" i="42"/>
  <c r="L33" i="42"/>
  <c r="M33" i="42"/>
  <c r="K21" i="42"/>
  <c r="K18" i="42"/>
  <c r="K20" i="42"/>
  <c r="K19" i="42"/>
  <c r="K16" i="42"/>
  <c r="L16" i="42"/>
  <c r="M16" i="42"/>
  <c r="K15" i="42"/>
  <c r="L15" i="42"/>
  <c r="M15" i="42"/>
  <c r="K17" i="42"/>
  <c r="L17" i="42"/>
  <c r="M17" i="42"/>
  <c r="K8" i="42"/>
  <c r="L8" i="42"/>
  <c r="M8" i="42"/>
  <c r="K13" i="42"/>
  <c r="L13" i="42"/>
  <c r="M13" i="42"/>
  <c r="L20" i="42"/>
  <c r="M20" i="42"/>
  <c r="L22" i="42"/>
  <c r="M22" i="42"/>
  <c r="K10" i="42"/>
  <c r="L10" i="42"/>
  <c r="M10" i="42"/>
  <c r="K11" i="42"/>
  <c r="L11" i="42"/>
  <c r="M11" i="42"/>
  <c r="K12" i="42"/>
  <c r="L12" i="42"/>
  <c r="M12" i="42"/>
  <c r="K14" i="42"/>
  <c r="L14" i="42"/>
  <c r="M14" i="42"/>
  <c r="L18" i="42"/>
  <c r="M18" i="42"/>
  <c r="L19" i="42"/>
  <c r="M19" i="42"/>
  <c r="L21" i="42"/>
  <c r="M21" i="42"/>
  <c r="K9" i="42"/>
  <c r="L9" i="42"/>
  <c r="M9" i="42"/>
  <c r="M23" i="42"/>
  <c r="D22" i="39"/>
  <c r="E22" i="39"/>
  <c r="A22" i="39"/>
  <c r="B22" i="39"/>
  <c r="C22" i="39"/>
  <c r="D19" i="39"/>
  <c r="E19" i="39"/>
  <c r="F19" i="39"/>
  <c r="G19" i="39"/>
  <c r="J19" i="39"/>
  <c r="D20" i="39"/>
  <c r="E20" i="39"/>
  <c r="F20" i="39"/>
  <c r="G20" i="39"/>
  <c r="J20" i="39"/>
  <c r="A19" i="39"/>
  <c r="B19" i="39"/>
  <c r="C19" i="39"/>
  <c r="A20" i="39"/>
  <c r="B20" i="39"/>
  <c r="C20" i="39"/>
  <c r="E24" i="39"/>
  <c r="F24" i="39"/>
  <c r="G24" i="39"/>
  <c r="J24" i="39"/>
  <c r="E25" i="39"/>
  <c r="F25" i="39"/>
  <c r="G25" i="39"/>
  <c r="J25" i="39"/>
  <c r="E27" i="39"/>
  <c r="F27" i="39"/>
  <c r="G27" i="39"/>
  <c r="J27" i="39"/>
  <c r="E28" i="39"/>
  <c r="F28" i="39"/>
  <c r="G28" i="39"/>
  <c r="J28" i="39"/>
  <c r="J17" i="39"/>
  <c r="D17" i="39"/>
  <c r="E17" i="39"/>
  <c r="F17" i="39"/>
  <c r="G17" i="39"/>
  <c r="J16" i="39"/>
  <c r="G16" i="39"/>
  <c r="F16" i="39"/>
  <c r="E16" i="39"/>
  <c r="J14" i="39"/>
  <c r="G14" i="39"/>
  <c r="F14" i="39"/>
  <c r="E14" i="39"/>
  <c r="J13" i="39"/>
  <c r="G13" i="39"/>
  <c r="F13" i="39"/>
  <c r="E13" i="39"/>
  <c r="J12" i="39"/>
  <c r="G12" i="39"/>
  <c r="F12" i="39"/>
  <c r="E12" i="39"/>
  <c r="J11" i="39"/>
  <c r="G11" i="39"/>
  <c r="F11" i="39"/>
  <c r="E11" i="39"/>
  <c r="E8" i="39"/>
  <c r="A40" i="39"/>
  <c r="B40" i="39"/>
  <c r="C40" i="39"/>
  <c r="D40" i="39"/>
  <c r="E40" i="39"/>
  <c r="A28" i="39"/>
  <c r="B28" i="39"/>
  <c r="C28" i="39"/>
  <c r="D28" i="39"/>
  <c r="A30" i="39"/>
  <c r="B30" i="39"/>
  <c r="C30" i="39"/>
  <c r="D30" i="39"/>
  <c r="E30" i="39"/>
  <c r="A31" i="39"/>
  <c r="B31" i="39"/>
  <c r="C31" i="39"/>
  <c r="D31" i="39"/>
  <c r="E31" i="39"/>
  <c r="A33" i="39"/>
  <c r="B33" i="39"/>
  <c r="C33" i="39"/>
  <c r="D33" i="39"/>
  <c r="E33" i="39"/>
  <c r="A35" i="39"/>
  <c r="B35" i="39"/>
  <c r="C35" i="39"/>
  <c r="D35" i="39"/>
  <c r="E35" i="39"/>
  <c r="A36" i="39"/>
  <c r="B36" i="39"/>
  <c r="C36" i="39"/>
  <c r="D36" i="39"/>
  <c r="E36" i="39"/>
  <c r="A38" i="39"/>
  <c r="B38" i="39"/>
  <c r="C38" i="39"/>
  <c r="D38" i="39"/>
  <c r="E38" i="39"/>
  <c r="A13" i="39"/>
  <c r="B13" i="39"/>
  <c r="C13" i="39"/>
  <c r="D13" i="39"/>
  <c r="D27" i="39"/>
  <c r="C27" i="39"/>
  <c r="B27" i="39"/>
  <c r="A27" i="39"/>
  <c r="D25" i="39"/>
  <c r="C25" i="39"/>
  <c r="B25" i="39"/>
  <c r="A25" i="39"/>
  <c r="D24" i="39"/>
  <c r="C24" i="39"/>
  <c r="B24" i="39"/>
  <c r="A24" i="39"/>
  <c r="C17" i="39"/>
  <c r="B17" i="39"/>
  <c r="A17" i="39"/>
  <c r="D16" i="39"/>
  <c r="C16" i="39"/>
  <c r="B16" i="39"/>
  <c r="A16" i="39"/>
  <c r="D14" i="39"/>
  <c r="C14" i="39"/>
  <c r="B14" i="39"/>
  <c r="A14" i="39"/>
  <c r="D12" i="39"/>
  <c r="C12" i="39"/>
  <c r="B12" i="39"/>
  <c r="A12" i="39"/>
  <c r="D11" i="39"/>
  <c r="C11" i="39"/>
  <c r="B11" i="39"/>
  <c r="A11" i="39"/>
  <c r="J10" i="39"/>
  <c r="G10" i="39"/>
  <c r="F10" i="39"/>
  <c r="E10" i="39"/>
  <c r="D10" i="39"/>
  <c r="C10" i="39"/>
  <c r="B10" i="39"/>
  <c r="A10" i="39"/>
  <c r="J9" i="39"/>
  <c r="I9" i="39"/>
  <c r="H9" i="39"/>
  <c r="G9" i="39"/>
  <c r="F9" i="39"/>
  <c r="E9" i="39"/>
  <c r="D9" i="39"/>
  <c r="C9" i="39"/>
  <c r="B9" i="39"/>
  <c r="A9" i="39"/>
  <c r="D8" i="39"/>
  <c r="C8" i="39"/>
  <c r="B8" i="39"/>
  <c r="A8" i="39"/>
  <c r="D22" i="4"/>
  <c r="D24" i="4"/>
  <c r="D25" i="4"/>
  <c r="D26" i="4"/>
  <c r="C22" i="4"/>
  <c r="C23" i="4"/>
  <c r="C24" i="4"/>
  <c r="B10" i="4"/>
  <c r="B23" i="4"/>
  <c r="B9" i="4"/>
  <c r="B22" i="4"/>
  <c r="B29" i="4"/>
  <c r="C29" i="4"/>
  <c r="C33" i="4"/>
  <c r="B30" i="4"/>
  <c r="B31" i="4"/>
  <c r="B32" i="4"/>
  <c r="B33" i="4"/>
  <c r="B24" i="4"/>
  <c r="C16" i="4"/>
  <c r="D16" i="4"/>
  <c r="E16" i="4"/>
  <c r="F16" i="4"/>
  <c r="C17" i="4"/>
  <c r="D17" i="4"/>
  <c r="D18" i="4"/>
  <c r="D19" i="4"/>
  <c r="E17" i="4"/>
  <c r="E18" i="4"/>
  <c r="E19" i="4"/>
  <c r="F17" i="4"/>
  <c r="C18" i="4"/>
  <c r="C19" i="4"/>
  <c r="B16" i="4"/>
  <c r="B17" i="4"/>
  <c r="B11" i="4"/>
  <c r="C25" i="3"/>
  <c r="C26" i="3"/>
  <c r="C27" i="3"/>
  <c r="D25" i="3"/>
  <c r="D27" i="3"/>
  <c r="C32" i="3"/>
  <c r="B32" i="3"/>
  <c r="B33" i="3"/>
  <c r="B34" i="3"/>
  <c r="B35" i="3"/>
  <c r="B36" i="3"/>
  <c r="B13" i="3"/>
  <c r="B12" i="3"/>
  <c r="B14" i="3"/>
  <c r="B11" i="3"/>
  <c r="B10" i="3"/>
  <c r="B9" i="3"/>
  <c r="B20" i="3"/>
  <c r="B19" i="3"/>
  <c r="C36" i="3"/>
  <c r="B27" i="3"/>
  <c r="B26" i="3"/>
  <c r="B25" i="3"/>
  <c r="C19" i="3"/>
  <c r="D19" i="3"/>
  <c r="E19" i="3"/>
  <c r="F19" i="3"/>
  <c r="G19" i="3"/>
  <c r="C20" i="3"/>
  <c r="C21" i="3"/>
  <c r="C22" i="3"/>
  <c r="D20" i="3"/>
  <c r="E20" i="3"/>
  <c r="F20" i="3"/>
  <c r="G20" i="3"/>
  <c r="G21" i="3"/>
  <c r="G22" i="3"/>
  <c r="B21" i="3"/>
  <c r="B22" i="3"/>
  <c r="B32" i="2"/>
  <c r="B33" i="2"/>
  <c r="B34" i="2"/>
  <c r="B35" i="2"/>
  <c r="B36" i="2"/>
  <c r="B20" i="2"/>
  <c r="B19" i="2"/>
  <c r="B21" i="2"/>
  <c r="B22" i="2"/>
  <c r="B14" i="2"/>
  <c r="B13" i="2"/>
  <c r="B12" i="2"/>
  <c r="B11" i="2"/>
  <c r="B9" i="2"/>
  <c r="B10" i="2"/>
  <c r="C19" i="2"/>
  <c r="C20" i="2"/>
  <c r="D19" i="2"/>
  <c r="D20" i="2"/>
  <c r="E19" i="2"/>
  <c r="E20" i="2"/>
  <c r="F19" i="2"/>
  <c r="F20" i="2"/>
  <c r="G19" i="2"/>
  <c r="G20" i="2"/>
  <c r="B25" i="2"/>
  <c r="B26" i="2"/>
  <c r="B27" i="2"/>
  <c r="C25" i="2"/>
  <c r="C26" i="2"/>
  <c r="C27" i="2"/>
  <c r="D25" i="2"/>
  <c r="D27" i="2"/>
  <c r="D28" i="2"/>
  <c r="D29" i="2"/>
  <c r="C32" i="2"/>
  <c r="C36" i="2"/>
  <c r="B10" i="17"/>
  <c r="C32" i="17"/>
  <c r="C37" i="17"/>
  <c r="C38" i="17"/>
  <c r="C36" i="17"/>
  <c r="B32" i="17"/>
  <c r="B33" i="17"/>
  <c r="B34" i="17"/>
  <c r="B35" i="17"/>
  <c r="B36" i="17"/>
  <c r="B9" i="17"/>
  <c r="D27" i="17"/>
  <c r="C27" i="17"/>
  <c r="B27" i="17"/>
  <c r="C26" i="17"/>
  <c r="B26" i="17"/>
  <c r="D25" i="17"/>
  <c r="C25" i="17"/>
  <c r="B25" i="17"/>
  <c r="G20" i="17"/>
  <c r="F20" i="17"/>
  <c r="E20" i="17"/>
  <c r="D20" i="17"/>
  <c r="C20" i="17"/>
  <c r="B20" i="17"/>
  <c r="G19" i="17"/>
  <c r="F19" i="17"/>
  <c r="E19" i="17"/>
  <c r="E21" i="17"/>
  <c r="E22" i="17"/>
  <c r="D19" i="17"/>
  <c r="C19" i="17"/>
  <c r="B19" i="17"/>
  <c r="B14" i="17"/>
  <c r="B13" i="17"/>
  <c r="B12" i="17"/>
  <c r="B11" i="17"/>
  <c r="G21" i="17"/>
  <c r="G22" i="17"/>
  <c r="B29" i="22"/>
  <c r="B13" i="22"/>
  <c r="B28" i="22"/>
  <c r="B12" i="22"/>
  <c r="B27" i="22"/>
  <c r="B11" i="22"/>
  <c r="B26" i="22"/>
  <c r="B10" i="22"/>
  <c r="C29" i="22"/>
  <c r="C39" i="22"/>
  <c r="B39" i="22"/>
  <c r="B38" i="22"/>
  <c r="B37" i="22"/>
  <c r="B36" i="22"/>
  <c r="C35" i="22"/>
  <c r="B35" i="22"/>
  <c r="D30" i="22"/>
  <c r="C30" i="22"/>
  <c r="B30" i="22"/>
  <c r="D25" i="22"/>
  <c r="D31" i="22"/>
  <c r="D32" i="22"/>
  <c r="C25" i="22"/>
  <c r="B25" i="22"/>
  <c r="G20" i="22"/>
  <c r="F20" i="22"/>
  <c r="E20" i="22"/>
  <c r="D20" i="22"/>
  <c r="C20" i="22"/>
  <c r="B20" i="22"/>
  <c r="G19" i="22"/>
  <c r="F19" i="22"/>
  <c r="E19" i="22"/>
  <c r="D19" i="22"/>
  <c r="C19" i="22"/>
  <c r="C21" i="22"/>
  <c r="C22" i="22"/>
  <c r="B19" i="22"/>
  <c r="B14" i="22"/>
  <c r="B9" i="22"/>
  <c r="B15" i="22"/>
  <c r="B16" i="22"/>
  <c r="C31" i="22"/>
  <c r="C32" i="22"/>
  <c r="E21" i="22"/>
  <c r="E22" i="22"/>
  <c r="B11" i="27"/>
  <c r="B9" i="27"/>
  <c r="C39" i="27"/>
  <c r="B39" i="27"/>
  <c r="B38" i="27"/>
  <c r="B37" i="27"/>
  <c r="B36" i="27"/>
  <c r="C35" i="27"/>
  <c r="B35" i="27"/>
  <c r="D30" i="27"/>
  <c r="C30" i="27"/>
  <c r="B30" i="27"/>
  <c r="C29" i="27"/>
  <c r="B29" i="27"/>
  <c r="B28" i="27"/>
  <c r="B27" i="27"/>
  <c r="B26" i="27"/>
  <c r="D25" i="27"/>
  <c r="D31" i="27"/>
  <c r="D32" i="27"/>
  <c r="C25" i="27"/>
  <c r="C31" i="27"/>
  <c r="C32" i="27"/>
  <c r="B25" i="27"/>
  <c r="G20" i="27"/>
  <c r="F20" i="27"/>
  <c r="E20" i="27"/>
  <c r="D20" i="27"/>
  <c r="C20" i="27"/>
  <c r="B20" i="27"/>
  <c r="B21" i="27"/>
  <c r="B22" i="27"/>
  <c r="G19" i="27"/>
  <c r="G21" i="27"/>
  <c r="G22" i="27"/>
  <c r="F19" i="27"/>
  <c r="E19" i="27"/>
  <c r="D19" i="27"/>
  <c r="C19" i="27"/>
  <c r="C21" i="27"/>
  <c r="C22" i="27"/>
  <c r="B19" i="27"/>
  <c r="B14" i="27"/>
  <c r="B12" i="27"/>
  <c r="B10" i="27"/>
  <c r="B15" i="27"/>
  <c r="B16" i="27"/>
  <c r="B13" i="27"/>
  <c r="B13" i="32"/>
  <c r="B10" i="32"/>
  <c r="B9" i="32"/>
  <c r="B11" i="32"/>
  <c r="C35" i="32"/>
  <c r="C36" i="32"/>
  <c r="C37" i="32"/>
  <c r="C38" i="32"/>
  <c r="C39" i="32"/>
  <c r="C40" i="32"/>
  <c r="C41" i="32"/>
  <c r="B35" i="32"/>
  <c r="B36" i="32"/>
  <c r="B37" i="32"/>
  <c r="B38" i="32"/>
  <c r="B39" i="32"/>
  <c r="B40" i="32"/>
  <c r="B41" i="32"/>
  <c r="D30" i="32"/>
  <c r="C30" i="32"/>
  <c r="B30" i="32"/>
  <c r="C29" i="32"/>
  <c r="B29" i="32"/>
  <c r="B28" i="32"/>
  <c r="B27" i="32"/>
  <c r="B26" i="32"/>
  <c r="D25" i="32"/>
  <c r="C25" i="32"/>
  <c r="B25" i="32"/>
  <c r="G20" i="32"/>
  <c r="F20" i="32"/>
  <c r="E20" i="32"/>
  <c r="D20" i="32"/>
  <c r="C20" i="32"/>
  <c r="B20" i="32"/>
  <c r="G19" i="32"/>
  <c r="G21" i="32"/>
  <c r="G22" i="32"/>
  <c r="F19" i="32"/>
  <c r="F21" i="32"/>
  <c r="F22" i="32"/>
  <c r="E19" i="32"/>
  <c r="D19" i="32"/>
  <c r="C19" i="32"/>
  <c r="C21" i="32"/>
  <c r="C22" i="32"/>
  <c r="B19" i="32"/>
  <c r="B21" i="32"/>
  <c r="B22" i="32"/>
  <c r="B14" i="32"/>
  <c r="B12" i="32"/>
  <c r="D31" i="32"/>
  <c r="D32" i="32"/>
  <c r="C31" i="32"/>
  <c r="C32" i="32"/>
  <c r="F10" i="38"/>
  <c r="F14" i="38"/>
  <c r="F9" i="38"/>
  <c r="F12" i="38"/>
  <c r="J10" i="38"/>
  <c r="D10" i="38"/>
  <c r="E10" i="38"/>
  <c r="G10" i="38"/>
  <c r="D11" i="38"/>
  <c r="E11" i="38"/>
  <c r="C10" i="38"/>
  <c r="C11" i="38"/>
  <c r="A11" i="38"/>
  <c r="B11" i="38"/>
  <c r="B10" i="38"/>
  <c r="A10" i="38"/>
  <c r="D9" i="38"/>
  <c r="E9" i="38"/>
  <c r="G9" i="38"/>
  <c r="H9" i="38"/>
  <c r="I9" i="38"/>
  <c r="J9" i="38"/>
  <c r="D12" i="38"/>
  <c r="E12" i="38"/>
  <c r="G12" i="38"/>
  <c r="H12" i="38"/>
  <c r="I12" i="38"/>
  <c r="J12" i="38"/>
  <c r="D14" i="38"/>
  <c r="E14" i="38"/>
  <c r="G14" i="38"/>
  <c r="H14" i="38"/>
  <c r="I14" i="38"/>
  <c r="J14" i="38"/>
  <c r="D16" i="38"/>
  <c r="E16" i="38"/>
  <c r="D18" i="38"/>
  <c r="E18" i="38"/>
  <c r="D20" i="38"/>
  <c r="E20" i="38"/>
  <c r="D22" i="38"/>
  <c r="E22" i="38"/>
  <c r="D24" i="38"/>
  <c r="E24" i="38"/>
  <c r="D8" i="38"/>
  <c r="E8" i="38"/>
  <c r="F8" i="38"/>
  <c r="G8" i="38"/>
  <c r="H8" i="38"/>
  <c r="I8" i="38"/>
  <c r="J8" i="38"/>
  <c r="A24" i="38"/>
  <c r="B24" i="38"/>
  <c r="C24" i="38"/>
  <c r="A22" i="38"/>
  <c r="B22" i="38"/>
  <c r="C22" i="38"/>
  <c r="A9" i="38"/>
  <c r="B9" i="38"/>
  <c r="C9" i="38"/>
  <c r="A12" i="38"/>
  <c r="B12" i="38"/>
  <c r="C12" i="38"/>
  <c r="A14" i="38"/>
  <c r="B14" i="38"/>
  <c r="C14" i="38"/>
  <c r="A16" i="38"/>
  <c r="B16" i="38"/>
  <c r="C16" i="38"/>
  <c r="A18" i="38"/>
  <c r="B18" i="38"/>
  <c r="C18" i="38"/>
  <c r="A20" i="38"/>
  <c r="B20" i="38"/>
  <c r="C20" i="38"/>
  <c r="C8" i="38"/>
  <c r="B8" i="38"/>
  <c r="A8" i="38"/>
  <c r="E21" i="27"/>
  <c r="E22" i="27"/>
  <c r="C37" i="2"/>
  <c r="C38" i="2"/>
  <c r="K22" i="38"/>
  <c r="L22" i="38"/>
  <c r="M22" i="38"/>
  <c r="K16" i="38"/>
  <c r="L16" i="38"/>
  <c r="M16" i="38"/>
  <c r="D21" i="32"/>
  <c r="D22" i="32"/>
  <c r="B25" i="4"/>
  <c r="B26" i="4"/>
  <c r="E21" i="32"/>
  <c r="E22" i="32"/>
  <c r="K14" i="38"/>
  <c r="L14" i="38"/>
  <c r="M14" i="38"/>
  <c r="K9" i="38"/>
  <c r="L9" i="38"/>
  <c r="M9" i="38"/>
  <c r="C43" i="32"/>
  <c r="F21" i="27"/>
  <c r="F22" i="27"/>
  <c r="D21" i="27"/>
  <c r="D22" i="27"/>
  <c r="B31" i="27"/>
  <c r="B32" i="27"/>
  <c r="G21" i="22"/>
  <c r="G22" i="22"/>
  <c r="D21" i="17"/>
  <c r="D22" i="17"/>
  <c r="B21" i="17"/>
  <c r="B22" i="17"/>
  <c r="F21" i="17"/>
  <c r="F22" i="17"/>
  <c r="B28" i="2"/>
  <c r="B29" i="2"/>
  <c r="F21" i="2"/>
  <c r="F22" i="2"/>
  <c r="D21" i="2"/>
  <c r="D22" i="2"/>
  <c r="B38" i="2"/>
  <c r="F21" i="3"/>
  <c r="F22" i="3"/>
  <c r="F18" i="4"/>
  <c r="F19" i="4"/>
  <c r="K8" i="39"/>
  <c r="L8" i="39"/>
  <c r="M8" i="39"/>
  <c r="K36" i="39"/>
  <c r="L36" i="39"/>
  <c r="M36" i="39"/>
  <c r="K30" i="39"/>
  <c r="L30" i="39"/>
  <c r="M30" i="39"/>
  <c r="K25" i="39"/>
  <c r="L25" i="39"/>
  <c r="M25" i="39"/>
  <c r="K19" i="39"/>
  <c r="L19" i="39"/>
  <c r="M19" i="39"/>
  <c r="B43" i="32"/>
  <c r="G21" i="2"/>
  <c r="G22" i="2"/>
  <c r="E21" i="2"/>
  <c r="E22" i="2"/>
  <c r="D21" i="3"/>
  <c r="D22" i="3"/>
  <c r="B28" i="3"/>
  <c r="B29" i="3"/>
  <c r="B15" i="3"/>
  <c r="B16" i="3"/>
  <c r="C28" i="3"/>
  <c r="C29" i="3"/>
  <c r="C34" i="4"/>
  <c r="C35" i="4"/>
  <c r="K9" i="39"/>
  <c r="L9" i="39"/>
  <c r="M9" i="39"/>
  <c r="K14" i="39"/>
  <c r="L14" i="39"/>
  <c r="M14" i="39"/>
  <c r="K33" i="39"/>
  <c r="L33" i="39"/>
  <c r="M33" i="39"/>
  <c r="B15" i="32"/>
  <c r="B16" i="32"/>
  <c r="B21" i="22"/>
  <c r="B22" i="22"/>
  <c r="F21" i="22"/>
  <c r="F22" i="22"/>
  <c r="D21" i="22"/>
  <c r="D22" i="22"/>
  <c r="B31" i="22"/>
  <c r="B32" i="22"/>
  <c r="B41" i="22"/>
  <c r="C40" i="22"/>
  <c r="C41" i="22"/>
  <c r="C21" i="17"/>
  <c r="C22" i="17"/>
  <c r="B28" i="17"/>
  <c r="B29" i="17"/>
  <c r="C28" i="2"/>
  <c r="C29" i="2"/>
  <c r="B12" i="4"/>
  <c r="B13" i="4"/>
  <c r="K40" i="39"/>
  <c r="L40" i="39"/>
  <c r="M40" i="39"/>
  <c r="K13" i="39"/>
  <c r="L13" i="39"/>
  <c r="M13" i="39"/>
  <c r="K20" i="38"/>
  <c r="L20" i="38"/>
  <c r="M20" i="38"/>
  <c r="B41" i="27"/>
  <c r="C40" i="27"/>
  <c r="C41" i="27"/>
  <c r="B15" i="17"/>
  <c r="B16" i="17"/>
  <c r="D28" i="17"/>
  <c r="D29" i="17"/>
  <c r="C28" i="17"/>
  <c r="C29" i="17"/>
  <c r="D28" i="3"/>
  <c r="D29" i="3"/>
  <c r="K38" i="39"/>
  <c r="L38" i="39"/>
  <c r="M38" i="39"/>
  <c r="K31" i="39"/>
  <c r="L31" i="39"/>
  <c r="M31" i="39"/>
  <c r="B38" i="17"/>
  <c r="K8" i="38"/>
  <c r="L8" i="38"/>
  <c r="M8" i="38"/>
  <c r="K12" i="38"/>
  <c r="L12" i="38"/>
  <c r="M12" i="38"/>
  <c r="K10" i="38"/>
  <c r="L10" i="38"/>
  <c r="M10" i="38"/>
  <c r="B38" i="3"/>
  <c r="B35" i="4"/>
  <c r="C25" i="4"/>
  <c r="C26" i="4"/>
  <c r="K28" i="39"/>
  <c r="L28" i="39"/>
  <c r="M28" i="39"/>
  <c r="K11" i="39"/>
  <c r="L11" i="39"/>
  <c r="M11" i="39"/>
  <c r="K12" i="39"/>
  <c r="L12" i="39"/>
  <c r="M12" i="39"/>
  <c r="K16" i="39"/>
  <c r="L16" i="39"/>
  <c r="M16" i="39"/>
  <c r="K17" i="39"/>
  <c r="L17" i="39"/>
  <c r="M17" i="39"/>
  <c r="K24" i="38"/>
  <c r="L24" i="38"/>
  <c r="M24" i="38"/>
  <c r="K18" i="38"/>
  <c r="L18" i="38"/>
  <c r="M18" i="38"/>
  <c r="K11" i="38"/>
  <c r="L11" i="38"/>
  <c r="M11" i="38"/>
  <c r="B31" i="32"/>
  <c r="B32" i="32"/>
  <c r="C21" i="2"/>
  <c r="C22" i="2"/>
  <c r="B15" i="2"/>
  <c r="B16" i="2"/>
  <c r="E21" i="3"/>
  <c r="E22" i="3"/>
  <c r="C37" i="3"/>
  <c r="C38" i="3"/>
  <c r="B18" i="4"/>
  <c r="B19" i="4"/>
  <c r="K10" i="39"/>
  <c r="L10" i="39"/>
  <c r="M10" i="39"/>
  <c r="K24" i="39"/>
  <c r="L24" i="39"/>
  <c r="M24" i="39"/>
  <c r="K27" i="39"/>
  <c r="L27" i="39"/>
  <c r="M27" i="39"/>
  <c r="K35" i="39"/>
  <c r="L35" i="39"/>
  <c r="M35" i="39"/>
  <c r="K20" i="39"/>
  <c r="L20" i="39"/>
  <c r="M20" i="39"/>
  <c r="K22" i="39"/>
  <c r="L22" i="39"/>
  <c r="M22" i="39"/>
  <c r="K42" i="51"/>
  <c r="L42" i="51"/>
  <c r="M42" i="51"/>
  <c r="K12" i="51"/>
  <c r="L12" i="51"/>
  <c r="M12" i="51" s="1"/>
  <c r="K13" i="51"/>
  <c r="L13" i="51"/>
  <c r="M13" i="51" s="1"/>
  <c r="K17" i="51"/>
  <c r="L17" i="51" s="1"/>
  <c r="M17" i="51" s="1"/>
  <c r="K33" i="51"/>
  <c r="L33" i="51"/>
  <c r="M33" i="51" s="1"/>
  <c r="K37" i="51"/>
  <c r="L37" i="51" s="1"/>
  <c r="M37" i="51" s="1"/>
  <c r="K34" i="51"/>
  <c r="L34" i="51" s="1"/>
  <c r="M34" i="51" s="1"/>
  <c r="K9" i="51"/>
  <c r="L9" i="51"/>
  <c r="M9" i="51"/>
  <c r="K30" i="51"/>
  <c r="L30" i="51"/>
  <c r="M30" i="51" s="1"/>
  <c r="K31" i="51"/>
  <c r="L31" i="51"/>
  <c r="M31" i="51" s="1"/>
  <c r="K10" i="51"/>
  <c r="L10" i="51"/>
  <c r="M10" i="51"/>
  <c r="K11" i="51"/>
  <c r="L11" i="51" s="1"/>
  <c r="M11" i="51" s="1"/>
  <c r="K35" i="53" l="1"/>
  <c r="L35" i="53" s="1"/>
  <c r="M35" i="53" s="1"/>
  <c r="K44" i="53"/>
  <c r="L44" i="53" s="1"/>
  <c r="M44" i="53" s="1"/>
  <c r="K38" i="53"/>
  <c r="L38" i="53" s="1"/>
  <c r="M38" i="53" s="1"/>
  <c r="K32" i="53"/>
  <c r="L32" i="53" s="1"/>
  <c r="M32" i="53" s="1"/>
  <c r="K33" i="53"/>
  <c r="L33" i="53" s="1"/>
  <c r="M33" i="53" s="1"/>
  <c r="K41" i="53"/>
  <c r="L41" i="53" s="1"/>
  <c r="M41" i="53" s="1"/>
  <c r="K24" i="53"/>
  <c r="L24" i="53" s="1"/>
  <c r="M24" i="53" s="1"/>
  <c r="K40" i="53"/>
  <c r="L40" i="53" s="1"/>
  <c r="M40" i="53" s="1"/>
  <c r="K34" i="53"/>
  <c r="L34" i="53" s="1"/>
  <c r="M34" i="53" s="1"/>
  <c r="K37" i="53"/>
  <c r="L37" i="53" s="1"/>
  <c r="M37" i="53" s="1"/>
  <c r="K11" i="53"/>
  <c r="L11" i="53" s="1"/>
  <c r="M11" i="53" s="1"/>
  <c r="K13" i="53"/>
  <c r="L13" i="53" s="1"/>
  <c r="M13" i="53" s="1"/>
  <c r="K14" i="53"/>
  <c r="L14" i="53" s="1"/>
  <c r="M14" i="53" s="1"/>
  <c r="K20" i="53"/>
  <c r="L20" i="53" s="1"/>
  <c r="M20" i="53" s="1"/>
  <c r="K21" i="53"/>
  <c r="L21" i="53" s="1"/>
  <c r="M21" i="53" s="1"/>
  <c r="K22" i="53"/>
  <c r="L22" i="53" s="1"/>
  <c r="M22" i="53" s="1"/>
  <c r="K23" i="53"/>
  <c r="L23" i="53" s="1"/>
  <c r="M23" i="53" s="1"/>
  <c r="K28" i="53"/>
  <c r="L28" i="53" s="1"/>
  <c r="M28" i="53" s="1"/>
  <c r="K25" i="53"/>
  <c r="L25" i="53" s="1"/>
  <c r="M25" i="53" s="1"/>
  <c r="K26" i="53"/>
  <c r="L26" i="53" s="1"/>
  <c r="M26" i="53" s="1"/>
  <c r="K27" i="53"/>
  <c r="L27" i="53" s="1"/>
  <c r="M27" i="53" s="1"/>
  <c r="K29" i="53"/>
  <c r="L29" i="53" s="1"/>
  <c r="M29" i="53" s="1"/>
  <c r="K30" i="53"/>
  <c r="L30" i="53" s="1"/>
  <c r="M30" i="53" s="1"/>
  <c r="K31" i="53"/>
  <c r="L31" i="53" s="1"/>
  <c r="M31" i="53" s="1"/>
  <c r="K12" i="53"/>
  <c r="L12" i="53" s="1"/>
  <c r="M12" i="53" s="1"/>
  <c r="K39" i="53"/>
  <c r="L39" i="53" s="1"/>
  <c r="M39" i="53" s="1"/>
  <c r="K36" i="53"/>
  <c r="L36" i="53" s="1"/>
  <c r="M36" i="53" s="1"/>
  <c r="K9" i="53"/>
  <c r="L9" i="53" s="1"/>
  <c r="M9" i="53" s="1"/>
  <c r="K10" i="53"/>
  <c r="L10" i="53" s="1"/>
  <c r="M10" i="53" s="1"/>
  <c r="K15" i="53"/>
  <c r="L15" i="53" s="1"/>
  <c r="M15" i="53" s="1"/>
  <c r="K16" i="53"/>
  <c r="L16" i="53" s="1"/>
  <c r="M16" i="53" s="1"/>
  <c r="K17" i="53"/>
  <c r="L17" i="53" s="1"/>
  <c r="M17" i="53" s="1"/>
  <c r="K42" i="53"/>
  <c r="L42" i="53" s="1"/>
  <c r="M42" i="53" s="1"/>
  <c r="K43" i="53"/>
  <c r="L43" i="53" s="1"/>
  <c r="M43" i="53" s="1"/>
  <c r="K8" i="53"/>
  <c r="L8" i="53" s="1"/>
  <c r="M8" i="5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13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3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300-000004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E18" authorId="0" shapeId="0" xr:uid="{00000000-0006-0000-03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3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3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3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3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3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29" authorId="1" shapeId="0" xr:uid="{00000000-0006-0000-03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34" authorId="0" shapeId="0" xr:uid="{00000000-0006-0000-0300-00000C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4" authorId="0" shapeId="0" xr:uid="{00000000-0006-0000-0300-00000D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B7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20.712 MJ per day</t>
        </r>
      </text>
    </comment>
    <comment ref="B8" authorId="0" shapeId="0" xr:uid="{00000000-0006-0000-0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20.384 MJ per day MJ per day</t>
        </r>
      </text>
    </comment>
    <comment ref="E8" authorId="0" shapeId="0" xr:uid="{00000000-0006-0000-0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B9" authorId="0" shapeId="0" xr:uid="{00000000-0006-0000-0C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 and tariff includes 2 more blocks that have not been included due to very high consumption threshold.</t>
        </r>
      </text>
    </comment>
    <comment ref="E9" authorId="0" shapeId="0" xr:uid="{00000000-0006-0000-0C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B10" authorId="1" shapeId="0" xr:uid="{00000000-0006-0000-0C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next 2654.794 MJ per day MJ per day and tariff includes 1 more block that has not been included due to very high consumption threshold.</t>
        </r>
      </text>
    </comment>
    <comment ref="E10" authorId="0" shapeId="0" xr:uid="{00000000-0006-0000-0C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E15" authorId="0" shapeId="0" xr:uid="{00000000-0006-0000-0C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0D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0D00-000003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H6" authorId="0" shapeId="0" xr:uid="{00000000-0006-0000-0D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0D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0D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F7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41.0959 MJ/day
Note: Tariff has 3 blocks but as the second block covers a bi-monthly usage of up to 167,000Mj it has been entered as 'balance' </t>
        </r>
      </text>
    </comment>
    <comment ref="E8" authorId="0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E9" authorId="0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E10" authorId="0" shapeId="0" xr:uid="{00000000-0006-0000-0E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0F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0F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1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10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E8" authorId="0" shapeId="0" xr:uid="{00000000-0006-0000-10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10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0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E15" authorId="0" shapeId="0" xr:uid="{00000000-0006-0000-10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1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11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1100-000003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H6" authorId="0" shapeId="0" xr:uid="{00000000-0006-0000-11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11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11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F7" authorId="0" shapeId="0" xr:uid="{00000000-0006-0000-12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41.0959 MJ/day
Note: Tariff has 3 blocks but as the second block covers a bi-monthly usage of up to 167,000Mj it has been entered as 'balance' </t>
        </r>
      </text>
    </comment>
    <comment ref="E8" authorId="0" shapeId="0" xr:uid="{00000000-0006-0000-12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E9" authorId="0" shapeId="0" xr:uid="{00000000-0006-0000-12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2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3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13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1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14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E8" authorId="0" shapeId="0" xr:uid="{00000000-0006-0000-14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4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14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4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E15" authorId="0" shapeId="0" xr:uid="{00000000-0006-0000-14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5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15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1500-000003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H6" authorId="0" shapeId="0" xr:uid="{00000000-0006-0000-15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15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15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13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4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4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400-000004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E18" authorId="0" shapeId="0" xr:uid="{00000000-0006-0000-04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4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4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4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4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4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29" authorId="1" shapeId="0" xr:uid="{00000000-0006-0000-04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34" authorId="0" shapeId="0" xr:uid="{00000000-0006-0000-0400-00000C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4" authorId="0" shapeId="0" xr:uid="{00000000-0006-0000-0400-00000D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F7" authorId="0" shapeId="0" xr:uid="{00000000-0006-0000-1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41.0959 MJ/day
Note: Tariff has 3 blocks but as the second block covers a bi-monthly usage of up to 167,000Mj it has been entered as 'balance' </t>
        </r>
      </text>
    </comment>
    <comment ref="E8" authorId="0" shapeId="0" xr:uid="{00000000-0006-0000-1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E9" authorId="0" shapeId="0" xr:uid="{00000000-0006-0000-16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6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7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17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1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</t>
        </r>
        <r>
          <rPr>
            <b/>
            <sz val="9"/>
            <color indexed="81"/>
            <rFont val="Verdana"/>
            <family val="2"/>
          </rPr>
          <t>15,000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B8" authorId="0" shapeId="0" xr:uid="{00000000-0006-0000-18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18,000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8" authorId="0" shapeId="0" xr:uid="{00000000-0006-0000-18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8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69,000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9" authorId="0" shapeId="0" xr:uid="{00000000-0006-0000-18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B10" authorId="0" shapeId="0" xr:uid="{00000000-0006-0000-18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900,000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10" authorId="0" shapeId="0" xr:uid="{00000000-0006-0000-18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E15" authorId="0" shapeId="0" xr:uid="{00000000-0006-0000-18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834,000 MJ.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9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19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19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H6" authorId="0" shapeId="0" xr:uid="{00000000-0006-0000-19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19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19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7" authorId="0" shapeId="0" xr:uid="{00000000-0006-0000-1A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60.274 MJ/day</t>
        </r>
      </text>
    </comment>
    <comment ref="F7" authorId="0" shapeId="0" xr:uid="{00000000-0006-0000-1A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49.315 MJ/day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B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1B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1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</t>
        </r>
        <r>
          <rPr>
            <b/>
            <sz val="9"/>
            <color indexed="81"/>
            <rFont val="Verdana"/>
            <family val="2"/>
          </rPr>
          <t>15,000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B8" authorId="0" shapeId="0" xr:uid="{00000000-0006-0000-1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18,000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8" authorId="0" shapeId="0" xr:uid="{00000000-0006-0000-1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C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69,000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9" authorId="0" shapeId="0" xr:uid="{00000000-0006-0000-1C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B10" authorId="0" shapeId="0" xr:uid="{00000000-0006-0000-1C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</t>
        </r>
        <r>
          <rPr>
            <b/>
            <sz val="9"/>
            <color indexed="81"/>
            <rFont val="Verdana"/>
            <family val="2"/>
          </rPr>
          <t>900,000 MJ</t>
        </r>
        <r>
          <rPr>
            <sz val="9"/>
            <color indexed="81"/>
            <rFont val="Verdana"/>
            <family val="2"/>
          </rPr>
          <t xml:space="preserve"> per annum and that it calculates threshold by dividing annual threshold by 365 and multiplying by number of days in billing period.</t>
        </r>
      </text>
    </comment>
    <comment ref="E10" authorId="0" shapeId="0" xr:uid="{00000000-0006-0000-1C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E15" authorId="0" shapeId="0" xr:uid="{00000000-0006-0000-1C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834,000 MJ.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D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1D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1D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H6" authorId="0" shapeId="0" xr:uid="{00000000-0006-0000-1D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1D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1D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7" authorId="0" shapeId="0" xr:uid="{00000000-0006-0000-1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60.274 MJ/day</t>
        </r>
      </text>
    </comment>
    <comment ref="F7" authorId="0" shapeId="0" xr:uid="{00000000-0006-0000-1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49.315 MJ/day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F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1F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13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Temora
Included in gas zone 2 (Henty etc) from July 2013</t>
        </r>
      </text>
    </comment>
    <comment ref="E18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5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5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5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5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5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29" authorId="1" shapeId="0" xr:uid="{00000000-0006-0000-05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34" authorId="0" shapeId="0" xr:uid="{00000000-0006-0000-0500-00000C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4" authorId="0" shapeId="0" xr:uid="{00000000-0006-0000-0500-00000D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2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20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E8" authorId="0" shapeId="0" xr:uid="{00000000-0006-0000-20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2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20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20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20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1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21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21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H6" authorId="0" shapeId="0" xr:uid="{00000000-0006-0000-21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21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J6" authorId="0" shapeId="0" xr:uid="{00000000-0006-0000-2100-000006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200-000001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F6" authorId="0" shapeId="0" xr:uid="{00000000-0006-0000-2200-000002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G6" authorId="0" shapeId="0" xr:uid="{00000000-0006-0000-2200-000003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E7" authorId="0" shapeId="0" xr:uid="{00000000-0006-0000-22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60.274 MJ/day</t>
        </r>
      </text>
    </comment>
    <comment ref="F7" authorId="0" shapeId="0" xr:uid="{00000000-0006-0000-22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49.315 MJ/day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3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23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7" authorId="0" shapeId="0" xr:uid="{00000000-0006-0000-2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stpulates first 60.273MJ per day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5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F6" authorId="0" shapeId="0" xr:uid="{00000000-0006-0000-25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G6" authorId="0" shapeId="0" xr:uid="{00000000-0006-0000-25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H6" authorId="0" shapeId="0" xr:uid="{00000000-0006-0000-25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I6" authorId="0" shapeId="0" xr:uid="{00000000-0006-0000-25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600-000001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F6" authorId="0" shapeId="0" xr:uid="{00000000-0006-0000-2600-000002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G6" authorId="0" shapeId="0" xr:uid="{00000000-0006-0000-2600-000003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E7" authorId="0" shapeId="0" xr:uid="{00000000-0006-0000-26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60.274 MJ/day</t>
        </r>
      </text>
    </comment>
    <comment ref="F7" authorId="0" shapeId="0" xr:uid="{00000000-0006-0000-2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49.315 MJ/day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700-000001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F6" authorId="0" shapeId="0" xr:uid="{00000000-0006-0000-2700-000002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13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E18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6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6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6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6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6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31" authorId="0" shapeId="0" xr:uid="{00000000-0006-0000-0600-00000B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1" authorId="0" shapeId="0" xr:uid="{00000000-0006-0000-0600-00000C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13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B18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8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8" authorId="0" shapeId="0" xr:uid="{00000000-0006-0000-0700-000004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E18" authorId="0" shapeId="0" xr:uid="{00000000-0006-0000-0700-000005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8" authorId="0" shapeId="0" xr:uid="{00000000-0006-0000-0700-000006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G18" authorId="0" shapeId="0" xr:uid="{00000000-0006-0000-0700-000007000000}">
      <text>
        <r>
          <rPr>
            <b/>
            <sz val="9"/>
            <color indexed="81"/>
            <rFont val="Verdana"/>
            <family val="2"/>
          </rPr>
          <t xml:space="preserve">Tamworth
</t>
        </r>
      </text>
    </comment>
    <comment ref="B24" authorId="0" shapeId="0" xr:uid="{00000000-0006-0000-07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7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7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31" authorId="0" shapeId="0" xr:uid="{00000000-0006-0000-0700-00000B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1" authorId="0" shapeId="0" xr:uid="{00000000-0006-0000-0700-00000C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13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B18" authorId="0" shapeId="0" xr:uid="{00000000-0006-0000-0800-000002000000}">
      <text>
        <r>
          <rPr>
            <b/>
            <sz val="9"/>
            <color rgb="FF000000"/>
            <rFont val="Verdana"/>
            <family val="2"/>
          </rPr>
          <t xml:space="preserve">Cooma &amp; Bombala
</t>
        </r>
      </text>
    </comment>
    <comment ref="C18" authorId="0" shapeId="0" xr:uid="{00000000-0006-0000-0800-000003000000}">
      <text>
        <r>
          <rPr>
            <b/>
            <sz val="9"/>
            <color rgb="FF000000"/>
            <rFont val="Verdana"/>
            <family val="2"/>
          </rPr>
          <t>Henty, Holbrook, Culcairn &amp; Walla Walla</t>
        </r>
      </text>
    </comment>
    <comment ref="D18" authorId="0" shapeId="0" xr:uid="{00000000-0006-0000-0800-000004000000}">
      <text>
        <r>
          <rPr>
            <b/>
            <sz val="9"/>
            <color rgb="FF000000"/>
            <rFont val="Verdana"/>
            <family val="2"/>
          </rPr>
          <t xml:space="preserve">Temora
</t>
        </r>
      </text>
    </comment>
    <comment ref="E18" authorId="0" shapeId="0" xr:uid="{00000000-0006-0000-0800-000005000000}">
      <text>
        <r>
          <rPr>
            <b/>
            <sz val="9"/>
            <color rgb="FF000000"/>
            <rFont val="Verdana"/>
            <family val="2"/>
          </rPr>
          <t>Tumut &amp; Gundagai</t>
        </r>
      </text>
    </comment>
    <comment ref="F18" authorId="0" shapeId="0" xr:uid="{00000000-0006-0000-0800-000006000000}">
      <text>
        <r>
          <rPr>
            <b/>
            <sz val="9"/>
            <color rgb="FF000000"/>
            <rFont val="Verdana"/>
            <family val="2"/>
          </rPr>
          <t>Wagga Wagga and Uranquity</t>
        </r>
      </text>
    </comment>
    <comment ref="G18" authorId="0" shapeId="0" xr:uid="{00000000-0006-0000-0800-000007000000}">
      <text>
        <r>
          <rPr>
            <b/>
            <sz val="9"/>
            <color rgb="FF000000"/>
            <rFont val="Verdana"/>
            <family val="2"/>
          </rPr>
          <t xml:space="preserve">Tamworth
</t>
        </r>
      </text>
    </comment>
    <comment ref="B24" authorId="0" shapeId="0" xr:uid="{00000000-0006-0000-0800-000008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4" authorId="0" shapeId="0" xr:uid="{00000000-0006-0000-0800-000009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4" authorId="0" shapeId="0" xr:uid="{00000000-0006-0000-0800-00000A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31" authorId="0" shapeId="0" xr:uid="{00000000-0006-0000-0800-00000B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31" authorId="0" shapeId="0" xr:uid="{00000000-0006-0000-0800-00000C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15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 xml:space="preserve">Cooma &amp; Bombala
</t>
        </r>
      </text>
    </comment>
    <comment ref="C15" authorId="0" shapeId="0" xr:uid="{00000000-0006-0000-0900-000002000000}">
      <text>
        <r>
          <rPr>
            <b/>
            <sz val="9"/>
            <color indexed="81"/>
            <rFont val="Verdana"/>
            <family val="2"/>
          </rPr>
          <t>Henty, Holbrook, Culcairn &amp; Walla Walla</t>
        </r>
      </text>
    </comment>
    <comment ref="D15" authorId="0" shapeId="0" xr:uid="{00000000-0006-0000-0900-000003000000}">
      <text>
        <r>
          <rPr>
            <b/>
            <sz val="9"/>
            <color indexed="81"/>
            <rFont val="Verdana"/>
            <family val="2"/>
          </rPr>
          <t xml:space="preserve">Temora
</t>
        </r>
      </text>
    </comment>
    <comment ref="E15" authorId="0" shapeId="0" xr:uid="{00000000-0006-0000-0900-000004000000}">
      <text>
        <r>
          <rPr>
            <b/>
            <sz val="9"/>
            <color indexed="81"/>
            <rFont val="Verdana"/>
            <family val="2"/>
          </rPr>
          <t>Tumut &amp; Gundagai</t>
        </r>
      </text>
    </comment>
    <comment ref="F15" authorId="0" shapeId="0" xr:uid="{00000000-0006-0000-0900-000005000000}">
      <text>
        <r>
          <rPr>
            <b/>
            <sz val="9"/>
            <color indexed="81"/>
            <rFont val="Verdana"/>
            <family val="2"/>
          </rPr>
          <t>Wagga Wagga and Uranquity</t>
        </r>
      </text>
    </comment>
    <comment ref="B21" authorId="0" shapeId="0" xr:uid="{00000000-0006-0000-0900-000006000000}">
      <text>
        <r>
          <rPr>
            <b/>
            <sz val="9"/>
            <color indexed="81"/>
            <rFont val="Verdana"/>
            <family val="2"/>
          </rPr>
          <t>Boorowa, Goulburn, Yass &amp; Young. Tariff: 1.2, Saver plan</t>
        </r>
      </text>
    </comment>
    <comment ref="C21" authorId="0" shapeId="0" xr:uid="{00000000-0006-0000-0900-000007000000}">
      <text>
        <r>
          <rPr>
            <b/>
            <sz val="9"/>
            <color indexed="81"/>
            <rFont val="Verdana"/>
            <family val="2"/>
          </rPr>
          <t>Queanbeyan and Bundgendore. Tariff 1.3, Saver plus plan</t>
        </r>
      </text>
    </comment>
    <comment ref="D21" authorId="0" shapeId="0" xr:uid="{00000000-0006-0000-0900-000008000000}">
      <text>
        <r>
          <rPr>
            <b/>
            <sz val="9"/>
            <color indexed="81"/>
            <rFont val="Verdana"/>
            <family val="2"/>
          </rPr>
          <t>Shoalhaven. Tariff 1.1, Economy tariff</t>
        </r>
      </text>
    </comment>
    <comment ref="B28" authorId="0" shapeId="0" xr:uid="{00000000-0006-0000-0900-000009000000}">
      <text>
        <r>
          <rPr>
            <b/>
            <sz val="9"/>
            <color indexed="81"/>
            <rFont val="Verdana"/>
            <family val="2"/>
          </rPr>
          <t>Albury, Jindera &amp; Moama</t>
        </r>
      </text>
    </comment>
    <comment ref="C28" authorId="0" shapeId="0" xr:uid="{00000000-0006-0000-0900-00000A000000}">
      <text>
        <r>
          <rPr>
            <b/>
            <sz val="9"/>
            <color indexed="81"/>
            <rFont val="Verdana"/>
            <family val="2"/>
          </rPr>
          <t xml:space="preserve">NSW Murray Valley towns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J1" authorId="0" shapeId="0" xr:uid="{BEF4CEBF-BAE5-7D48-BBE2-350E472E8F2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Steps are accumulative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J1" authorId="0" shapeId="0" xr:uid="{F4DC5730-420F-8240-AD88-ECE1B03D192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Steps are accumulative</t>
        </r>
      </text>
    </comment>
    <comment ref="J12" authorId="0" shapeId="0" xr:uid="{14737C08-C146-C04E-8461-A3081C4CF97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block has dropped dramatically	</t>
        </r>
      </text>
    </comment>
  </commentList>
</comments>
</file>

<file path=xl/sharedStrings.xml><?xml version="1.0" encoding="utf-8"?>
<sst xmlns="http://schemas.openxmlformats.org/spreadsheetml/2006/main" count="5094" uniqueCount="540">
  <si>
    <t>Bill impacts for all gas zones July 2010</t>
    <phoneticPr fontId="6" type="noConversion"/>
  </si>
  <si>
    <t>ActewAGL 2</t>
    <phoneticPr fontId="6" type="noConversion"/>
  </si>
  <si>
    <t>Boorowa, Goulburn, Yass and Young</t>
    <phoneticPr fontId="6" type="noConversion"/>
  </si>
  <si>
    <t>Shoalhaven</t>
    <phoneticPr fontId="6" type="noConversion"/>
  </si>
  <si>
    <t>Bi-mothly Off-Peak bill balance</t>
    <phoneticPr fontId="6" type="noConversion"/>
  </si>
  <si>
    <t>DISCLAIMER:</t>
  </si>
  <si>
    <t xml:space="preserve">no parts may be adapted, reproduced, copied, stored, distributed, published or put to commercial use </t>
    <phoneticPr fontId="19" type="noConversion"/>
  </si>
  <si>
    <t>2st block (MJ/60 days)</t>
    <phoneticPr fontId="6" type="noConversion"/>
  </si>
  <si>
    <t>3rd block (MJ/60 days)</t>
    <phoneticPr fontId="6" type="noConversion"/>
  </si>
  <si>
    <t>c/MJ 1st block peak/consumption</t>
    <phoneticPr fontId="6" type="noConversion"/>
  </si>
  <si>
    <t>Bill impacts for all gas zones July 2011</t>
    <phoneticPr fontId="6" type="noConversion"/>
  </si>
  <si>
    <t>ActewAGL 2</t>
  </si>
  <si>
    <t>Tab colours:</t>
  </si>
  <si>
    <t>Project outputs</t>
  </si>
  <si>
    <t>c/MJ 2nd block Off-peak</t>
    <phoneticPr fontId="6" type="noConversion"/>
  </si>
  <si>
    <t>c/MJ 3rd block Off-peak</t>
    <phoneticPr fontId="6" type="noConversion"/>
  </si>
  <si>
    <t>Bi-mothly Peak bill 2nd block</t>
    <phoneticPr fontId="6" type="noConversion"/>
  </si>
  <si>
    <t xml:space="preserve">relied upon. The workbook is not an appropriate substitute for obtaining an offer from an energy retailer.  The information presented </t>
  </si>
  <si>
    <t>AGL</t>
    <phoneticPr fontId="6" type="noConversion"/>
  </si>
  <si>
    <t>ActewAGL</t>
    <phoneticPr fontId="6" type="noConversion"/>
  </si>
  <si>
    <t>Residential tariff</t>
    <phoneticPr fontId="6" type="noConversion"/>
  </si>
  <si>
    <t xml:space="preserve">St Vincent de Paul Society, Workbook 2: Regulated Gas tariffs in NSW, July 2009 - July 2012 </t>
    <phoneticPr fontId="6" type="noConversion"/>
  </si>
  <si>
    <t>Origin 1</t>
    <phoneticPr fontId="6" type="noConversion"/>
  </si>
  <si>
    <t>Origin 2</t>
    <phoneticPr fontId="6" type="noConversion"/>
  </si>
  <si>
    <t>Origin 3</t>
  </si>
  <si>
    <t>Origin 4</t>
  </si>
  <si>
    <t>Origin 5</t>
  </si>
  <si>
    <t>July 2014</t>
    <phoneticPr fontId="6" type="noConversion"/>
  </si>
  <si>
    <t>ActewAGL</t>
    <phoneticPr fontId="6" type="noConversion"/>
  </si>
  <si>
    <t>Origin</t>
    <phoneticPr fontId="6" type="noConversion"/>
  </si>
  <si>
    <t>The main purpose of this workbook is to provide consumer advocates with a tool to track and analyse</t>
  </si>
  <si>
    <t>Origin 6</t>
    <phoneticPr fontId="6" type="noConversion"/>
  </si>
  <si>
    <t xml:space="preserve"> Origin 7</t>
    <phoneticPr fontId="6" type="noConversion"/>
  </si>
  <si>
    <t>Origin 8</t>
    <phoneticPr fontId="6" type="noConversion"/>
  </si>
  <si>
    <t>© St Vincent de Paul Society and Alviss Consulting Pty Ltd</t>
  </si>
  <si>
    <t>Bi-mothly bill balance</t>
    <phoneticPr fontId="6" type="noConversion"/>
  </si>
  <si>
    <t>c/MJ 1st block Off-peak</t>
    <phoneticPr fontId="6" type="noConversion"/>
  </si>
  <si>
    <t>Number of off peak summer bills</t>
  </si>
  <si>
    <t>St Vincent de Paul Society, Workbook 2: Regulated Gas tariffs in NSW</t>
    <phoneticPr fontId="6" type="noConversion"/>
  </si>
  <si>
    <t>Regulated gas retail offers July 2015 (exc GST)</t>
    <phoneticPr fontId="6" type="noConversion"/>
  </si>
  <si>
    <t>St Vincent de Paul Society, Workbook 2: Regulated Gas tariffs in NSW</t>
    <phoneticPr fontId="6" type="noConversion"/>
  </si>
  <si>
    <t xml:space="preserve">St Vincent de Paul Society, Workbook 2: Regulated Gas tariffs in NSW </t>
    <phoneticPr fontId="6" type="noConversion"/>
  </si>
  <si>
    <t>St Vincent de Paul Society, Workbook 2: Regulated Gas tariffs in NSW, July 2009 - July 2012</t>
    <phoneticPr fontId="6" type="noConversion"/>
  </si>
  <si>
    <t>Murray Valley Towns</t>
  </si>
  <si>
    <t>intellectual property and subject to copyright. Apart from any use permitted under the Copyright Act 1968 (Ctw),</t>
    <phoneticPr fontId="19" type="noConversion"/>
  </si>
  <si>
    <t>St Vincent de Paul Society, Workbook 2: Regulated Gas tariffs in NSW, July 2009 - July 2015</t>
    <phoneticPr fontId="6" type="noConversion"/>
  </si>
  <si>
    <t>Bill impacts for all gas zones July 2015</t>
    <phoneticPr fontId="6" type="noConversion"/>
  </si>
  <si>
    <t xml:space="preserve">Bi-mothly Off-Peak bill 1st block or all usage </t>
    <phoneticPr fontId="6" type="noConversion"/>
  </si>
  <si>
    <t>Bi-mothly Off-peak bill 2nd block</t>
    <phoneticPr fontId="6" type="noConversion"/>
  </si>
  <si>
    <t>Bi-mothly Off-Peak bill balance</t>
    <phoneticPr fontId="6" type="noConversion"/>
  </si>
  <si>
    <t>Bi-monthly bill fixed charges</t>
    <phoneticPr fontId="6" type="noConversion"/>
  </si>
  <si>
    <t>Bi-monthly bill</t>
    <phoneticPr fontId="6" type="noConversion"/>
  </si>
  <si>
    <t>na</t>
    <phoneticPr fontId="6" type="noConversion"/>
  </si>
  <si>
    <t>Queanbeyan and Bundgendore</t>
  </si>
  <si>
    <t>ActewAGL 3</t>
  </si>
  <si>
    <t>c/per day fixed charges</t>
  </si>
  <si>
    <t>Country 1</t>
    <phoneticPr fontId="6" type="noConversion"/>
  </si>
  <si>
    <t>4th block (MJ/60 days)</t>
    <phoneticPr fontId="6" type="noConversion"/>
  </si>
  <si>
    <t>Tamworth (new gas zone)</t>
    <phoneticPr fontId="6" type="noConversion"/>
  </si>
  <si>
    <t>*As gas prices can be seasonal (winter peak and summer off-peak) the bi-monthly consumption entered is</t>
    <phoneticPr fontId="6" type="noConversion"/>
  </si>
  <si>
    <t>Henty, Holbrook, Culcairn &amp; Walla Walla</t>
    <phoneticPr fontId="6" type="noConversion"/>
  </si>
  <si>
    <t>Temora</t>
    <phoneticPr fontId="6" type="noConversion"/>
  </si>
  <si>
    <t>Regulated gas retail offers July 2012 (inc GST)</t>
    <phoneticPr fontId="6" type="noConversion"/>
  </si>
  <si>
    <t>c/MJ 1st block Off-peak</t>
    <phoneticPr fontId="6" type="noConversion"/>
  </si>
  <si>
    <t>Tamworth</t>
    <phoneticPr fontId="6" type="noConversion"/>
  </si>
  <si>
    <t xml:space="preserve">*The first 7 spreadsheets (bills) are interactive spreadsheet where bi-monthly consumption can be adjusted. </t>
    <phoneticPr fontId="6" type="noConversion"/>
  </si>
  <si>
    <t xml:space="preserve">St Vincent de Paul Society (August 2011), Workbook 2: Regulated Gas tariffs in NSW, July 2009 - July 2011 </t>
    <phoneticPr fontId="6" type="noConversion"/>
  </si>
  <si>
    <t>Host retailer zones</t>
    <phoneticPr fontId="6" type="noConversion"/>
  </si>
  <si>
    <t>Origin 6</t>
  </si>
  <si>
    <t>Origin 7</t>
    <phoneticPr fontId="6" type="noConversion"/>
  </si>
  <si>
    <t>Origin 8</t>
    <phoneticPr fontId="6" type="noConversion"/>
  </si>
  <si>
    <t>Country 1:</t>
    <phoneticPr fontId="6" type="noConversion"/>
  </si>
  <si>
    <t>Origin 1</t>
    <phoneticPr fontId="6" type="noConversion"/>
  </si>
  <si>
    <t>Origin 2</t>
    <phoneticPr fontId="6" type="noConversion"/>
  </si>
  <si>
    <t>Origin 3</t>
    <phoneticPr fontId="6" type="noConversion"/>
  </si>
  <si>
    <t>Origin 4</t>
    <phoneticPr fontId="6" type="noConversion"/>
  </si>
  <si>
    <t>Origin 5</t>
    <phoneticPr fontId="6" type="noConversion"/>
  </si>
  <si>
    <t xml:space="preserve">The St Vincent de Paul Society and Alviss Consulting Pty Ltd do not accept liability for any action taken based on the information provided in  </t>
    <phoneticPr fontId="19" type="noConversion"/>
  </si>
  <si>
    <t>Bi-mothly Peak bill balance</t>
    <phoneticPr fontId="6" type="noConversion"/>
  </si>
  <si>
    <t xml:space="preserve">Bi-mothly Off-Peak bill 1st block </t>
    <phoneticPr fontId="6" type="noConversion"/>
  </si>
  <si>
    <t>ActewAGL 3</t>
    <phoneticPr fontId="6" type="noConversion"/>
  </si>
  <si>
    <t>Insert bi-monthly consumption (Mj):</t>
    <phoneticPr fontId="6" type="noConversion"/>
  </si>
  <si>
    <t>Actew AGL 1:</t>
    <phoneticPr fontId="6" type="noConversion"/>
  </si>
  <si>
    <t xml:space="preserve">St Vincent de Paul Society, Workbook 2: Regulated Gas tariffs in NSW, July 2009 - July 2012 </t>
    <phoneticPr fontId="6" type="noConversion"/>
  </si>
  <si>
    <t>Regulated gas retail offers July 2009 (inc GST)</t>
    <phoneticPr fontId="6" type="noConversion"/>
  </si>
  <si>
    <t>Country 6</t>
    <phoneticPr fontId="6" type="noConversion"/>
  </si>
  <si>
    <t xml:space="preserve">Bi-mothly Peak bill 1st block or all usage </t>
    <phoneticPr fontId="6" type="noConversion"/>
  </si>
  <si>
    <t>Origin 2:</t>
    <phoneticPr fontId="6" type="noConversion"/>
  </si>
  <si>
    <t>Boroowa, Goulburn, Yass and Young</t>
    <phoneticPr fontId="6" type="noConversion"/>
  </si>
  <si>
    <t>Wagga Wagga &amp; Uranquinty</t>
    <phoneticPr fontId="6" type="noConversion"/>
  </si>
  <si>
    <t>c/MJ 2nd block peak</t>
    <phoneticPr fontId="6" type="noConversion"/>
  </si>
  <si>
    <t>c/MJ 3rd block peak</t>
    <phoneticPr fontId="6" type="noConversion"/>
  </si>
  <si>
    <t>Bi-mothly bill usage 1st block or all usage</t>
  </si>
  <si>
    <t>Bi-monthly bill fixed charges</t>
  </si>
  <si>
    <t>Bi-mothly bill balance</t>
  </si>
  <si>
    <t>Bi-mothly bill balance</t>
    <phoneticPr fontId="6" type="noConversion"/>
  </si>
  <si>
    <t>Number of peak winter bills</t>
  </si>
  <si>
    <t>c/MJ 3rd block</t>
    <phoneticPr fontId="6" type="noConversion"/>
  </si>
  <si>
    <t>Country 3</t>
    <phoneticPr fontId="6" type="noConversion"/>
  </si>
  <si>
    <t>July 2015</t>
    <phoneticPr fontId="6" type="noConversion"/>
  </si>
  <si>
    <t xml:space="preserve">Actew AGL's area </t>
    <phoneticPr fontId="6" type="noConversion"/>
  </si>
  <si>
    <t xml:space="preserve">Origin's area </t>
    <phoneticPr fontId="6" type="noConversion"/>
  </si>
  <si>
    <t>Country 2</t>
    <phoneticPr fontId="6" type="noConversion"/>
  </si>
  <si>
    <t>Tumut &amp; Gundagai</t>
    <phoneticPr fontId="6" type="noConversion"/>
  </si>
  <si>
    <t>Queanbeyan and Bundgendore region</t>
    <phoneticPr fontId="6" type="noConversion"/>
  </si>
  <si>
    <t>Boorowa, Goulburn, Yass and Young</t>
    <phoneticPr fontId="6" type="noConversion"/>
  </si>
  <si>
    <t>Country 1</t>
    <phoneticPr fontId="6" type="noConversion"/>
  </si>
  <si>
    <t>Queanbeyan and Bundgendore region</t>
    <phoneticPr fontId="6" type="noConversion"/>
  </si>
  <si>
    <t>Bill impacts for all gas zones July 2013</t>
    <phoneticPr fontId="6" type="noConversion"/>
  </si>
  <si>
    <t>Origin 2</t>
    <phoneticPr fontId="6" type="noConversion"/>
  </si>
  <si>
    <t>c/MJ</t>
    <phoneticPr fontId="6" type="noConversion"/>
  </si>
  <si>
    <t>Zones</t>
    <phoneticPr fontId="6" type="noConversion"/>
  </si>
  <si>
    <t>Country 2:</t>
    <phoneticPr fontId="6" type="noConversion"/>
  </si>
  <si>
    <t xml:space="preserve">Country Energy's area </t>
    <phoneticPr fontId="6" type="noConversion"/>
  </si>
  <si>
    <t>*The 'annual bill" cell calculates the annual bill (across both seasons) and includes the supply charge.</t>
  </si>
  <si>
    <t>AGL</t>
    <phoneticPr fontId="6" type="noConversion"/>
  </si>
  <si>
    <t>Bi-monthly bill</t>
    <phoneticPr fontId="6" type="noConversion"/>
  </si>
  <si>
    <t>c/MJ 4th block</t>
    <phoneticPr fontId="6" type="noConversion"/>
  </si>
  <si>
    <t xml:space="preserve">1) Inform the community about changes to energy retail prices and increase consumer awareness </t>
  </si>
  <si>
    <t>2st block (MJ/60 days)</t>
  </si>
  <si>
    <t xml:space="preserve">this workbook or for any loss, economic or otherwise, suffered as a result of reliance on the information presented in this workbook.  </t>
    <phoneticPr fontId="19" type="noConversion"/>
  </si>
  <si>
    <t>Insert bi-monthly consumption (Mj):</t>
    <phoneticPr fontId="6" type="noConversion"/>
  </si>
  <si>
    <t>Jemena</t>
    <phoneticPr fontId="6" type="noConversion"/>
  </si>
  <si>
    <t>Envestra</t>
    <phoneticPr fontId="6" type="noConversion"/>
  </si>
  <si>
    <t>ActewAGL</t>
    <phoneticPr fontId="6" type="noConversion"/>
  </si>
  <si>
    <t>Sydney, Newcastle, Wollongong, Blue Mountains etc.</t>
    <phoneticPr fontId="6" type="noConversion"/>
  </si>
  <si>
    <t xml:space="preserve"> Origin 1</t>
    <phoneticPr fontId="6" type="noConversion"/>
  </si>
  <si>
    <t>allocated to the winter/summer rates according to the retail offer (e.g. 4 month winter peak equals 33.33% of the year)</t>
  </si>
  <si>
    <t xml:space="preserve">without prior written permission from the St Vincent de Paul Society. </t>
  </si>
  <si>
    <t>Purpose of project</t>
  </si>
  <si>
    <t>changes to domestic energy offers in NSW.  If regularly updated, this tariff-tracking tool can be used to:</t>
    <phoneticPr fontId="6" type="noConversion"/>
  </si>
  <si>
    <t>Country 5</t>
    <phoneticPr fontId="6" type="noConversion"/>
  </si>
  <si>
    <t>Bi-monthly bill fixed charges</t>
    <phoneticPr fontId="6" type="noConversion"/>
  </si>
  <si>
    <t>AGL</t>
  </si>
  <si>
    <t xml:space="preserve">Bi-mothly bill 1st block </t>
    <phoneticPr fontId="6" type="noConversion"/>
  </si>
  <si>
    <t>Bi-monthly bill 2nd block</t>
    <phoneticPr fontId="6" type="noConversion"/>
  </si>
  <si>
    <t>July 2010</t>
    <phoneticPr fontId="6" type="noConversion"/>
  </si>
  <si>
    <t>July 2011</t>
    <phoneticPr fontId="6" type="noConversion"/>
  </si>
  <si>
    <t xml:space="preserve"> Origin 1</t>
    <phoneticPr fontId="6" type="noConversion"/>
  </si>
  <si>
    <t xml:space="preserve">in the workbook is not provided as financial advice. While we have taken great care to ensure accuracy of the information provided in this </t>
  </si>
  <si>
    <t>Bi-monthly bill 3rd block</t>
    <phoneticPr fontId="6" type="noConversion"/>
  </si>
  <si>
    <t>July 2013</t>
    <phoneticPr fontId="6" type="noConversion"/>
  </si>
  <si>
    <t>July 2012</t>
    <phoneticPr fontId="6" type="noConversion"/>
  </si>
  <si>
    <t xml:space="preserve">*Analysis of bills (consumption level variable) across networks and retailers </t>
  </si>
  <si>
    <t>Bi-monthly bill 4th block</t>
    <phoneticPr fontId="6" type="noConversion"/>
  </si>
  <si>
    <t>Country 4</t>
    <phoneticPr fontId="6" type="noConversion"/>
  </si>
  <si>
    <t>Note: If tariff is seasonal, consumption will be allocated to winter peak and summer off-peak as per retail offer (e.g a four month winter peak equals 2 bills)</t>
    <phoneticPr fontId="6" type="noConversion"/>
  </si>
  <si>
    <t>Origin 2</t>
    <phoneticPr fontId="6" type="noConversion"/>
  </si>
  <si>
    <t>4th off-peak rate (c/MJ)</t>
    <phoneticPr fontId="6" type="noConversion"/>
  </si>
  <si>
    <t>5th off-peak rate (c/MJ)</t>
    <phoneticPr fontId="6" type="noConversion"/>
  </si>
  <si>
    <t>6th off-peak rate (c/MJ)</t>
    <phoneticPr fontId="6" type="noConversion"/>
  </si>
  <si>
    <t>1st shoulder rate (c/MJ)</t>
    <phoneticPr fontId="6" type="noConversion"/>
  </si>
  <si>
    <t>2nd shoulder rate (c/MJ)</t>
    <phoneticPr fontId="6" type="noConversion"/>
  </si>
  <si>
    <t>3rd shoulder rate (c/MJ)</t>
    <phoneticPr fontId="6" type="noConversion"/>
  </si>
  <si>
    <t>4th shoulder rate (c/MJ)</t>
    <phoneticPr fontId="6" type="noConversion"/>
  </si>
  <si>
    <t xml:space="preserve">St Vincent de Paul Society, Workbook 2: Regulated Gas tariffs in NSW, July 2009 - July 2014 </t>
    <phoneticPr fontId="6" type="noConversion"/>
  </si>
  <si>
    <t>Bill impacts for all gas zones July 2014</t>
    <phoneticPr fontId="6" type="noConversion"/>
  </si>
  <si>
    <t>Actew AGL 3:</t>
    <phoneticPr fontId="6" type="noConversion"/>
  </si>
  <si>
    <t>Origin</t>
    <phoneticPr fontId="6" type="noConversion"/>
  </si>
  <si>
    <t xml:space="preserve">This workbook is copyright. All works contained in it are St Vincent de Paul Society and Alviss Consulting’s  </t>
    <phoneticPr fontId="19" type="noConversion"/>
  </si>
  <si>
    <t>St Vincent de Paul Society, Workbook 2: Regulated Gas tariffs in NSW, July 2009 - July 2014</t>
    <phoneticPr fontId="6" type="noConversion"/>
  </si>
  <si>
    <t>Areas covered</t>
    <phoneticPr fontId="6" type="noConversion"/>
  </si>
  <si>
    <t>Network</t>
    <phoneticPr fontId="6" type="noConversion"/>
  </si>
  <si>
    <t>St Vincent de Paul Society, Workbook 2: Regulated Gas tariffs in NSW, July 2009 - July 2014</t>
    <phoneticPr fontId="6" type="noConversion"/>
  </si>
  <si>
    <t>Regulated gas retail offers July 2010 (inc GST)</t>
    <phoneticPr fontId="6" type="noConversion"/>
  </si>
  <si>
    <t>NSW Murray Valley towns (Postcodes 2643, 2646, 2647, 2713, 2714, 3644)</t>
    <phoneticPr fontId="6" type="noConversion"/>
  </si>
  <si>
    <t>Annual bill</t>
  </si>
  <si>
    <t>na</t>
    <phoneticPr fontId="6" type="noConversion"/>
  </si>
  <si>
    <t>Tamworth</t>
  </si>
  <si>
    <t>ActewAGL 1</t>
    <phoneticPr fontId="6" type="noConversion"/>
  </si>
  <si>
    <t>Regulated gas retail offers July 2013 (inc GST)</t>
    <phoneticPr fontId="6" type="noConversion"/>
  </si>
  <si>
    <t>2) Monitor the impact tariff changes have on household bills and energy affordability</t>
  </si>
  <si>
    <t>Albury, Jindera &amp; Moama (Postcodes 2640, 2641, 2642, 2731)</t>
    <phoneticPr fontId="6" type="noConversion"/>
  </si>
  <si>
    <t xml:space="preserve">Country 3 </t>
    <phoneticPr fontId="6" type="noConversion"/>
  </si>
  <si>
    <t>By May Mauseth Johnston, Alviss Consulting Pty Ltd</t>
    <phoneticPr fontId="6" type="noConversion"/>
  </si>
  <si>
    <t>NA</t>
    <phoneticPr fontId="6" type="noConversion"/>
  </si>
  <si>
    <t>Regulated gas retail offers July 2011 (inc GST)</t>
    <phoneticPr fontId="6" type="noConversion"/>
  </si>
  <si>
    <t>Country</t>
    <phoneticPr fontId="6" type="noConversion"/>
  </si>
  <si>
    <t xml:space="preserve">St Vincent de Paul Society, Workbook 2: Regulated Gas tariffs in NSW, July 2009 - July 2013 </t>
    <phoneticPr fontId="6" type="noConversion"/>
  </si>
  <si>
    <t>Regulated gas retail offers July 2013 (inc GST)</t>
    <phoneticPr fontId="6" type="noConversion"/>
  </si>
  <si>
    <t>c/MJ peak balance</t>
  </si>
  <si>
    <t xml:space="preserve">c/MJ 1st block </t>
    <phoneticPr fontId="6" type="noConversion"/>
  </si>
  <si>
    <t>c/MJ 2nd block</t>
    <phoneticPr fontId="6" type="noConversion"/>
  </si>
  <si>
    <t>This workbook contains:</t>
  </si>
  <si>
    <t>Holbrook, Henty, Culcairn and Walla Walla</t>
  </si>
  <si>
    <t>Temora</t>
  </si>
  <si>
    <t>Tumut and Gundagai</t>
  </si>
  <si>
    <t>St Vincent de Paul Society, Workbook 2: Regulated Gas tariffs in NSW, July 2009 - July 2013</t>
    <phoneticPr fontId="6" type="noConversion"/>
  </si>
  <si>
    <t>Source: www.resourcesandenergy.nsw.gov.au</t>
    <phoneticPr fontId="6" type="noConversion"/>
  </si>
  <si>
    <t xml:space="preserve">St Vincent de Paul Society, Workbook 2: Regulated Gas tariffs in NSW, July 2009 - July 2013 </t>
    <phoneticPr fontId="6" type="noConversion"/>
  </si>
  <si>
    <t>Actew AGL 2:</t>
    <phoneticPr fontId="6" type="noConversion"/>
  </si>
  <si>
    <t>St Vincent de Paul Society, NSW Tariff-Tracking Project, Workbook 2: Regulated Gas Offers</t>
    <phoneticPr fontId="6" type="noConversion"/>
  </si>
  <si>
    <t>Effective from</t>
    <phoneticPr fontId="6" type="noConversion"/>
  </si>
  <si>
    <t>3rd block</t>
    <phoneticPr fontId="6" type="noConversion"/>
  </si>
  <si>
    <t>4th block</t>
    <phoneticPr fontId="6" type="noConversion"/>
  </si>
  <si>
    <t>5th block</t>
    <phoneticPr fontId="6" type="noConversion"/>
  </si>
  <si>
    <t>Supply charge</t>
  </si>
  <si>
    <t>Annual bill (excl GST)</t>
  </si>
  <si>
    <t>NEW SOUTH WALES, JEMENA, ActewAGL &amp; ENVESTRA</t>
    <phoneticPr fontId="6" type="noConversion"/>
  </si>
  <si>
    <t>Gas offers</t>
    <phoneticPr fontId="6" type="noConversion"/>
  </si>
  <si>
    <t>Gas zone</t>
    <phoneticPr fontId="6" type="noConversion"/>
  </si>
  <si>
    <t>1st block</t>
    <phoneticPr fontId="6" type="noConversion"/>
  </si>
  <si>
    <t>2nd block</t>
    <phoneticPr fontId="6" type="noConversion"/>
  </si>
  <si>
    <t>Balance</t>
    <phoneticPr fontId="6" type="noConversion"/>
  </si>
  <si>
    <t>Bi-monthly bill</t>
    <phoneticPr fontId="6" type="noConversion"/>
  </si>
  <si>
    <t xml:space="preserve">Bi-mothly bill usage </t>
    <phoneticPr fontId="6" type="noConversion"/>
  </si>
  <si>
    <t>Country 5:</t>
    <phoneticPr fontId="6" type="noConversion"/>
  </si>
  <si>
    <t>3rd block (MJ/60 days)</t>
  </si>
  <si>
    <t xml:space="preserve">Bi-mothly Peak bill 1st block or all usage </t>
    <phoneticPr fontId="6" type="noConversion"/>
  </si>
  <si>
    <t>Country 3:</t>
    <phoneticPr fontId="6" type="noConversion"/>
  </si>
  <si>
    <t>Country 4:</t>
    <phoneticPr fontId="6" type="noConversion"/>
  </si>
  <si>
    <t>NA</t>
    <phoneticPr fontId="6" type="noConversion"/>
  </si>
  <si>
    <t>ActewAGL 1</t>
    <phoneticPr fontId="6" type="noConversion"/>
  </si>
  <si>
    <t>Retailers:</t>
  </si>
  <si>
    <t>1st block (MJ/60 days)</t>
  </si>
  <si>
    <t xml:space="preserve">Bi-mothly bill usage 1st block or all usage </t>
    <phoneticPr fontId="6" type="noConversion"/>
  </si>
  <si>
    <t>c/MJ 1st block peak/consumption</t>
    <phoneticPr fontId="6" type="noConversion"/>
  </si>
  <si>
    <t>Origin 1:</t>
    <phoneticPr fontId="6" type="noConversion"/>
  </si>
  <si>
    <t>Bi-monthly bill</t>
  </si>
  <si>
    <t xml:space="preserve">workbook, it is suitable for use only as a research and advocacy tool. We do not accept any legal responsibility for errors or inaccuracies. </t>
  </si>
  <si>
    <t>If you would like to obtain information about energy offers available to you as a customer, go to AER’s "Energy Made Easy" website</t>
    <phoneticPr fontId="6" type="noConversion"/>
  </si>
  <si>
    <r>
      <t>www.energymadeeasy.gov.au</t>
    </r>
    <r>
      <rPr>
        <sz val="10"/>
        <rFont val="Arial"/>
        <family val="2"/>
      </rPr>
      <t xml:space="preserve"> or contact the energy retailers directly.</t>
    </r>
    <phoneticPr fontId="6" type="noConversion"/>
  </si>
  <si>
    <t xml:space="preserve">AGL's area </t>
    <phoneticPr fontId="6" type="noConversion"/>
  </si>
  <si>
    <t>Origin</t>
    <phoneticPr fontId="6" type="noConversion"/>
  </si>
  <si>
    <t>Shoalhaven</t>
  </si>
  <si>
    <t>Cooma and Bombala</t>
  </si>
  <si>
    <t>3rd peak rate (c/MJ)</t>
    <phoneticPr fontId="6" type="noConversion"/>
  </si>
  <si>
    <t xml:space="preserve">The energy offers, tariffs and bill calculations presented in this workbook should be used as a general guide only and should not be </t>
  </si>
  <si>
    <t>AGL's area</t>
    <phoneticPr fontId="6" type="noConversion"/>
  </si>
  <si>
    <t>Albury, Moama and Jindera</t>
  </si>
  <si>
    <t>Country 6:</t>
    <phoneticPr fontId="6" type="noConversion"/>
  </si>
  <si>
    <t>Country 1:</t>
    <phoneticPr fontId="6" type="noConversion"/>
  </si>
  <si>
    <t>Cooma &amp; Bombala</t>
    <phoneticPr fontId="6" type="noConversion"/>
  </si>
  <si>
    <t>c/MJ balance</t>
    <phoneticPr fontId="6" type="noConversion"/>
  </si>
  <si>
    <t>ID</t>
  </si>
  <si>
    <t>Timestamp</t>
    <phoneticPr fontId="6" type="noConversion"/>
  </si>
  <si>
    <t>State</t>
    <phoneticPr fontId="6" type="noConversion"/>
  </si>
  <si>
    <t>Pricing zone</t>
    <phoneticPr fontId="6" type="noConversion"/>
  </si>
  <si>
    <t>Effective from</t>
    <phoneticPr fontId="6" type="noConversion"/>
  </si>
  <si>
    <t>Retailer</t>
  </si>
  <si>
    <t>Name</t>
    <phoneticPr fontId="6" type="noConversion"/>
  </si>
  <si>
    <t>Supply (c/day)</t>
  </si>
  <si>
    <t>block type</t>
    <phoneticPr fontId="6" type="noConversion"/>
  </si>
  <si>
    <t>1st step (MJ)</t>
    <phoneticPr fontId="6" type="noConversion"/>
  </si>
  <si>
    <t>2nd step (MJ)</t>
    <phoneticPr fontId="6" type="noConversion"/>
  </si>
  <si>
    <t>3rd step (MJ)</t>
    <phoneticPr fontId="6" type="noConversion"/>
  </si>
  <si>
    <t>4th step (MJ)</t>
    <phoneticPr fontId="6" type="noConversion"/>
  </si>
  <si>
    <t>5th step (MJ)</t>
    <phoneticPr fontId="6" type="noConversion"/>
  </si>
  <si>
    <t>1st peak rate (c/MJ)</t>
    <phoneticPr fontId="6" type="noConversion"/>
  </si>
  <si>
    <t>2nd peak rate (c/MJ)</t>
    <phoneticPr fontId="6" type="noConversion"/>
  </si>
  <si>
    <t>Envestra Temora</t>
  </si>
  <si>
    <t>Envestra Tumut</t>
  </si>
  <si>
    <t>Envestra Wagga Wagga</t>
  </si>
  <si>
    <t>Central Ranges Tamworth</t>
    <phoneticPr fontId="6" type="noConversion"/>
  </si>
  <si>
    <t>Regulated Offer</t>
    <phoneticPr fontId="6" type="noConversion"/>
  </si>
  <si>
    <t>ActewAGL Boorowa</t>
  </si>
  <si>
    <t>ActewAGL</t>
    <phoneticPr fontId="6" type="noConversion"/>
  </si>
  <si>
    <t>Envestra Albury</t>
  </si>
  <si>
    <t>Origin Energy</t>
    <phoneticPr fontId="6" type="noConversion"/>
  </si>
  <si>
    <t>Envestra Murray Valley</t>
    <phoneticPr fontId="6" type="noConversion"/>
  </si>
  <si>
    <t>Envestra Cooma</t>
  </si>
  <si>
    <t>NSW</t>
    <phoneticPr fontId="6" type="noConversion"/>
  </si>
  <si>
    <t>AGL</t>
    <phoneticPr fontId="6" type="noConversion"/>
  </si>
  <si>
    <t>bi-monthly</t>
    <phoneticPr fontId="6" type="noConversion"/>
  </si>
  <si>
    <t>n</t>
    <phoneticPr fontId="6" type="noConversion"/>
  </si>
  <si>
    <t>NSW</t>
    <phoneticPr fontId="6" type="noConversion"/>
  </si>
  <si>
    <t>bi-monthly</t>
    <phoneticPr fontId="6" type="noConversion"/>
  </si>
  <si>
    <t>5th shoulder rate (c/MJ)</t>
    <phoneticPr fontId="6" type="noConversion"/>
  </si>
  <si>
    <t>6th shoulder rate (c/MJ)</t>
    <phoneticPr fontId="6" type="noConversion"/>
  </si>
  <si>
    <t>Seasonal? (y/n)</t>
    <phoneticPr fontId="6" type="noConversion"/>
  </si>
  <si>
    <t>Summer or winter peak (s/w)</t>
    <phoneticPr fontId="6" type="noConversion"/>
  </si>
  <si>
    <t>Number of peak months</t>
    <phoneticPr fontId="6" type="noConversion"/>
  </si>
  <si>
    <t>Number of off-peak months</t>
    <phoneticPr fontId="6" type="noConversion"/>
  </si>
  <si>
    <t>c/MJ Off-peak balance</t>
  </si>
  <si>
    <t>ActewAGL 1</t>
  </si>
  <si>
    <t>Regulated gas retail offers July 2014 (inc GST)</t>
    <phoneticPr fontId="6" type="noConversion"/>
  </si>
  <si>
    <t>Regulated gas offers</t>
    <phoneticPr fontId="6" type="noConversion"/>
  </si>
  <si>
    <t>Bill impacts for all gas zones July 2012</t>
    <phoneticPr fontId="6" type="noConversion"/>
  </si>
  <si>
    <t>Regulated gas retail offers July 2012 (inc GST)</t>
    <phoneticPr fontId="6" type="noConversion"/>
  </si>
  <si>
    <t xml:space="preserve">Actew AGL's area </t>
    <phoneticPr fontId="6" type="noConversion"/>
  </si>
  <si>
    <t>*All spreadsheets are locked so that tariff rates cannot accidentally be changed.</t>
    <phoneticPr fontId="6" type="noConversion"/>
  </si>
  <si>
    <t>July 2016</t>
    <phoneticPr fontId="6" type="noConversion"/>
  </si>
  <si>
    <t xml:space="preserve">St Vincent de Paul Society, Workbook 2: Regulated Gas tariffs in NSW, July 2009 - July 2012 </t>
    <phoneticPr fontId="6" type="noConversion"/>
  </si>
  <si>
    <t>Bill impacts for all gas zones July 2009</t>
    <phoneticPr fontId="6" type="noConversion"/>
  </si>
  <si>
    <t>July 2009</t>
    <phoneticPr fontId="6" type="noConversion"/>
  </si>
  <si>
    <t>4th peak rate (c/MJ)</t>
    <phoneticPr fontId="6" type="noConversion"/>
  </si>
  <si>
    <t>5th peak rate (c/MJ)</t>
    <phoneticPr fontId="6" type="noConversion"/>
  </si>
  <si>
    <t>6th peak rate (c/MJ)</t>
    <phoneticPr fontId="6" type="noConversion"/>
  </si>
  <si>
    <t>1st off-peak rate (c/MJ)</t>
    <phoneticPr fontId="6" type="noConversion"/>
  </si>
  <si>
    <t>2nd off-peak rate (c/MJ)</t>
    <phoneticPr fontId="6" type="noConversion"/>
  </si>
  <si>
    <t>3rd off-peak rate (c/MJ)</t>
    <phoneticPr fontId="6" type="noConversion"/>
  </si>
  <si>
    <t xml:space="preserve">ActewAGL Queanbeyan </t>
  </si>
  <si>
    <t>N</t>
    <phoneticPr fontId="6" type="noConversion"/>
  </si>
  <si>
    <t>Account establishment fee applies. Note post carbon repeal price.</t>
    <phoneticPr fontId="6" type="noConversion"/>
  </si>
  <si>
    <t>https://www.actewagl.com.au/Product-and-services/Prices/NSW-residential-prices.aspx#elecandgas</t>
  </si>
  <si>
    <t>Unchanged</t>
    <phoneticPr fontId="6" type="noConversion"/>
  </si>
  <si>
    <t>NSW</t>
    <phoneticPr fontId="6" type="noConversion"/>
  </si>
  <si>
    <t>ActewAGL Shoalhaven</t>
  </si>
  <si>
    <t>ActewAGL</t>
    <phoneticPr fontId="6" type="noConversion"/>
  </si>
  <si>
    <t>n</t>
    <phoneticPr fontId="6" type="noConversion"/>
  </si>
  <si>
    <t>N</t>
    <phoneticPr fontId="6" type="noConversion"/>
  </si>
  <si>
    <r>
      <t>Acknowledgement:</t>
    </r>
    <r>
      <rPr>
        <sz val="11"/>
        <rFont val="Arial"/>
        <family val="2"/>
      </rPr>
      <t xml:space="preserve"> The St Vincent de Paul Society received funding from Energy Consumers Australia (ECA)</t>
    </r>
    <phoneticPr fontId="6" type="noConversion"/>
  </si>
  <si>
    <t>Standard offer</t>
  </si>
  <si>
    <t>NSW</t>
    <phoneticPr fontId="4" type="noConversion"/>
  </si>
  <si>
    <t>Jemena</t>
    <phoneticPr fontId="4" type="noConversion"/>
  </si>
  <si>
    <t>Covau</t>
    <phoneticPr fontId="4" type="noConversion"/>
  </si>
  <si>
    <t>Dodo Power &amp; Gas</t>
    <phoneticPr fontId="6" type="noConversion"/>
  </si>
  <si>
    <t>Jemena</t>
    <phoneticPr fontId="4" type="noConversion"/>
  </si>
  <si>
    <t>EnergyAustralia</t>
    <phoneticPr fontId="4" type="noConversion"/>
  </si>
  <si>
    <t>Origin Energy</t>
    <phoneticPr fontId="4" type="noConversion"/>
  </si>
  <si>
    <t>Red Energy</t>
    <phoneticPr fontId="4" type="noConversion"/>
  </si>
  <si>
    <t>ActewAGL</t>
    <phoneticPr fontId="4" type="noConversion"/>
  </si>
  <si>
    <t>EnergyAustralia</t>
    <phoneticPr fontId="4" type="noConversion"/>
  </si>
  <si>
    <t>Envestra Murray Valley</t>
    <phoneticPr fontId="4" type="noConversion"/>
  </si>
  <si>
    <t>Central Ranges Tamworth</t>
    <phoneticPr fontId="4" type="noConversion"/>
  </si>
  <si>
    <t>n</t>
    <phoneticPr fontId="4" type="noConversion"/>
  </si>
  <si>
    <t>bi-monthly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</si>
  <si>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</si>
  <si>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</si>
  <si>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</si>
  <si>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</si>
  <si>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St Vincent de Paul Society, NSW Tariff-Tracking Project, Workbook 2: Standard Gas Offers</t>
  </si>
  <si>
    <t>ActewAGL Queanbeyan</t>
  </si>
  <si>
    <t>bi-monthly</t>
  </si>
  <si>
    <t>Annual bill (incl GST)</t>
  </si>
  <si>
    <t>July 2017</t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</si>
  <si>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</si>
  <si>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Red Energy</t>
  </si>
  <si>
    <t>Covau</t>
  </si>
  <si>
    <t>July 2018</t>
  </si>
  <si>
    <t>NSW</t>
    <phoneticPr fontId="3" type="noConversion"/>
  </si>
  <si>
    <t>Jemena</t>
    <phoneticPr fontId="3" type="noConversion"/>
  </si>
  <si>
    <t>AGL</t>
    <phoneticPr fontId="3" type="noConversion"/>
  </si>
  <si>
    <t>Covau</t>
    <phoneticPr fontId="3" type="noConversion"/>
  </si>
  <si>
    <t>NSW</t>
  </si>
  <si>
    <t>Jemena</t>
  </si>
  <si>
    <t>Alinta Energy</t>
    <phoneticPr fontId="3" type="noConversion"/>
  </si>
  <si>
    <t>EnergyAustralia</t>
    <phoneticPr fontId="3" type="noConversion"/>
  </si>
  <si>
    <t>Origin Energy</t>
    <phoneticPr fontId="3" type="noConversion"/>
  </si>
  <si>
    <t>Red Energy</t>
    <phoneticPr fontId="3" type="noConversion"/>
  </si>
  <si>
    <t>Amaysim</t>
  </si>
  <si>
    <t>Click Energy</t>
    <phoneticPr fontId="3" type="noConversion"/>
  </si>
  <si>
    <t>Simply Energy</t>
    <phoneticPr fontId="3" type="noConversion"/>
  </si>
  <si>
    <t>ActewAGL</t>
    <phoneticPr fontId="3" type="noConversion"/>
  </si>
  <si>
    <t>Envestra Murray Valley</t>
    <phoneticPr fontId="3" type="noConversion"/>
  </si>
  <si>
    <t>Envestra Murray Valley</t>
  </si>
  <si>
    <t>Central Ranges Tamworth</t>
    <phoneticPr fontId="3" type="noConversion"/>
  </si>
  <si>
    <t>bi-monthly</t>
    <phoneticPr fontId="3" type="noConversion"/>
  </si>
  <si>
    <t>Bi-monthly</t>
  </si>
  <si>
    <t>Wagga Wagga and Uranquinty</t>
  </si>
  <si>
    <t>July 2019</t>
  </si>
  <si>
    <t xml:space="preserve">Report 6: NSW Energy Prices 2016 An update report (October 2016).  </t>
  </si>
  <si>
    <t xml:space="preserve">Report 7: NSW Energy Prices 2017 An update report (July 2017).  </t>
  </si>
  <si>
    <t xml:space="preserve">Report 8: NSW Energy Prices 2018 An update report (July 2018).  </t>
  </si>
  <si>
    <t xml:space="preserve">Report 9: NSW Energy Prices 2019 An update report (July 2019).  </t>
  </si>
  <si>
    <t>Jemena Coastal Network</t>
  </si>
  <si>
    <t>AGL</t>
    <phoneticPr fontId="4" type="noConversion"/>
  </si>
  <si>
    <t>Alinta Energy</t>
    <phoneticPr fontId="4" type="noConversion"/>
  </si>
  <si>
    <t>Click Energy</t>
    <phoneticPr fontId="4" type="noConversion"/>
  </si>
  <si>
    <t>Simply Energy</t>
    <phoneticPr fontId="4" type="noConversion"/>
  </si>
  <si>
    <t>Jemena Capital Region</t>
  </si>
  <si>
    <t xml:space="preserve">Evoenergy Queanbeyan </t>
  </si>
  <si>
    <t>Evoenergy Shoalhaven</t>
  </si>
  <si>
    <t>AGN Albury</t>
  </si>
  <si>
    <t>AGN Murray Valley</t>
  </si>
  <si>
    <t>AGN Cooma</t>
  </si>
  <si>
    <t>AGN Temora</t>
  </si>
  <si>
    <t>AGN Tumut</t>
  </si>
  <si>
    <t>AGN Wagga Wagga</t>
  </si>
  <si>
    <t>Central Ranges Pipeline Tamworth</t>
  </si>
  <si>
    <t/>
  </si>
  <si>
    <t>n</t>
  </si>
  <si>
    <t>Alinta Energy</t>
  </si>
  <si>
    <t>EnergyAustralia</t>
  </si>
  <si>
    <t>Origin Energy</t>
  </si>
  <si>
    <t>Click Energy</t>
  </si>
  <si>
    <t>Simply Energy</t>
  </si>
  <si>
    <t>*All red cells contain variables for the user to insert bi-mothly consumption (MJ)</t>
  </si>
  <si>
    <t>Insert bi-monthly consumption (MJ):</t>
  </si>
  <si>
    <t>July 2020</t>
  </si>
  <si>
    <t>Standing offer</t>
  </si>
  <si>
    <t>https://www.energymadeeasy.gov.au/plan?id=AGL15303SRG&amp;postcode=2000</t>
  </si>
  <si>
    <t>https://www.energymadeeasy.gov.au/plan?id=COV68147SRG2&amp;postcode=2000</t>
  </si>
  <si>
    <t>https://www.alintaenergy.com.au/nsw/residential/electricity-and-gas/products/standard-retail-contract/residential-gas-pricing</t>
  </si>
  <si>
    <t>https://www.energymadeeasy.gov.au/plan?id=ENE19241SRG8&amp;postcode=2000</t>
  </si>
  <si>
    <t>https://www.energymadeeasy.gov.au/plan?id=RED21250SRG3&amp;postcode=2000</t>
  </si>
  <si>
    <t>https://www.energymadeeasy.gov.au/plan?id=AMA62412SRG1&amp;postcode=2000</t>
  </si>
  <si>
    <t>https://www.energymadeeasy.gov.au/plan?id=CLI65208SRG1&amp;postcode=2000</t>
  </si>
  <si>
    <t>https://www.energymadeeasy.gov.au/plan?id=SIM54278SRG2&amp;postcode=2000</t>
  </si>
  <si>
    <t>Discover Energy</t>
  </si>
  <si>
    <t>https://www.energymadeeasy.gov.au/plan?id=DEN82783SRG1&amp;postcode=2000</t>
  </si>
  <si>
    <t>Dodo Power &amp; Gas</t>
  </si>
  <si>
    <t>https://www.energymadeeasy.gov.au/plan?id=DOD14019SRG2&amp;postcode=2000</t>
  </si>
  <si>
    <t>Sumo Power</t>
  </si>
  <si>
    <t>https://www.energymadeeasy.gov.au/plan?id=SUM29632SRG2&amp;postcode=2000</t>
  </si>
  <si>
    <t>GloBird</t>
  </si>
  <si>
    <t>https://www.energymadeeasy.gov.au/plan?id=GLO48769SRG2&amp;postcode=2000</t>
  </si>
  <si>
    <t>ActewAGL</t>
  </si>
  <si>
    <t>Not available</t>
  </si>
  <si>
    <t>https://www.energymadeeasy.gov.au/plan?id=ENE19233SRG7&amp;postcode=2620</t>
  </si>
  <si>
    <t>https://www.energymadeeasy.gov.au/plan?id=ENE19193SRG7&amp;postcode=2640</t>
  </si>
  <si>
    <t>https://www.energymadeeasy.gov.au/plan?id=AGL15298SRG2&amp;utm_source=AGL&amp;utm_campaign=bpi-retailer&amp;utm_medium=retailer&amp;postcode=2640</t>
  </si>
  <si>
    <t>https://www.energymadeeasy.gov.au/plan?id=RED21293SRG3&amp;postcode=2640</t>
  </si>
  <si>
    <t>https://www.energymadeeasy.gov.au/plan?id=ENE19210SRG7&amp;postcode=2647</t>
  </si>
  <si>
    <t>https://www.energymadeeasy.gov.au/plan?id=AGL15299SRG2&amp;utm_source=AGL&amp;utm_campaign=bpi-retailer&amp;utm_medium=retailer&amp;postcode=2643</t>
  </si>
  <si>
    <t>https://www.energymadeeasy.gov.au/plan?id=RED21285SRG3&amp;postcode=2647</t>
  </si>
  <si>
    <t>https://www.energymadeeasy.gov.au/plan?id=RED21247SRG3&amp;postcode=2630</t>
  </si>
  <si>
    <t>https://www.energymadeeasy.gov.au/plan?id=AGL15300SRG2&amp;utm_source=AGL&amp;utm_campaign=bpi-retailer&amp;utm_medium=retailer&amp;postcode=2644</t>
  </si>
  <si>
    <t>https://www.energymadeeasy.gov.au/plan?id=RED21363SRG3&amp;postcode=2666</t>
  </si>
  <si>
    <t>https://www.energymadeeasy.gov.au/plan?id=RED21245SRG3&amp;postcode=2720</t>
  </si>
  <si>
    <t>https://www.energymadeeasy.gov.au/plan?id=AGL15301SRG2&amp;utm_source=AGL&amp;utm_campaign=bpi-retailer&amp;utm_medium=retailer&amp;postcode=2650</t>
  </si>
  <si>
    <t>https://www.energymadeeasy.gov.au/plan?id=ENE19238SRG7&amp;postcode=2650</t>
  </si>
  <si>
    <t>https://www.energymadeeasy.gov.au/plan?id=RED21365SRG3&amp;postcode=2650</t>
  </si>
  <si>
    <t>https://www.energymadeeasy.gov.au/plan?id=ACT64474SRG&amp;postcode=2586</t>
  </si>
  <si>
    <t xml:space="preserve">Report 10: NSW Energy Prices 2020 An update report (September 2020).  </t>
  </si>
  <si>
    <t>https://www.energymadeeasy.gov.au/plan?id=ORI19086SRG&amp;postcode=2000</t>
  </si>
  <si>
    <t>https://www.energymadeeasy.gov.au/plan?id=ORI19061SRG3&amp;utm_source=Origin%20Energy&amp;utm_campaign=bpi-retailer&amp;utm_medium=retailer&amp;postcode=2640</t>
  </si>
  <si>
    <t>https://www.energymadeeasy.gov.au/plan?id=ORI19062SRG3&amp;utm_source=Origin%20Energy&amp;utm_campaign=bpi-retailer&amp;utm_medium=retailer&amp;postcode=2643</t>
  </si>
  <si>
    <t>https://www.energymadeeasy.gov.au/plan?id=ORI18997SRG&amp;postcode=2630</t>
  </si>
  <si>
    <t>https://www.energymadeeasy.gov.au/plan?id=ORI18995SRG&amp;postcode=2720</t>
  </si>
  <si>
    <t>https://www.energymadeeasy.gov.au/plan?id=ORI18999SRG4&amp;utm_source=Origin%20Energy&amp;utm_campaign=bpi-retailer&amp;utm_medium=retailer&amp;postcode=2650</t>
  </si>
  <si>
    <t>https://www.energymadeeasy.gov.au/plan?id=ORI18996SRG&amp;postcode=2340</t>
  </si>
  <si>
    <t>https://www.energymadeeasy.gov.au/plan?id=ORI18998SRG4&amp;postcode=2666</t>
  </si>
  <si>
    <t>https://www.energymadeeasy.gov.au/plan?id=AGL15298SRG7&amp;utm_source=AGL&amp;utm_campaign=bpi-retailer&amp;utm_medium=retailer&amp;postcode=2640</t>
  </si>
  <si>
    <t>https://www.energymadeeasy.gov.au/plan?id=AGL15299SRG7&amp;utm_source=AGL&amp;utm_campaign=bpi-retailer&amp;utm_medium=retailer&amp;postcode=2643</t>
  </si>
  <si>
    <t>https://www.energymadeeasy.gov.au/plan?id=AGL15300SRG7&amp;utm_source=AGL&amp;utm_campaign=bpi-retailer&amp;utm_medium=retailer&amp;postcode=2644</t>
  </si>
  <si>
    <t>https://www.energymadeeasy.gov.au/plan?id=AGL15301SRG7&amp;utm_source=AGL&amp;utm_campaign=bpi-retailer&amp;utm_medium=retailer&amp;postcode=2650</t>
  </si>
  <si>
    <t>https://www.energymadeeasy.gov.au/plan?id=ALI13155SRG&amp;postcode=2000</t>
  </si>
  <si>
    <t>https://www.energymadeeasy.gov.au/plan?id=DOD14019SRG&amp;postcode=2000</t>
  </si>
  <si>
    <t>https://www.energymadeeasy.gov.au/plan?id=ENE19241SRG&amp;utm_source=EnergyAustralia&amp;utm_campaign=bpi-retailer&amp;utm_medium=retailer&amp;postcode=2000</t>
  </si>
  <si>
    <t>https://www.originenergy.com.au/content/dam/origin/residential/docs/energy-price-fact-sheets/pricechange2021/NSW_Standing_Resi_Gas_Albury.pdf</t>
  </si>
  <si>
    <t>https://www.originenergy.com.au/content/dam/origin/residential/docs/energy-price-fact-sheets/pricechange2021/NSW_Standing_Resi_Gas_Murray_Valley.pdf</t>
  </si>
  <si>
    <t>https://www.originenergy.com.au/content/dam/origin/residential/docs/energy-price-fact-sheets/pricechange2021/NSW_Standing_Resi_Gas_Cooma.pdf</t>
  </si>
  <si>
    <t>https://www.originenergy.com.au/content/dam/origin/residential/docs/energy-price-fact-sheets/pricechange2021/NSW_Standing_Resi_Gas_Temora.pdf</t>
  </si>
  <si>
    <t>https://www.originenergy.com.au/content/dam/origin/residential/docs/energy-price-fact-sheets/pricechange2021/NSW_Standing_Resi_Gas_Tumut.pdf</t>
  </si>
  <si>
    <t>https://www.originenergy.com.au/content/dam/origin/residential/docs/energy-price-fact-sheets/pricechange2021/NSW_Standing_Resi_Gas_Wagga.pdf</t>
  </si>
  <si>
    <t>https://www.originenergy.com.au/content/dam/origin/residential/docs/energy-price-fact-sheets/pricechange2021/NSW_Standing_Resi_Gas_Tamworth.pdf</t>
  </si>
  <si>
    <t>https://www.energymadeeasy.gov.au/plan?id=RED21250SRG&amp;postcode=2000</t>
  </si>
  <si>
    <t>https://www.energymadeeasy.gov.au/plan?id=RED21293SRG&amp;postcode=2640</t>
  </si>
  <si>
    <t>https://www.energymadeeasy.gov.au/plan?id=RED21285SRG&amp;postcode=2647</t>
  </si>
  <si>
    <t>https://www.energymadeeasy.gov.au/plan?id=RED21247SRG&amp;postcode=2630</t>
  </si>
  <si>
    <t>https://www.energymadeeasy.gov.au/plan?id=RED21363SRG&amp;postcode=2666</t>
  </si>
  <si>
    <t>https://www.energymadeeasy.gov.au/plan?id=RED21245SRG&amp;postcode=2720</t>
  </si>
  <si>
    <t>https://www.energymadeeasy.gov.au/plan?id=RED21365SRG&amp;postcode=2650</t>
  </si>
  <si>
    <t>https://www.energymadeeasy.gov.au/plan?id=SIM240785SRG&amp;utm_source=Simply%20Energy&amp;utm_campaign=bpi-retailer&amp;utm_medium=retailer&amp;postcode=2000</t>
  </si>
  <si>
    <t>https://www.energymadeeasy.gov.au/plan?id=COV252607SRG1&amp;postcode=2000</t>
  </si>
  <si>
    <t>https://www.energymadeeasy.gov.au/plan?id=DEN254577SRG1&amp;postcode=2000</t>
  </si>
  <si>
    <t>https://www.energymadeeasy.gov.au/plan?id=ENE19194SRG&amp;utm_source=EnergyAustralia&amp;utm_campaign=bpi-retailer&amp;utm_medium=retailer&amp;postcode=2603</t>
  </si>
  <si>
    <t>https://www.energymadeeasy.gov.au/plan?id=ENE19233SRG&amp;utm_source=EnergyAustralia&amp;utm_campaign=bpi-retailer&amp;utm_medium=retailer&amp;postcode=2620</t>
  </si>
  <si>
    <t>https://www.energymadeeasy.gov.au/plan?id=ENE19193SRG&amp;utm_source=EnergyAustralia&amp;utm_campaign=bpi-retailer&amp;utm_medium=retailer&amp;postcode=2640</t>
  </si>
  <si>
    <t>https://www.energymadeeasy.gov.au/plan?id=ENE19210SRG&amp;utm_source=EnergyAustralia&amp;utm_campaign=bpi-retailer&amp;utm_medium=retailer&amp;postcode=2647</t>
  </si>
  <si>
    <t>https://www.energymadeeasy.gov.au/plan?id=ENE19238SRG&amp;utm_source=EnergyAustralia&amp;utm_campaign=bpi-retailer&amp;utm_medium=retailer&amp;postcode=2650</t>
  </si>
  <si>
    <t>https://www.energymadeeasy.gov.au/plan?id=ACT64472SRG3&amp;utm_source=ActewAGL&amp;utm_campaign=bpi-retailer&amp;utm_medium=retailer&amp;postcode=2619</t>
  </si>
  <si>
    <t xml:space="preserve">Report 1: NSW Energy Prices July 2009- July 2011 (July 2011).  </t>
  </si>
  <si>
    <t xml:space="preserve">Report 2: NSW Energy Prices July 2011- July 2012 An update report (July 2012).  </t>
  </si>
  <si>
    <t xml:space="preserve">Report 3: NSW Energy Prices July 2012- July 2013 An update report (August 2013).  </t>
  </si>
  <si>
    <t xml:space="preserve">Report 4: NSW Energy Prices July 2013- July 2014 An update report (August 2014).  </t>
  </si>
  <si>
    <t xml:space="preserve">Report 5: NSW Energy Prices July 2014- July 2015 An update report (July 2015).  </t>
  </si>
  <si>
    <t xml:space="preserve">Report 11: NSW Energy Prices 2021 An update report (October 2021).  </t>
  </si>
  <si>
    <t>July 2021</t>
  </si>
  <si>
    <t>July 2022</t>
  </si>
  <si>
    <t>Workbook 2: Regulated Gas Tariffs</t>
  </si>
  <si>
    <t xml:space="preserve">Report 12: NSW Energy Prices 2022 An update report (September 2022).  </t>
  </si>
  <si>
    <t xml:space="preserve">NSW Tariff-Tracking Project, St Vincent de Paul Society </t>
  </si>
  <si>
    <t>https://www.energymadeeasy.gov.au/plan?id=AGL15303SRG11&amp;postcode=2000</t>
  </si>
  <si>
    <t>https://www.energymadeeasy.gov.au/plan?id=COV428693SRG1&amp;postcode=2000</t>
  </si>
  <si>
    <t>https://www.energymadeeasy.gov.au/plan?id=ALI13185SRG11&amp;postcode=2000</t>
  </si>
  <si>
    <t>https://www.energymadeeasy.gov.au/plan?id=SIM422215SRG1&amp;postcode=2000</t>
  </si>
  <si>
    <t>https://s3-ap-southeast-2.amazonaws.com/energybrain/uploads/market_offer/pdf_file/10178/76b9c52a1f838a1c8f46183e7bf53dd6.pdf</t>
  </si>
  <si>
    <t>https://www.energymadeeasy.gov.au/plan?id=GLO433077SRG&amp;postcode=2000</t>
  </si>
  <si>
    <t>https://www.energymadeeasy.gov.au/plan?id=ENE19241SRG21&amp;postcode=2000</t>
  </si>
  <si>
    <t>https://www.energymadeeasy.gov.au/plan?id=ORI429173SRG1&amp;postcode=2000</t>
  </si>
  <si>
    <t>https://www.energymadeeasy.gov.au/plan?id=RED21250SRG6&amp;postcode=2000</t>
  </si>
  <si>
    <t>https://www.energymadeeasy.gov.au/plan?id=ACT64474SRG5&amp;postcode=2586</t>
  </si>
  <si>
    <t>https://www.energymadeeasy.gov.au/plan?id=ACT64472SRG5&amp;postcode=2620</t>
  </si>
  <si>
    <t>https://www.energymadeeasy.gov.au/plan?id=ENE19233SRG20&amp;postcode=2620</t>
  </si>
  <si>
    <t>https://www.energymadeeasy.gov.au/plan?id=ACT64476SRG5&amp;utm_source=ActewAGL&amp;utm_campaign=bpi-retailer&amp;utm_medium=retailer&amp;postcode=2540</t>
  </si>
  <si>
    <t>https://www.energymadeeasy.gov.au/plan?id=ENE19193SRG21&amp;postcode=2640</t>
  </si>
  <si>
    <t>https://www.energymadeeasy.gov.au/plan?id=ORI429169SRG1&amp;postcode=2640</t>
  </si>
  <si>
    <t>https://www.energymadeeasy.gov.au/plan?id=AGL15298SRG10&amp;postcode=2640</t>
  </si>
  <si>
    <t>https://www.energymadeeasy.gov.au/plan?id=RED21293SRG6&amp;postcode=2640</t>
  </si>
  <si>
    <t>https://www.energymadeeasy.gov.au/plan?id=ENE19210SRG21&amp;postcode=2647</t>
  </si>
  <si>
    <t>https://www.energymadeeasy.gov.au/plan?id=ORI429152SRG1&amp;postcode=2647</t>
  </si>
  <si>
    <t>https://www.energymadeeasy.gov.au/plan?id=AGL15299SRG10&amp;postcode=2647</t>
  </si>
  <si>
    <t>https://www.energymadeeasy.gov.au/plan?id=RED21285SRG6&amp;postcode=2647</t>
  </si>
  <si>
    <t>https://www.energymadeeasy.gov.au/plan?id=ORI429158SRG1&amp;postcode=2630</t>
  </si>
  <si>
    <t>https://www.energymadeeasy.gov.au/plan?id=RED21247SRG5&amp;postcode=2630</t>
  </si>
  <si>
    <t>https://www.energymadeeasy.gov.au/plan?id=ORI429174SRG1&amp;postcode=2666</t>
  </si>
  <si>
    <t>https://www.energymadeeasy.gov.au/plan?id=AGL15300SRG10&amp;postcode=2666</t>
  </si>
  <si>
    <t>https://www.energymadeeasy.gov.au/plan?id=RED21363SRG5&amp;postcode=2666</t>
  </si>
  <si>
    <t>https://www.energymadeeasy.gov.au/plan?id=ORI429161SRG1&amp;postcode=2720</t>
  </si>
  <si>
    <t>https://www.energymadeeasy.gov.au/plan?id=RED21245SRG5&amp;postcode=2720</t>
  </si>
  <si>
    <t>https://www.energymadeeasy.gov.au/plan?id=ORI429144SRG1&amp;postcode=2650</t>
  </si>
  <si>
    <t>https://www.energymadeeasy.gov.au/plan?id=AGL15301SRG10&amp;postcode=2650</t>
  </si>
  <si>
    <t>https://www.energymadeeasy.gov.au/plan?id=RED21365SRG5&amp;postcode=2650</t>
  </si>
  <si>
    <t>https://www.energymadeeasy.gov.au/plan?id=ORI429145SRG1&amp;postcode=2340</t>
  </si>
  <si>
    <t>https://www.energymadeeasy.gov.au/plan?id=ENE19254SRG&amp;utm_source=EnergyAustralia&amp;utm_campaign=bpi-retailer&amp;utm_medium=retailer&amp;postcode=2586</t>
  </si>
  <si>
    <t>*Regulated gas offers from July 2009 to July 2023</t>
  </si>
  <si>
    <t>July 2023</t>
  </si>
  <si>
    <t xml:space="preserve">Report 13: NSW Energy Prices 2023 An update report (August 2023).  </t>
  </si>
  <si>
    <t xml:space="preserve">The Tariff-Tracking project has produced 5 workbooks and 13 reports: </t>
  </si>
  <si>
    <t>Workbook 1: Regulated electricity offers July 2008 - July 2023</t>
  </si>
  <si>
    <t>Workbook 2: Regulated gas offers July 2009 - July 2023</t>
  </si>
  <si>
    <t>Workbook 3: Published electricity market offers post July 2011 - July 2023</t>
  </si>
  <si>
    <t>Workbook 4: Published gas market offers post July 2011 - July 2023</t>
  </si>
  <si>
    <t>Workbook 5: Solar offers post July 2016 - July 2023</t>
  </si>
  <si>
    <t>https://www.energymadeeasy.gov.au/plan?id=AGL15303SRG15&amp;postcode=2000</t>
  </si>
  <si>
    <t>https://www.energymadeeasy.gov.au/plan?id=COV523047SRG2&amp;postcode=2000</t>
  </si>
  <si>
    <t>https://www.energymadeeasy.gov.au/plan?id=ALI13155SRG12&amp;postcode=2000</t>
  </si>
  <si>
    <t>https://www.energymadeeasy.gov.au/plan?id=ENE19241SRG26&amp;postcode=2000</t>
  </si>
  <si>
    <t>https://www.energymadeeasy.gov.au/plan?id=ORI429173SRG3&amp;postcode=2000</t>
  </si>
  <si>
    <t>https://www.energymadeeasy.gov.au/plan?id=RED21250SRG7&amp;postcode=2000</t>
  </si>
  <si>
    <t>https://www.energymadeeasy.gov.au/plan?id=SIM590224SRG1&amp;postcode=2000</t>
  </si>
  <si>
    <t>https://www.energymadeeasy.gov.au/plan?id=DOD14019SRG3&amp;postcode=2000</t>
  </si>
  <si>
    <t>https://www.energymadeeasy.gov.au/plan?id=SUM29632SRG3&amp;postcode=2000</t>
  </si>
  <si>
    <t>https://www.energymadeeasy.gov.au/plan?id=GLO578765SRG1&amp;postcode=2000</t>
  </si>
  <si>
    <t>NEW</t>
  </si>
  <si>
    <t>Kogan</t>
  </si>
  <si>
    <t>https://www.energymadeeasy.gov.au/plan?id=KOG612195MRG1&amp;postcode=2000</t>
  </si>
  <si>
    <t>Powershop</t>
  </si>
  <si>
    <t>https://www.energymadeeasy.gov.au/plan?id=PSH577299SRG1&amp;postcode=2000</t>
  </si>
  <si>
    <t>https://www.energymadeeasy.gov.au/plan?id=AGL15298SRG15&amp;postcode=2640</t>
  </si>
  <si>
    <t>https://www.energymadeeasy.gov.au/plan?id=ORI429169SRG5&amp;postcode=2640</t>
  </si>
  <si>
    <t>https://www.energymadeeasy.gov.au/plan?id=ENE19193SRG27&amp;postcode=2640</t>
  </si>
  <si>
    <t>https://www.energymadeeasy.gov.au/plan?id=RED21293SRG7&amp;postcode=2640</t>
  </si>
  <si>
    <t>https://www.energymadeeasy.gov.au/plan?id=ENE19210SRG27&amp;postcode=2647</t>
  </si>
  <si>
    <t>https://www.energymadeeasy.gov.au/plan?id=ORI429152SRG5&amp;postcode=2647</t>
  </si>
  <si>
    <t>https://www.energymadeeasy.gov.au/plan?id=AGL15299SRG15&amp;postcode=2647</t>
  </si>
  <si>
    <t>https://www.energymadeeasy.gov.au/plan?id=RED21285SRG7&amp;postcode=2647</t>
  </si>
  <si>
    <t>https://www.energymadeeasy.gov.au/plan?id=ORI429158SRG4&amp;postcode=2630</t>
  </si>
  <si>
    <t>https://www.energymadeeasy.gov.au/plan?id=RED21247SRG6&amp;postcode=2630</t>
  </si>
  <si>
    <t>https://www.energymadeeasy.gov.au/plan?id=ORI429174SRG4&amp;postcode=2666</t>
  </si>
  <si>
    <t>https://www.energymadeeasy.gov.au/plan?id=AGL15300SRG14&amp;postcode=2666</t>
  </si>
  <si>
    <t>https://www.energymadeeasy.gov.au/plan?id=RED21363SRG6&amp;postcode=2666</t>
  </si>
  <si>
    <t>https://www.energymadeeasy.gov.au/plan?id=ORI429161SRG4&amp;postcode=2720</t>
  </si>
  <si>
    <t>https://www.energymadeeasy.gov.au/plan?id=RED21245SRG6&amp;postcode=2720</t>
  </si>
  <si>
    <t>https://www.energymadeeasy.gov.au/plan?id=ORI429145SRG4&amp;postcode=2340</t>
  </si>
  <si>
    <t>https://www.energymadeeasy.gov.au/plan?id=RED95261SRG4&amp;postcode=2340</t>
  </si>
  <si>
    <t>https://www.energymadeeasy.gov.au/plan?id=ACT64472SRG6&amp;utm_source=ActewAGL&amp;utm_campaign=bpi-retailer&amp;utm_medium=retailer&amp;postcode=2619</t>
  </si>
  <si>
    <t>https://www.energymadeeasy.gov.au/plan?id=ACT64476SRG6&amp;utm_source=ActewAGL&amp;utm_campaign=bpi-retailer&amp;utm_medium=retailer&amp;postcode=2540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</si>
</sst>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34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1"/>
      <color indexed="57"/>
      <name val="Arial"/>
      <family val="2"/>
    </font>
    <font>
      <sz val="10"/>
      <color indexed="57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sz val="10"/>
      <color indexed="18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10"/>
      <color indexed="18"/>
      <name val="Verdana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Verdana"/>
      <family val="2"/>
    </font>
    <font>
      <sz val="11"/>
      <color indexed="9"/>
      <name val="Arial"/>
      <family val="2"/>
    </font>
    <font>
      <sz val="10"/>
      <color indexed="9"/>
      <name val="Verdana"/>
      <family val="2"/>
    </font>
    <font>
      <b/>
      <sz val="11"/>
      <color indexed="18"/>
      <name val="Arial"/>
      <family val="2"/>
    </font>
    <font>
      <b/>
      <sz val="9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auto="1"/>
      </right>
      <top/>
      <bottom style="double">
        <color indexed="64"/>
      </bottom>
      <diagonal/>
    </border>
    <border>
      <left style="medium">
        <color auto="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auto="1"/>
      </right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</cellStyleXfs>
  <cellXfs count="257">
    <xf numFmtId="0" fontId="0" fillId="0" borderId="0" xfId="0"/>
    <xf numFmtId="0" fontId="11" fillId="0" borderId="0" xfId="0" applyFont="1"/>
    <xf numFmtId="0" fontId="0" fillId="3" borderId="4" xfId="0" applyFill="1" applyBorder="1"/>
    <xf numFmtId="0" fontId="11" fillId="4" borderId="0" xfId="0" applyFont="1" applyFill="1"/>
    <xf numFmtId="0" fontId="0" fillId="4" borderId="0" xfId="0" applyFill="1"/>
    <xf numFmtId="0" fontId="14" fillId="0" borderId="5" xfId="0" applyFont="1" applyBorder="1"/>
    <xf numFmtId="0" fontId="0" fillId="0" borderId="5" xfId="0" applyBorder="1"/>
    <xf numFmtId="0" fontId="0" fillId="6" borderId="5" xfId="0" applyFill="1" applyBorder="1"/>
    <xf numFmtId="0" fontId="0" fillId="6" borderId="0" xfId="0" applyFill="1"/>
    <xf numFmtId="0" fontId="14" fillId="0" borderId="0" xfId="0" applyFont="1"/>
    <xf numFmtId="0" fontId="11" fillId="3" borderId="0" xfId="0" applyFont="1" applyFill="1"/>
    <xf numFmtId="0" fontId="0" fillId="3" borderId="0" xfId="0" applyFill="1"/>
    <xf numFmtId="0" fontId="11" fillId="2" borderId="0" xfId="0" applyFont="1" applyFill="1"/>
    <xf numFmtId="0" fontId="0" fillId="2" borderId="0" xfId="0" applyFill="1"/>
    <xf numFmtId="0" fontId="12" fillId="0" borderId="0" xfId="0" applyFont="1"/>
    <xf numFmtId="0" fontId="15" fillId="0" borderId="0" xfId="0" applyFont="1"/>
    <xf numFmtId="0" fontId="0" fillId="0" borderId="4" xfId="0" applyBorder="1"/>
    <xf numFmtId="0" fontId="0" fillId="6" borderId="4" xfId="0" applyFill="1" applyBorder="1"/>
    <xf numFmtId="1" fontId="0" fillId="0" borderId="0" xfId="0" applyNumberFormat="1"/>
    <xf numFmtId="0" fontId="18" fillId="0" borderId="0" xfId="0" applyFont="1"/>
    <xf numFmtId="0" fontId="5" fillId="0" borderId="0" xfId="0" applyFont="1"/>
    <xf numFmtId="4" fontId="0" fillId="0" borderId="0" xfId="0" applyNumberFormat="1"/>
    <xf numFmtId="0" fontId="11" fillId="0" borderId="4" xfId="0" applyFont="1" applyBorder="1"/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0" fillId="4" borderId="4" xfId="0" applyFill="1" applyBorder="1" applyProtection="1">
      <protection hidden="1"/>
    </xf>
    <xf numFmtId="0" fontId="10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5" fillId="0" borderId="0" xfId="0" applyFont="1" applyProtection="1">
      <protection hidden="1"/>
    </xf>
    <xf numFmtId="2" fontId="0" fillId="0" borderId="0" xfId="0" applyNumberFormat="1" applyProtection="1">
      <protection hidden="1"/>
    </xf>
    <xf numFmtId="0" fontId="10" fillId="6" borderId="0" xfId="0" applyFont="1" applyFill="1" applyProtection="1">
      <protection hidden="1"/>
    </xf>
    <xf numFmtId="3" fontId="0" fillId="6" borderId="0" xfId="0" applyNumberFormat="1" applyFill="1" applyProtection="1">
      <protection hidden="1"/>
    </xf>
    <xf numFmtId="0" fontId="18" fillId="0" borderId="0" xfId="0" applyFont="1" applyProtection="1">
      <protection hidden="1"/>
    </xf>
    <xf numFmtId="2" fontId="18" fillId="0" borderId="0" xfId="0" applyNumberFormat="1" applyFont="1" applyProtection="1">
      <protection hidden="1"/>
    </xf>
    <xf numFmtId="2" fontId="4" fillId="0" borderId="0" xfId="0" applyNumberFormat="1" applyFont="1" applyProtection="1">
      <protection hidden="1"/>
    </xf>
    <xf numFmtId="2" fontId="0" fillId="0" borderId="0" xfId="0" applyNumberFormat="1" applyAlignment="1" applyProtection="1">
      <alignment horizontal="right"/>
      <protection hidden="1"/>
    </xf>
    <xf numFmtId="0" fontId="10" fillId="5" borderId="0" xfId="0" applyFont="1" applyFill="1" applyProtection="1">
      <protection locked="0"/>
    </xf>
    <xf numFmtId="0" fontId="11" fillId="3" borderId="4" xfId="0" applyFont="1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6" borderId="0" xfId="0" applyFill="1" applyProtection="1">
      <protection hidden="1"/>
    </xf>
    <xf numFmtId="1" fontId="0" fillId="6" borderId="0" xfId="0" applyNumberFormat="1" applyFill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11" fillId="2" borderId="4" xfId="0" applyFont="1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0" fillId="7" borderId="4" xfId="0" applyFill="1" applyBorder="1" applyProtection="1">
      <protection hidden="1"/>
    </xf>
    <xf numFmtId="0" fontId="0" fillId="7" borderId="0" xfId="0" applyFill="1"/>
    <xf numFmtId="0" fontId="11" fillId="7" borderId="0" xfId="0" applyFont="1" applyFill="1"/>
    <xf numFmtId="0" fontId="0" fillId="9" borderId="4" xfId="0" applyFill="1" applyBorder="1" applyProtection="1">
      <protection hidden="1"/>
    </xf>
    <xf numFmtId="0" fontId="11" fillId="9" borderId="0" xfId="0" applyFont="1" applyFill="1"/>
    <xf numFmtId="0" fontId="0" fillId="9" borderId="0" xfId="0" applyFill="1"/>
    <xf numFmtId="0" fontId="11" fillId="10" borderId="0" xfId="0" applyFont="1" applyFill="1"/>
    <xf numFmtId="0" fontId="0" fillId="10" borderId="0" xfId="0" applyFill="1"/>
    <xf numFmtId="3" fontId="3" fillId="6" borderId="0" xfId="0" applyNumberFormat="1" applyFont="1" applyFill="1" applyProtection="1">
      <protection hidden="1"/>
    </xf>
    <xf numFmtId="17" fontId="0" fillId="0" borderId="0" xfId="0" applyNumberFormat="1"/>
    <xf numFmtId="0" fontId="7" fillId="8" borderId="0" xfId="0" applyFont="1" applyFill="1" applyProtection="1">
      <protection hidden="1"/>
    </xf>
    <xf numFmtId="0" fontId="0" fillId="8" borderId="0" xfId="0" applyFill="1" applyProtection="1">
      <protection hidden="1"/>
    </xf>
    <xf numFmtId="0" fontId="14" fillId="8" borderId="3" xfId="0" applyFont="1" applyFill="1" applyBorder="1" applyProtection="1">
      <protection hidden="1"/>
    </xf>
    <xf numFmtId="0" fontId="11" fillId="8" borderId="1" xfId="0" applyFont="1" applyFill="1" applyBorder="1" applyProtection="1">
      <protection hidden="1"/>
    </xf>
    <xf numFmtId="0" fontId="11" fillId="8" borderId="7" xfId="0" applyFont="1" applyFill="1" applyBorder="1" applyProtection="1">
      <protection hidden="1"/>
    </xf>
    <xf numFmtId="0" fontId="8" fillId="8" borderId="0" xfId="0" applyFont="1" applyFill="1" applyProtection="1">
      <protection hidden="1"/>
    </xf>
    <xf numFmtId="0" fontId="9" fillId="8" borderId="0" xfId="0" applyFont="1" applyFill="1" applyProtection="1">
      <protection hidden="1"/>
    </xf>
    <xf numFmtId="0" fontId="11" fillId="8" borderId="2" xfId="0" applyFont="1" applyFill="1" applyBorder="1" applyProtection="1">
      <protection hidden="1"/>
    </xf>
    <xf numFmtId="0" fontId="11" fillId="8" borderId="0" xfId="0" applyFont="1" applyFill="1" applyProtection="1">
      <protection hidden="1"/>
    </xf>
    <xf numFmtId="0" fontId="11" fillId="8" borderId="6" xfId="0" applyFont="1" applyFill="1" applyBorder="1" applyProtection="1">
      <protection hidden="1"/>
    </xf>
    <xf numFmtId="0" fontId="10" fillId="8" borderId="0" xfId="0" applyFont="1" applyFill="1" applyProtection="1">
      <protection hidden="1"/>
    </xf>
    <xf numFmtId="0" fontId="21" fillId="8" borderId="0" xfId="0" applyFont="1" applyFill="1" applyProtection="1">
      <protection hidden="1"/>
    </xf>
    <xf numFmtId="0" fontId="22" fillId="8" borderId="0" xfId="0" applyFont="1" applyFill="1" applyProtection="1">
      <protection hidden="1"/>
    </xf>
    <xf numFmtId="0" fontId="11" fillId="8" borderId="8" xfId="0" applyFont="1" applyFill="1" applyBorder="1" applyProtection="1">
      <protection hidden="1"/>
    </xf>
    <xf numFmtId="0" fontId="11" fillId="8" borderId="9" xfId="0" applyFont="1" applyFill="1" applyBorder="1" applyProtection="1">
      <protection hidden="1"/>
    </xf>
    <xf numFmtId="0" fontId="11" fillId="8" borderId="10" xfId="0" applyFont="1" applyFill="1" applyBorder="1" applyProtection="1">
      <protection hidden="1"/>
    </xf>
    <xf numFmtId="0" fontId="0" fillId="8" borderId="1" xfId="0" applyFill="1" applyBorder="1" applyProtection="1">
      <protection hidden="1"/>
    </xf>
    <xf numFmtId="0" fontId="0" fillId="8" borderId="7" xfId="0" applyFill="1" applyBorder="1" applyProtection="1">
      <protection hidden="1"/>
    </xf>
    <xf numFmtId="0" fontId="22" fillId="0" borderId="17" xfId="0" applyFont="1" applyBorder="1" applyProtection="1">
      <protection hidden="1"/>
    </xf>
    <xf numFmtId="0" fontId="21" fillId="8" borderId="3" xfId="0" applyFont="1" applyFill="1" applyBorder="1" applyProtection="1">
      <protection hidden="1"/>
    </xf>
    <xf numFmtId="0" fontId="23" fillId="8" borderId="7" xfId="0" applyFont="1" applyFill="1" applyBorder="1" applyProtection="1">
      <protection hidden="1"/>
    </xf>
    <xf numFmtId="0" fontId="0" fillId="8" borderId="6" xfId="0" applyFill="1" applyBorder="1" applyProtection="1">
      <protection hidden="1"/>
    </xf>
    <xf numFmtId="49" fontId="24" fillId="9" borderId="18" xfId="0" applyNumberFormat="1" applyFont="1" applyFill="1" applyBorder="1" applyProtection="1">
      <protection hidden="1"/>
    </xf>
    <xf numFmtId="0" fontId="23" fillId="8" borderId="6" xfId="0" applyFont="1" applyFill="1" applyBorder="1" applyProtection="1">
      <protection hidden="1"/>
    </xf>
    <xf numFmtId="49" fontId="24" fillId="7" borderId="18" xfId="0" applyNumberFormat="1" applyFont="1" applyFill="1" applyBorder="1" applyProtection="1">
      <protection hidden="1"/>
    </xf>
    <xf numFmtId="49" fontId="22" fillId="4" borderId="18" xfId="0" applyNumberFormat="1" applyFont="1" applyFill="1" applyBorder="1" applyProtection="1">
      <protection hidden="1"/>
    </xf>
    <xf numFmtId="0" fontId="24" fillId="8" borderId="0" xfId="0" applyFont="1" applyFill="1" applyProtection="1">
      <protection hidden="1"/>
    </xf>
    <xf numFmtId="49" fontId="22" fillId="3" borderId="18" xfId="0" applyNumberFormat="1" applyFont="1" applyFill="1" applyBorder="1" applyProtection="1">
      <protection hidden="1"/>
    </xf>
    <xf numFmtId="0" fontId="20" fillId="8" borderId="8" xfId="0" applyFont="1" applyFill="1" applyBorder="1" applyProtection="1">
      <protection hidden="1"/>
    </xf>
    <xf numFmtId="0" fontId="0" fillId="8" borderId="9" xfId="0" applyFill="1" applyBorder="1" applyProtection="1">
      <protection hidden="1"/>
    </xf>
    <xf numFmtId="0" fontId="0" fillId="8" borderId="10" xfId="0" applyFill="1" applyBorder="1" applyProtection="1">
      <protection hidden="1"/>
    </xf>
    <xf numFmtId="49" fontId="24" fillId="2" borderId="19" xfId="0" applyNumberFormat="1" applyFont="1" applyFill="1" applyBorder="1" applyProtection="1">
      <protection hidden="1"/>
    </xf>
    <xf numFmtId="0" fontId="23" fillId="8" borderId="0" xfId="0" applyFont="1" applyFill="1" applyProtection="1">
      <protection hidden="1"/>
    </xf>
    <xf numFmtId="0" fontId="0" fillId="6" borderId="11" xfId="0" applyFill="1" applyBorder="1" applyProtection="1">
      <protection hidden="1"/>
    </xf>
    <xf numFmtId="0" fontId="0" fillId="6" borderId="12" xfId="0" applyFill="1" applyBorder="1" applyProtection="1">
      <protection hidden="1"/>
    </xf>
    <xf numFmtId="0" fontId="0" fillId="6" borderId="5" xfId="0" applyFill="1" applyBorder="1" applyProtection="1">
      <protection hidden="1"/>
    </xf>
    <xf numFmtId="0" fontId="0" fillId="6" borderId="20" xfId="0" applyFill="1" applyBorder="1" applyProtection="1">
      <protection hidden="1"/>
    </xf>
    <xf numFmtId="0" fontId="22" fillId="8" borderId="13" xfId="0" applyFont="1" applyFill="1" applyBorder="1" applyProtection="1">
      <protection hidden="1"/>
    </xf>
    <xf numFmtId="0" fontId="22" fillId="8" borderId="14" xfId="0" applyFont="1" applyFill="1" applyBorder="1" applyProtection="1">
      <protection hidden="1"/>
    </xf>
    <xf numFmtId="0" fontId="0" fillId="8" borderId="14" xfId="0" applyFill="1" applyBorder="1" applyProtection="1">
      <protection hidden="1"/>
    </xf>
    <xf numFmtId="0" fontId="0" fillId="8" borderId="21" xfId="0" applyFill="1" applyBorder="1" applyProtection="1">
      <protection hidden="1"/>
    </xf>
    <xf numFmtId="0" fontId="22" fillId="5" borderId="0" xfId="0" applyFont="1" applyFill="1" applyProtection="1">
      <protection hidden="1"/>
    </xf>
    <xf numFmtId="0" fontId="22" fillId="8" borderId="15" xfId="0" applyFont="1" applyFill="1" applyBorder="1" applyProtection="1">
      <protection hidden="1"/>
    </xf>
    <xf numFmtId="0" fontId="22" fillId="8" borderId="16" xfId="0" applyFont="1" applyFill="1" applyBorder="1" applyProtection="1">
      <protection hidden="1"/>
    </xf>
    <xf numFmtId="0" fontId="23" fillId="8" borderId="4" xfId="0" applyFont="1" applyFill="1" applyBorder="1" applyProtection="1">
      <protection hidden="1"/>
    </xf>
    <xf numFmtId="0" fontId="0" fillId="8" borderId="4" xfId="0" applyFill="1" applyBorder="1" applyProtection="1">
      <protection hidden="1"/>
    </xf>
    <xf numFmtId="0" fontId="0" fillId="8" borderId="16" xfId="0" applyFill="1" applyBorder="1" applyProtection="1">
      <protection hidden="1"/>
    </xf>
    <xf numFmtId="0" fontId="0" fillId="8" borderId="22" xfId="0" applyFill="1" applyBorder="1" applyProtection="1">
      <protection hidden="1"/>
    </xf>
    <xf numFmtId="49" fontId="0" fillId="11" borderId="18" xfId="0" applyNumberFormat="1" applyFill="1" applyBorder="1" applyProtection="1">
      <protection hidden="1"/>
    </xf>
    <xf numFmtId="0" fontId="0" fillId="11" borderId="4" xfId="0" applyFill="1" applyBorder="1" applyProtection="1">
      <protection hidden="1"/>
    </xf>
    <xf numFmtId="0" fontId="11" fillId="11" borderId="0" xfId="0" applyFont="1" applyFill="1"/>
    <xf numFmtId="0" fontId="0" fillId="11" borderId="0" xfId="0" applyFill="1"/>
    <xf numFmtId="49" fontId="25" fillId="12" borderId="18" xfId="0" applyNumberFormat="1" applyFont="1" applyFill="1" applyBorder="1" applyProtection="1">
      <protection hidden="1"/>
    </xf>
    <xf numFmtId="0" fontId="11" fillId="12" borderId="0" xfId="0" applyFont="1" applyFill="1"/>
    <xf numFmtId="0" fontId="0" fillId="12" borderId="0" xfId="0" applyFill="1"/>
    <xf numFmtId="0" fontId="0" fillId="12" borderId="4" xfId="0" applyFill="1" applyBorder="1" applyProtection="1">
      <protection hidden="1"/>
    </xf>
    <xf numFmtId="0" fontId="22" fillId="0" borderId="0" xfId="0" applyFont="1" applyProtection="1">
      <protection hidden="1"/>
    </xf>
    <xf numFmtId="0" fontId="0" fillId="13" borderId="0" xfId="0" applyFill="1" applyAlignment="1">
      <alignment horizontal="right" wrapText="1"/>
    </xf>
    <xf numFmtId="0" fontId="0" fillId="13" borderId="0" xfId="0" applyFill="1" applyAlignment="1">
      <alignment horizontal="left" wrapText="1"/>
    </xf>
    <xf numFmtId="0" fontId="0" fillId="13" borderId="0" xfId="0" applyFill="1" applyAlignment="1">
      <alignment wrapText="1"/>
    </xf>
    <xf numFmtId="0" fontId="0" fillId="6" borderId="21" xfId="0" applyFill="1" applyBorder="1" applyAlignment="1">
      <alignment horizontal="right" wrapText="1"/>
    </xf>
    <xf numFmtId="0" fontId="0" fillId="14" borderId="0" xfId="0" applyFill="1" applyAlignment="1">
      <alignment horizontal="right" wrapText="1"/>
    </xf>
    <xf numFmtId="0" fontId="0" fillId="14" borderId="14" xfId="0" applyFill="1" applyBorder="1" applyAlignment="1">
      <alignment horizontal="right" wrapText="1"/>
    </xf>
    <xf numFmtId="0" fontId="0" fillId="15" borderId="0" xfId="0" applyFill="1" applyAlignment="1">
      <alignment horizontal="right" wrapText="1"/>
    </xf>
    <xf numFmtId="0" fontId="0" fillId="15" borderId="14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14" xfId="0" applyFill="1" applyBorder="1" applyAlignment="1">
      <alignment horizontal="right" wrapText="1"/>
    </xf>
    <xf numFmtId="0" fontId="0" fillId="16" borderId="0" xfId="0" applyFill="1" applyAlignment="1">
      <alignment horizontal="right" wrapText="1"/>
    </xf>
    <xf numFmtId="0" fontId="0" fillId="16" borderId="14" xfId="0" applyFill="1" applyBorder="1" applyAlignment="1">
      <alignment horizontal="right" wrapText="1"/>
    </xf>
    <xf numFmtId="0" fontId="0" fillId="17" borderId="0" xfId="0" applyFill="1" applyAlignment="1">
      <alignment horizontal="center" wrapText="1"/>
    </xf>
    <xf numFmtId="0" fontId="0" fillId="17" borderId="16" xfId="0" applyFill="1" applyBorder="1" applyAlignment="1">
      <alignment horizontal="center" wrapText="1"/>
    </xf>
    <xf numFmtId="0" fontId="0" fillId="13" borderId="23" xfId="0" applyFill="1" applyBorder="1"/>
    <xf numFmtId="14" fontId="0" fillId="4" borderId="23" xfId="0" applyNumberFormat="1" applyFill="1" applyBorder="1"/>
    <xf numFmtId="0" fontId="0" fillId="0" borderId="23" xfId="0" applyBorder="1" applyAlignment="1">
      <alignment horizontal="left"/>
    </xf>
    <xf numFmtId="0" fontId="0" fillId="0" borderId="23" xfId="0" applyBorder="1"/>
    <xf numFmtId="14" fontId="0" fillId="0" borderId="23" xfId="0" applyNumberFormat="1" applyBorder="1"/>
    <xf numFmtId="0" fontId="0" fillId="0" borderId="23" xfId="0" applyBorder="1" applyAlignment="1">
      <alignment horizontal="right"/>
    </xf>
    <xf numFmtId="0" fontId="0" fillId="0" borderId="23" xfId="0" applyBorder="1" applyAlignment="1">
      <alignment horizontal="center"/>
    </xf>
    <xf numFmtId="1" fontId="0" fillId="0" borderId="23" xfId="0" applyNumberFormat="1" applyBorder="1"/>
    <xf numFmtId="0" fontId="22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21" fillId="16" borderId="0" xfId="0" applyFont="1" applyFill="1" applyProtection="1">
      <protection hidden="1"/>
    </xf>
    <xf numFmtId="0" fontId="26" fillId="8" borderId="3" xfId="0" applyFont="1" applyFill="1" applyBorder="1" applyProtection="1">
      <protection hidden="1"/>
    </xf>
    <xf numFmtId="0" fontId="26" fillId="8" borderId="1" xfId="0" applyFont="1" applyFill="1" applyBorder="1" applyProtection="1">
      <protection hidden="1"/>
    </xf>
    <xf numFmtId="0" fontId="22" fillId="8" borderId="1" xfId="0" applyFont="1" applyFill="1" applyBorder="1" applyProtection="1">
      <protection hidden="1"/>
    </xf>
    <xf numFmtId="0" fontId="22" fillId="8" borderId="7" xfId="0" applyFont="1" applyFill="1" applyBorder="1" applyProtection="1">
      <protection hidden="1"/>
    </xf>
    <xf numFmtId="0" fontId="22" fillId="8" borderId="2" xfId="0" applyFont="1" applyFill="1" applyBorder="1" applyProtection="1">
      <protection hidden="1"/>
    </xf>
    <xf numFmtId="0" fontId="22" fillId="8" borderId="6" xfId="0" applyFont="1" applyFill="1" applyBorder="1" applyProtection="1">
      <protection hidden="1"/>
    </xf>
    <xf numFmtId="0" fontId="0" fillId="0" borderId="2" xfId="0" applyBorder="1" applyProtection="1">
      <protection hidden="1"/>
    </xf>
    <xf numFmtId="14" fontId="0" fillId="0" borderId="0" xfId="0" applyNumberFormat="1" applyProtection="1">
      <protection hidden="1"/>
    </xf>
    <xf numFmtId="3" fontId="2" fillId="0" borderId="6" xfId="0" applyNumberFormat="1" applyFont="1" applyBorder="1" applyProtection="1">
      <protection hidden="1"/>
    </xf>
    <xf numFmtId="0" fontId="0" fillId="6" borderId="2" xfId="0" applyFill="1" applyBorder="1" applyProtection="1">
      <protection hidden="1"/>
    </xf>
    <xf numFmtId="14" fontId="0" fillId="6" borderId="0" xfId="0" applyNumberFormat="1" applyFill="1" applyProtection="1">
      <protection hidden="1"/>
    </xf>
    <xf numFmtId="2" fontId="0" fillId="6" borderId="0" xfId="0" applyNumberFormat="1" applyFill="1" applyProtection="1">
      <protection hidden="1"/>
    </xf>
    <xf numFmtId="3" fontId="2" fillId="6" borderId="6" xfId="0" applyNumberFormat="1" applyFont="1" applyFill="1" applyBorder="1" applyProtection="1">
      <protection hidden="1"/>
    </xf>
    <xf numFmtId="0" fontId="0" fillId="0" borderId="8" xfId="0" applyBorder="1" applyProtection="1">
      <protection hidden="1"/>
    </xf>
    <xf numFmtId="0" fontId="0" fillId="0" borderId="9" xfId="0" applyBorder="1" applyProtection="1">
      <protection hidden="1"/>
    </xf>
    <xf numFmtId="14" fontId="0" fillId="0" borderId="9" xfId="0" applyNumberFormat="1" applyBorder="1" applyProtection="1">
      <protection hidden="1"/>
    </xf>
    <xf numFmtId="2" fontId="0" fillId="0" borderId="9" xfId="0" applyNumberFormat="1" applyBorder="1" applyProtection="1">
      <protection hidden="1"/>
    </xf>
    <xf numFmtId="3" fontId="2" fillId="0" borderId="10" xfId="0" applyNumberFormat="1" applyFont="1" applyBorder="1" applyProtection="1">
      <protection hidden="1"/>
    </xf>
    <xf numFmtId="3" fontId="21" fillId="5" borderId="0" xfId="0" applyNumberFormat="1" applyFont="1" applyFill="1" applyProtection="1">
      <protection locked="0"/>
    </xf>
    <xf numFmtId="49" fontId="1" fillId="16" borderId="18" xfId="0" applyNumberFormat="1" applyFont="1" applyFill="1" applyBorder="1" applyProtection="1">
      <protection hidden="1"/>
    </xf>
    <xf numFmtId="14" fontId="0" fillId="18" borderId="23" xfId="0" applyNumberFormat="1" applyFill="1" applyBorder="1"/>
    <xf numFmtId="0" fontId="0" fillId="19" borderId="0" xfId="0" applyFill="1" applyProtection="1">
      <protection hidden="1"/>
    </xf>
    <xf numFmtId="14" fontId="0" fillId="19" borderId="0" xfId="0" applyNumberFormat="1" applyFill="1" applyProtection="1">
      <protection hidden="1"/>
    </xf>
    <xf numFmtId="2" fontId="0" fillId="19" borderId="0" xfId="0" applyNumberFormat="1" applyFill="1" applyProtection="1">
      <protection hidden="1"/>
    </xf>
    <xf numFmtId="0" fontId="0" fillId="19" borderId="2" xfId="0" applyFill="1" applyBorder="1" applyProtection="1">
      <protection hidden="1"/>
    </xf>
    <xf numFmtId="3" fontId="2" fillId="19" borderId="6" xfId="0" applyNumberFormat="1" applyFont="1" applyFill="1" applyBorder="1" applyProtection="1">
      <protection hidden="1"/>
    </xf>
    <xf numFmtId="0" fontId="22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21" fillId="20" borderId="0" xfId="0" applyFont="1" applyFill="1" applyProtection="1">
      <protection hidden="1"/>
    </xf>
    <xf numFmtId="0" fontId="0" fillId="21" borderId="0" xfId="0" applyFill="1" applyProtection="1">
      <protection hidden="1"/>
    </xf>
    <xf numFmtId="49" fontId="0" fillId="22" borderId="18" xfId="0" applyNumberFormat="1" applyFill="1" applyBorder="1" applyProtection="1">
      <protection hidden="1"/>
    </xf>
    <xf numFmtId="49" fontId="0" fillId="23" borderId="18" xfId="0" applyNumberFormat="1" applyFill="1" applyBorder="1" applyProtection="1">
      <protection hidden="1"/>
    </xf>
    <xf numFmtId="0" fontId="22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21" fillId="23" borderId="0" xfId="0" applyFont="1" applyFill="1" applyProtection="1">
      <protection hidden="1"/>
    </xf>
    <xf numFmtId="14" fontId="1" fillId="0" borderId="23" xfId="0" applyNumberFormat="1" applyFont="1" applyBorder="1"/>
    <xf numFmtId="14" fontId="0" fillId="0" borderId="23" xfId="0" applyNumberFormat="1" applyBorder="1" applyAlignment="1">
      <alignment horizontal="left"/>
    </xf>
    <xf numFmtId="14" fontId="0" fillId="0" borderId="23" xfId="0" applyNumberFormat="1" applyBorder="1" applyAlignment="1">
      <alignment horizontal="right"/>
    </xf>
    <xf numFmtId="0" fontId="0" fillId="0" borderId="21" xfId="0" applyBorder="1"/>
    <xf numFmtId="0" fontId="0" fillId="0" borderId="24" xfId="0" applyBorder="1" applyProtection="1">
      <protection hidden="1"/>
    </xf>
    <xf numFmtId="0" fontId="0" fillId="0" borderId="25" xfId="0" applyBorder="1" applyProtection="1">
      <protection hidden="1"/>
    </xf>
    <xf numFmtId="14" fontId="0" fillId="0" borderId="25" xfId="0" applyNumberFormat="1" applyBorder="1" applyProtection="1">
      <protection hidden="1"/>
    </xf>
    <xf numFmtId="2" fontId="0" fillId="0" borderId="25" xfId="0" applyNumberFormat="1" applyBorder="1" applyProtection="1">
      <protection hidden="1"/>
    </xf>
    <xf numFmtId="0" fontId="0" fillId="21" borderId="25" xfId="0" applyFill="1" applyBorder="1" applyProtection="1">
      <protection hidden="1"/>
    </xf>
    <xf numFmtId="3" fontId="2" fillId="0" borderId="26" xfId="0" applyNumberFormat="1" applyFont="1" applyBorder="1" applyProtection="1">
      <protection hidden="1"/>
    </xf>
    <xf numFmtId="0" fontId="0" fillId="0" borderId="27" xfId="0" applyBorder="1" applyProtection="1">
      <protection hidden="1"/>
    </xf>
    <xf numFmtId="0" fontId="0" fillId="0" borderId="28" xfId="0" applyBorder="1" applyProtection="1">
      <protection hidden="1"/>
    </xf>
    <xf numFmtId="14" fontId="0" fillId="0" borderId="28" xfId="0" applyNumberFormat="1" applyBorder="1" applyProtection="1">
      <protection hidden="1"/>
    </xf>
    <xf numFmtId="2" fontId="0" fillId="0" borderId="28" xfId="0" applyNumberFormat="1" applyBorder="1" applyProtection="1">
      <protection hidden="1"/>
    </xf>
    <xf numFmtId="0" fontId="0" fillId="21" borderId="28" xfId="0" applyFill="1" applyBorder="1" applyProtection="1">
      <protection hidden="1"/>
    </xf>
    <xf numFmtId="3" fontId="2" fillId="0" borderId="29" xfId="0" applyNumberFormat="1" applyFont="1" applyBorder="1" applyProtection="1">
      <protection hidden="1"/>
    </xf>
    <xf numFmtId="0" fontId="0" fillId="21" borderId="9" xfId="0" applyFill="1" applyBorder="1" applyProtection="1">
      <protection hidden="1"/>
    </xf>
    <xf numFmtId="0" fontId="22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21" fillId="24" borderId="0" xfId="0" applyFont="1" applyFill="1" applyProtection="1">
      <protection hidden="1"/>
    </xf>
    <xf numFmtId="49" fontId="1" fillId="24" borderId="18" xfId="0" applyNumberFormat="1" applyFont="1" applyFill="1" applyBorder="1" applyProtection="1">
      <protection hidden="1"/>
    </xf>
    <xf numFmtId="0" fontId="1" fillId="0" borderId="23" xfId="0" applyFont="1" applyBorder="1"/>
    <xf numFmtId="164" fontId="1" fillId="0" borderId="23" xfId="0" applyNumberFormat="1" applyFont="1" applyBorder="1"/>
    <xf numFmtId="2" fontId="1" fillId="0" borderId="23" xfId="0" applyNumberFormat="1" applyFont="1" applyBorder="1"/>
    <xf numFmtId="0" fontId="0" fillId="21" borderId="23" xfId="0" applyFill="1" applyBorder="1"/>
    <xf numFmtId="43" fontId="0" fillId="21" borderId="0" xfId="1" applyFont="1" applyFill="1" applyBorder="1" applyProtection="1">
      <protection hidden="1"/>
    </xf>
    <xf numFmtId="43" fontId="0" fillId="21" borderId="25" xfId="1" applyFont="1" applyFill="1" applyBorder="1" applyProtection="1">
      <protection hidden="1"/>
    </xf>
    <xf numFmtId="43" fontId="0" fillId="21" borderId="28" xfId="1" applyFont="1" applyFill="1" applyBorder="1" applyProtection="1">
      <protection hidden="1"/>
    </xf>
    <xf numFmtId="43" fontId="0" fillId="21" borderId="9" xfId="1" applyFont="1" applyFill="1" applyBorder="1" applyProtection="1">
      <protection hidden="1"/>
    </xf>
    <xf numFmtId="14" fontId="0" fillId="21" borderId="23" xfId="0" applyNumberFormat="1" applyFill="1" applyBorder="1"/>
    <xf numFmtId="14" fontId="0" fillId="21" borderId="23" xfId="0" applyNumberFormat="1" applyFill="1" applyBorder="1" applyAlignment="1">
      <alignment horizontal="right"/>
    </xf>
    <xf numFmtId="2" fontId="1" fillId="25" borderId="23" xfId="0" applyNumberFormat="1" applyFont="1" applyFill="1" applyBorder="1"/>
    <xf numFmtId="0" fontId="0" fillId="8" borderId="2" xfId="0" applyFill="1" applyBorder="1" applyProtection="1">
      <protection hidden="1"/>
    </xf>
    <xf numFmtId="0" fontId="0" fillId="8" borderId="8" xfId="0" applyFill="1" applyBorder="1" applyProtection="1">
      <protection hidden="1"/>
    </xf>
    <xf numFmtId="49" fontId="1" fillId="26" borderId="18" xfId="0" applyNumberFormat="1" applyFont="1" applyFill="1" applyBorder="1" applyProtection="1">
      <protection hidden="1"/>
    </xf>
    <xf numFmtId="0" fontId="22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21" fillId="26" borderId="0" xfId="0" applyFont="1" applyFill="1" applyProtection="1">
      <protection hidden="1"/>
    </xf>
    <xf numFmtId="0" fontId="1" fillId="13" borderId="23" xfId="3" applyFill="1" applyBorder="1"/>
    <xf numFmtId="14" fontId="1" fillId="23" borderId="23" xfId="3" applyNumberFormat="1" applyFill="1" applyBorder="1"/>
    <xf numFmtId="0" fontId="1" fillId="0" borderId="23" xfId="3" applyBorder="1" applyAlignment="1">
      <alignment horizontal="left"/>
    </xf>
    <xf numFmtId="0" fontId="1" fillId="0" borderId="23" xfId="3" applyBorder="1"/>
    <xf numFmtId="14" fontId="1" fillId="0" borderId="23" xfId="3" applyNumberFormat="1" applyBorder="1"/>
    <xf numFmtId="164" fontId="1" fillId="0" borderId="23" xfId="3" applyNumberFormat="1" applyBorder="1"/>
    <xf numFmtId="0" fontId="1" fillId="0" borderId="23" xfId="3" applyBorder="1" applyAlignment="1">
      <alignment horizontal="right"/>
    </xf>
    <xf numFmtId="1" fontId="1" fillId="0" borderId="23" xfId="3" applyNumberFormat="1" applyBorder="1"/>
    <xf numFmtId="2" fontId="1" fillId="0" borderId="23" xfId="3" applyNumberFormat="1" applyBorder="1"/>
    <xf numFmtId="0" fontId="1" fillId="0" borderId="23" xfId="3" applyBorder="1" applyAlignment="1">
      <alignment horizontal="center"/>
    </xf>
    <xf numFmtId="0" fontId="29" fillId="0" borderId="0" xfId="2"/>
    <xf numFmtId="14" fontId="1" fillId="0" borderId="23" xfId="3" applyNumberFormat="1" applyBorder="1" applyAlignment="1">
      <alignment horizontal="left"/>
    </xf>
    <xf numFmtId="2" fontId="1" fillId="27" borderId="23" xfId="3" applyNumberFormat="1" applyFill="1" applyBorder="1"/>
    <xf numFmtId="14" fontId="1" fillId="28" borderId="23" xfId="0" applyNumberFormat="1" applyFont="1" applyFill="1" applyBorder="1"/>
    <xf numFmtId="0" fontId="26" fillId="6" borderId="30" xfId="0" applyFont="1" applyFill="1" applyBorder="1" applyAlignment="1" applyProtection="1">
      <alignment wrapText="1"/>
      <protection hidden="1"/>
    </xf>
    <xf numFmtId="0" fontId="26" fillId="6" borderId="23" xfId="0" applyFont="1" applyFill="1" applyBorder="1" applyAlignment="1" applyProtection="1">
      <alignment wrapText="1"/>
      <protection hidden="1"/>
    </xf>
    <xf numFmtId="0" fontId="22" fillId="6" borderId="23" xfId="0" applyFont="1" applyFill="1" applyBorder="1" applyAlignment="1" applyProtection="1">
      <alignment wrapText="1"/>
      <protection hidden="1"/>
    </xf>
    <xf numFmtId="0" fontId="21" fillId="6" borderId="31" xfId="0" applyFont="1" applyFill="1" applyBorder="1" applyAlignment="1" applyProtection="1">
      <alignment wrapText="1"/>
      <protection hidden="1"/>
    </xf>
    <xf numFmtId="0" fontId="22" fillId="29" borderId="23" xfId="0" applyFont="1" applyFill="1" applyBorder="1" applyAlignment="1" applyProtection="1">
      <alignment wrapText="1"/>
      <protection hidden="1"/>
    </xf>
    <xf numFmtId="43" fontId="0" fillId="0" borderId="0" xfId="1" applyFont="1" applyFill="1" applyBorder="1" applyProtection="1">
      <protection hidden="1"/>
    </xf>
    <xf numFmtId="43" fontId="0" fillId="0" borderId="25" xfId="1" applyFont="1" applyFill="1" applyBorder="1" applyProtection="1">
      <protection hidden="1"/>
    </xf>
    <xf numFmtId="43" fontId="0" fillId="0" borderId="28" xfId="1" applyFont="1" applyFill="1" applyBorder="1" applyProtection="1">
      <protection hidden="1"/>
    </xf>
    <xf numFmtId="43" fontId="0" fillId="0" borderId="9" xfId="1" applyFont="1" applyFill="1" applyBorder="1" applyProtection="1">
      <protection hidden="1"/>
    </xf>
    <xf numFmtId="2" fontId="2" fillId="0" borderId="23" xfId="3" applyNumberFormat="1" applyFont="1" applyBorder="1"/>
    <xf numFmtId="14" fontId="1" fillId="21" borderId="23" xfId="3" applyNumberFormat="1" applyFill="1" applyBorder="1"/>
    <xf numFmtId="1" fontId="1" fillId="25" borderId="23" xfId="3" applyNumberFormat="1" applyFill="1" applyBorder="1"/>
    <xf numFmtId="164" fontId="1" fillId="25" borderId="23" xfId="3" applyNumberFormat="1" applyFill="1" applyBorder="1"/>
    <xf numFmtId="0" fontId="22" fillId="30" borderId="0" xfId="0" applyFont="1" applyFill="1" applyProtection="1">
      <protection hidden="1"/>
    </xf>
    <xf numFmtId="49" fontId="1" fillId="31" borderId="18" xfId="0" applyNumberFormat="1" applyFont="1" applyFill="1" applyBorder="1" applyProtection="1">
      <protection hidden="1"/>
    </xf>
    <xf numFmtId="0" fontId="0" fillId="31" borderId="0" xfId="0" applyFill="1"/>
    <xf numFmtId="0" fontId="2" fillId="31" borderId="0" xfId="0" applyFont="1" applyFill="1"/>
    <xf numFmtId="0" fontId="0" fillId="32" borderId="0" xfId="0" applyFill="1"/>
    <xf numFmtId="0" fontId="30" fillId="32" borderId="0" xfId="0" applyFont="1" applyFill="1"/>
    <xf numFmtId="0" fontId="31" fillId="32" borderId="0" xfId="0" applyFont="1" applyFill="1"/>
    <xf numFmtId="49" fontId="30" fillId="32" borderId="18" xfId="0" applyNumberFormat="1" applyFont="1" applyFill="1" applyBorder="1" applyProtection="1">
      <protection hidden="1"/>
    </xf>
    <xf numFmtId="1" fontId="1" fillId="21" borderId="23" xfId="3" applyNumberFormat="1" applyFill="1" applyBorder="1"/>
    <xf numFmtId="1" fontId="1" fillId="33" borderId="23" xfId="3" applyNumberFormat="1" applyFill="1" applyBorder="1"/>
    <xf numFmtId="0" fontId="29" fillId="0" borderId="23" xfId="2" applyFill="1" applyBorder="1" applyAlignment="1">
      <alignment horizontal="left"/>
    </xf>
    <xf numFmtId="1" fontId="1" fillId="28" borderId="23" xfId="3" applyNumberFormat="1" applyFill="1" applyBorder="1"/>
    <xf numFmtId="0" fontId="0" fillId="30" borderId="0" xfId="0" applyFill="1" applyProtection="1">
      <protection hidden="1"/>
    </xf>
    <xf numFmtId="0" fontId="11" fillId="30" borderId="0" xfId="0" applyFont="1" applyFill="1" applyProtection="1">
      <protection hidden="1"/>
    </xf>
    <xf numFmtId="0" fontId="30" fillId="34" borderId="0" xfId="0" applyFont="1" applyFill="1"/>
    <xf numFmtId="0" fontId="31" fillId="34" borderId="0" xfId="0" applyFont="1" applyFill="1"/>
    <xf numFmtId="0" fontId="0" fillId="34" borderId="0" xfId="0" applyFill="1"/>
    <xf numFmtId="49" fontId="30" fillId="34" borderId="18" xfId="0" applyNumberFormat="1" applyFont="1" applyFill="1" applyBorder="1" applyProtection="1">
      <protection hidden="1"/>
    </xf>
    <xf numFmtId="0" fontId="0" fillId="33" borderId="23" xfId="0" applyFill="1" applyBorder="1"/>
    <xf numFmtId="0" fontId="29" fillId="0" borderId="23" xfId="2" applyBorder="1" applyAlignment="1">
      <alignment horizontal="left"/>
    </xf>
  </cellXfs>
  <cellStyles count="4">
    <cellStyle name="Comma" xfId="1" builtinId="3"/>
    <cellStyle name="Hyperlink" xfId="2" builtinId="8"/>
    <cellStyle name="Normal" xfId="0" builtinId="0"/>
    <cellStyle name="Normal 2" xfId="3" xr:uid="{2C860112-E12E-F540-9066-FA4FFB9BB1EA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45</xdr:row>
      <xdr:rowOff>127000</xdr:rowOff>
    </xdr:from>
    <xdr:to>
      <xdr:col>9</xdr:col>
      <xdr:colOff>660400</xdr:colOff>
      <xdr:row>88</xdr:row>
      <xdr:rowOff>152400</xdr:rowOff>
    </xdr:to>
    <xdr:pic>
      <xdr:nvPicPr>
        <xdr:cNvPr id="6" name="Picture 5" descr="Screen Shot 2015-07-09 at 10.51.21 AM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8216900"/>
          <a:ext cx="8077200" cy="7124700"/>
        </a:xfrm>
        <a:prstGeom prst="rect">
          <a:avLst/>
        </a:prstGeom>
      </xdr:spPr>
    </xdr:pic>
    <xdr:clientData/>
  </xdr:twoCellAnchor>
  <xdr:twoCellAnchor editAs="oneCell">
    <xdr:from>
      <xdr:col>10</xdr:col>
      <xdr:colOff>736600</xdr:colOff>
      <xdr:row>0</xdr:row>
      <xdr:rowOff>0</xdr:rowOff>
    </xdr:from>
    <xdr:to>
      <xdr:col>12</xdr:col>
      <xdr:colOff>711200</xdr:colOff>
      <xdr:row>4</xdr:row>
      <xdr:rowOff>45085</xdr:rowOff>
    </xdr:to>
    <xdr:pic>
      <xdr:nvPicPr>
        <xdr:cNvPr id="7" name="Picture 6" descr="Alviss-Consulting-Logo-Inline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600" y="0"/>
          <a:ext cx="1625600" cy="756285"/>
        </a:xfrm>
        <a:prstGeom prst="rect">
          <a:avLst/>
        </a:prstGeom>
      </xdr:spPr>
    </xdr:pic>
    <xdr:clientData/>
  </xdr:twoCellAnchor>
  <xdr:twoCellAnchor editAs="oneCell">
    <xdr:from>
      <xdr:col>6</xdr:col>
      <xdr:colOff>38099</xdr:colOff>
      <xdr:row>0</xdr:row>
      <xdr:rowOff>50800</xdr:rowOff>
    </xdr:from>
    <xdr:to>
      <xdr:col>10</xdr:col>
      <xdr:colOff>669888</xdr:colOff>
      <xdr:row>3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099" y="50800"/>
          <a:ext cx="3933789" cy="6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hyperlink" Target="https://www.energymadeeasy.gov.au/plan?id=ORI429145SRG4&amp;postcode=2340" TargetMode="External"/><Relationship Id="rId1" Type="http://schemas.openxmlformats.org/officeDocument/2006/relationships/hyperlink" Target="https://www.energymadeeasy.gov.au/plan?id=ORI429173SRG3&amp;postcode=2000" TargetMode="External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hyperlink" Target="https://www.energymadeeasy.gov.au/plan?id=ACT64474SRG5&amp;postcode=2586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plan?id=DOD14019SRG2&amp;postcode=2000" TargetMode="External"/><Relationship Id="rId13" Type="http://schemas.openxmlformats.org/officeDocument/2006/relationships/hyperlink" Target="https://www.energymadeeasy.gov.au/plan?id=AGL15299SRG2&amp;utm_source=AGL&amp;utm_campaign=bpi-retailer&amp;utm_medium=retailer&amp;postcode=2643" TargetMode="External"/><Relationship Id="rId18" Type="http://schemas.openxmlformats.org/officeDocument/2006/relationships/hyperlink" Target="https://www.energymadeeasy.gov.au/plan?id=ENE19210SRG7&amp;postcode=2647" TargetMode="External"/><Relationship Id="rId3" Type="http://schemas.openxmlformats.org/officeDocument/2006/relationships/hyperlink" Target="https://www.energymadeeasy.gov.au/plan?id=COV68147SRG2&amp;postcode=2000" TargetMode="External"/><Relationship Id="rId21" Type="http://schemas.openxmlformats.org/officeDocument/2006/relationships/hyperlink" Target="https://www.energymadeeasy.gov.au/plan?id=RED21363SRG3&amp;postcode=2666" TargetMode="External"/><Relationship Id="rId7" Type="http://schemas.openxmlformats.org/officeDocument/2006/relationships/hyperlink" Target="https://www.energymadeeasy.gov.au/plan?id=DEN82783SRG1&amp;postcode=2000" TargetMode="External"/><Relationship Id="rId12" Type="http://schemas.openxmlformats.org/officeDocument/2006/relationships/hyperlink" Target="https://www.energymadeeasy.gov.au/plan?id=AGL15298SRG2&amp;utm_source=AGL&amp;utm_campaign=bpi-retailer&amp;utm_medium=retailer&amp;postcode=2640" TargetMode="External"/><Relationship Id="rId17" Type="http://schemas.openxmlformats.org/officeDocument/2006/relationships/hyperlink" Target="https://www.energymadeeasy.gov.au/plan?id=RED21293SRG3&amp;postcode=2640" TargetMode="External"/><Relationship Id="rId25" Type="http://schemas.openxmlformats.org/officeDocument/2006/relationships/hyperlink" Target="https://www.energymadeeasy.gov.au/plan?id=ENE19233SRG7&amp;postcode=2620" TargetMode="External"/><Relationship Id="rId2" Type="http://schemas.openxmlformats.org/officeDocument/2006/relationships/hyperlink" Target="https://www.alintaenergy.com.au/nsw/residential/electricity-and-gas/products/standard-retail-contract/residential-gas-pricing" TargetMode="External"/><Relationship Id="rId16" Type="http://schemas.openxmlformats.org/officeDocument/2006/relationships/hyperlink" Target="https://www.energymadeeasy.gov.au/plan?id=ENE19193SRG7&amp;postcode=2640" TargetMode="External"/><Relationship Id="rId20" Type="http://schemas.openxmlformats.org/officeDocument/2006/relationships/hyperlink" Target="https://www.energymadeeasy.gov.au/plan?id=RED21247SRG3&amp;postcode=2630" TargetMode="External"/><Relationship Id="rId1" Type="http://schemas.openxmlformats.org/officeDocument/2006/relationships/hyperlink" Target="https://www.energymadeeasy.gov.au/plan?id=AGL15303SRG&amp;postcode=2000" TargetMode="External"/><Relationship Id="rId6" Type="http://schemas.openxmlformats.org/officeDocument/2006/relationships/hyperlink" Target="https://www.energymadeeasy.gov.au/plan?id=ENE19241SRG8&amp;postcode=2000" TargetMode="External"/><Relationship Id="rId11" Type="http://schemas.openxmlformats.org/officeDocument/2006/relationships/hyperlink" Target="https://www.energymadeeasy.gov.au/plan?id=SUM29632SRG2&amp;postcode=2000" TargetMode="External"/><Relationship Id="rId24" Type="http://schemas.openxmlformats.org/officeDocument/2006/relationships/hyperlink" Target="https://www.energymadeeasy.gov.au/plan?id=RED21365SRG3&amp;postcode=2650" TargetMode="External"/><Relationship Id="rId5" Type="http://schemas.openxmlformats.org/officeDocument/2006/relationships/hyperlink" Target="https://www.energymadeeasy.gov.au/plan?id=CLI65208SRG1&amp;postcode=2000" TargetMode="External"/><Relationship Id="rId15" Type="http://schemas.openxmlformats.org/officeDocument/2006/relationships/hyperlink" Target="https://www.energymadeeasy.gov.au/plan?id=AGL15301SRG2&amp;utm_source=AGL&amp;utm_campaign=bpi-retailer&amp;utm_medium=retailer&amp;postcode=2650" TargetMode="External"/><Relationship Id="rId23" Type="http://schemas.openxmlformats.org/officeDocument/2006/relationships/hyperlink" Target="https://www.energymadeeasy.gov.au/plan?id=ENE19238SRG7&amp;postcode=2650" TargetMode="External"/><Relationship Id="rId10" Type="http://schemas.openxmlformats.org/officeDocument/2006/relationships/hyperlink" Target="https://www.energymadeeasy.gov.au/plan?id=SIM54278SRG2&amp;postcode=2000" TargetMode="External"/><Relationship Id="rId19" Type="http://schemas.openxmlformats.org/officeDocument/2006/relationships/hyperlink" Target="https://www.energymadeeasy.gov.au/plan?id=RED21285SRG3&amp;postcode=2647" TargetMode="External"/><Relationship Id="rId4" Type="http://schemas.openxmlformats.org/officeDocument/2006/relationships/hyperlink" Target="https://www.energymadeeasy.gov.au/plan?id=AMA62412SRG1&amp;postcode=2000" TargetMode="External"/><Relationship Id="rId9" Type="http://schemas.openxmlformats.org/officeDocument/2006/relationships/hyperlink" Target="https://www.energymadeeasy.gov.au/plan?id=RED21250SRG3&amp;postcode=2000" TargetMode="External"/><Relationship Id="rId14" Type="http://schemas.openxmlformats.org/officeDocument/2006/relationships/hyperlink" Target="https://www.energymadeeasy.gov.au/plan?id=AGL15300SRG2&amp;utm_source=AGL&amp;utm_campaign=bpi-retailer&amp;utm_medium=retailer&amp;postcode=2644" TargetMode="External"/><Relationship Id="rId22" Type="http://schemas.openxmlformats.org/officeDocument/2006/relationships/hyperlink" Target="https://www.energymadeeasy.gov.au/plan?id=RED21245SRG3&amp;postcode=2720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28"/>
  <sheetViews>
    <sheetView topLeftCell="A3" workbookViewId="0">
      <selection activeCell="I24" sqref="I24"/>
    </sheetView>
  </sheetViews>
  <sheetFormatPr baseColWidth="10" defaultRowHeight="13" x14ac:dyDescent="0.15"/>
  <cols>
    <col min="1" max="5" width="10.83203125" style="24"/>
    <col min="6" max="6" width="10.83203125" style="24" customWidth="1"/>
    <col min="7" max="18" width="10.83203125" style="24"/>
    <col min="19" max="19" width="16.33203125" style="24" customWidth="1"/>
    <col min="20" max="20" width="16.1640625" style="24" customWidth="1"/>
    <col min="21" max="21" width="10.83203125" style="24"/>
    <col min="22" max="22" width="12.83203125" style="24" customWidth="1"/>
    <col min="23" max="16384" width="10.83203125" style="24"/>
  </cols>
  <sheetData>
    <row r="1" spans="1:33" ht="15" thickBot="1" x14ac:dyDescent="0.2">
      <c r="A1" s="55" t="s">
        <v>463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</row>
    <row r="2" spans="1:33" ht="14" x14ac:dyDescent="0.15">
      <c r="A2" s="55" t="s">
        <v>174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7" t="s">
        <v>34</v>
      </c>
      <c r="O2" s="58"/>
      <c r="P2" s="58"/>
      <c r="Q2" s="58"/>
      <c r="R2" s="58"/>
      <c r="S2" s="58"/>
      <c r="T2" s="59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</row>
    <row r="3" spans="1:33" ht="14" x14ac:dyDescent="0.15">
      <c r="A3" s="60" t="s">
        <v>461</v>
      </c>
      <c r="B3" s="61"/>
      <c r="C3" s="61"/>
      <c r="D3" s="61"/>
      <c r="E3" s="61"/>
      <c r="F3" s="61"/>
      <c r="G3" s="56"/>
      <c r="H3" s="56"/>
      <c r="I3" s="56"/>
      <c r="J3" s="56"/>
      <c r="K3" s="56"/>
      <c r="L3" s="56"/>
      <c r="M3" s="56"/>
      <c r="N3" s="62" t="s">
        <v>159</v>
      </c>
      <c r="O3" s="63"/>
      <c r="P3" s="63"/>
      <c r="Q3" s="63"/>
      <c r="R3" s="63"/>
      <c r="S3" s="63"/>
      <c r="T3" s="64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</row>
    <row r="4" spans="1:33" x14ac:dyDescent="0.15">
      <c r="A4" s="6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62" t="s">
        <v>44</v>
      </c>
      <c r="O4" s="63"/>
      <c r="P4" s="63"/>
      <c r="Q4" s="63"/>
      <c r="R4" s="63"/>
      <c r="S4" s="63"/>
      <c r="T4" s="64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</row>
    <row r="5" spans="1:33" ht="14" x14ac:dyDescent="0.15">
      <c r="A5" s="66" t="s">
        <v>129</v>
      </c>
      <c r="B5" s="67"/>
      <c r="C5" s="67"/>
      <c r="D5" s="67"/>
      <c r="E5" s="67"/>
      <c r="F5" s="67"/>
      <c r="G5" s="67"/>
      <c r="H5" s="67"/>
      <c r="I5" s="67"/>
      <c r="J5" s="56"/>
      <c r="K5" s="56"/>
      <c r="L5" s="56"/>
      <c r="M5" s="56"/>
      <c r="N5" s="62" t="s">
        <v>6</v>
      </c>
      <c r="O5" s="63"/>
      <c r="P5" s="63"/>
      <c r="Q5" s="63"/>
      <c r="R5" s="63"/>
      <c r="S5" s="63"/>
      <c r="T5" s="64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</row>
    <row r="6" spans="1:33" ht="15" thickBot="1" x14ac:dyDescent="0.2">
      <c r="A6" s="67" t="s">
        <v>30</v>
      </c>
      <c r="B6" s="67"/>
      <c r="C6" s="67"/>
      <c r="D6" s="67"/>
      <c r="E6" s="67"/>
      <c r="F6" s="67"/>
      <c r="G6" s="67"/>
      <c r="H6" s="67"/>
      <c r="I6" s="67"/>
      <c r="J6" s="56"/>
      <c r="L6" s="56"/>
      <c r="M6" s="56"/>
      <c r="N6" s="68" t="s">
        <v>128</v>
      </c>
      <c r="O6" s="69"/>
      <c r="P6" s="69"/>
      <c r="Q6" s="69"/>
      <c r="R6" s="69"/>
      <c r="S6" s="69"/>
      <c r="T6" s="70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</row>
    <row r="7" spans="1:33" ht="15" thickBot="1" x14ac:dyDescent="0.2">
      <c r="A7" s="67" t="s">
        <v>130</v>
      </c>
      <c r="B7" s="67"/>
      <c r="C7" s="67"/>
      <c r="D7" s="67"/>
      <c r="E7" s="67"/>
      <c r="F7" s="67"/>
      <c r="G7" s="67"/>
      <c r="H7" s="67"/>
      <c r="I7" s="67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</row>
    <row r="8" spans="1:33" ht="15" thickBot="1" x14ac:dyDescent="0.2">
      <c r="A8" s="67" t="s">
        <v>118</v>
      </c>
      <c r="B8" s="67"/>
      <c r="C8" s="67"/>
      <c r="D8" s="67"/>
      <c r="E8" s="67"/>
      <c r="F8" s="67"/>
      <c r="G8" s="67"/>
      <c r="H8" s="67"/>
      <c r="I8" s="67"/>
      <c r="J8" s="56"/>
      <c r="K8" s="73" t="s">
        <v>12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</row>
    <row r="9" spans="1:33" ht="14" x14ac:dyDescent="0.15">
      <c r="A9" s="67" t="s">
        <v>171</v>
      </c>
      <c r="B9" s="67"/>
      <c r="C9" s="67"/>
      <c r="D9" s="67"/>
      <c r="E9" s="67"/>
      <c r="F9" s="67"/>
      <c r="G9" s="67"/>
      <c r="H9" s="67"/>
      <c r="I9" s="67"/>
      <c r="J9" s="56"/>
      <c r="K9" s="254" t="s">
        <v>498</v>
      </c>
      <c r="L9" s="56"/>
      <c r="M9" s="56"/>
      <c r="N9" s="57" t="s">
        <v>5</v>
      </c>
      <c r="O9" s="58"/>
      <c r="P9" s="58"/>
      <c r="Q9" s="58"/>
      <c r="R9" s="71"/>
      <c r="S9" s="71"/>
      <c r="T9" s="71"/>
      <c r="U9" s="71"/>
      <c r="V9" s="72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1:33" ht="14" x14ac:dyDescent="0.15">
      <c r="A10" s="67"/>
      <c r="B10" s="67"/>
      <c r="C10" s="67"/>
      <c r="D10" s="67"/>
      <c r="E10" s="67"/>
      <c r="F10" s="67"/>
      <c r="G10" s="67"/>
      <c r="H10" s="67"/>
      <c r="I10" s="67"/>
      <c r="J10" s="56"/>
      <c r="K10" s="244" t="s">
        <v>460</v>
      </c>
      <c r="L10" s="56"/>
      <c r="M10" s="56"/>
      <c r="N10" s="62" t="s">
        <v>227</v>
      </c>
      <c r="O10" s="63"/>
      <c r="P10" s="63"/>
      <c r="Q10" s="63"/>
      <c r="R10" s="63"/>
      <c r="S10" s="63"/>
      <c r="T10" s="63"/>
      <c r="U10" s="63"/>
      <c r="V10" s="64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</row>
    <row r="11" spans="1:33" ht="14" x14ac:dyDescent="0.15">
      <c r="A11" s="66" t="s">
        <v>301</v>
      </c>
      <c r="B11" s="67"/>
      <c r="C11" s="67"/>
      <c r="D11" s="67"/>
      <c r="E11" s="67"/>
      <c r="F11" s="67"/>
      <c r="G11" s="67"/>
      <c r="H11" s="67"/>
      <c r="I11" s="67"/>
      <c r="J11" s="56"/>
      <c r="K11" s="238" t="s">
        <v>459</v>
      </c>
      <c r="L11" s="56"/>
      <c r="M11" s="56"/>
      <c r="N11" s="62" t="s">
        <v>17</v>
      </c>
      <c r="O11" s="63"/>
      <c r="P11" s="63"/>
      <c r="Q11" s="63"/>
      <c r="R11" s="63"/>
      <c r="S11" s="63"/>
      <c r="T11" s="63"/>
      <c r="U11" s="63"/>
      <c r="V11" s="64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</row>
    <row r="12" spans="1:33" ht="14" x14ac:dyDescent="0.15">
      <c r="A12" s="111"/>
      <c r="B12" s="67"/>
      <c r="C12" s="67"/>
      <c r="D12" s="67"/>
      <c r="E12" s="67"/>
      <c r="F12" s="67"/>
      <c r="G12" s="67"/>
      <c r="H12" s="67"/>
      <c r="I12" s="67"/>
      <c r="J12" s="56"/>
      <c r="K12" s="206" t="s">
        <v>379</v>
      </c>
      <c r="L12" s="56"/>
      <c r="M12" s="56"/>
      <c r="N12" s="62" t="s">
        <v>139</v>
      </c>
      <c r="O12" s="63"/>
      <c r="P12" s="63"/>
      <c r="Q12" s="63"/>
      <c r="R12" s="63"/>
      <c r="S12" s="63"/>
      <c r="T12" s="63"/>
      <c r="U12" s="63"/>
      <c r="V12" s="64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</row>
    <row r="13" spans="1:33" ht="14" x14ac:dyDescent="0.15">
      <c r="A13" s="66" t="s">
        <v>13</v>
      </c>
      <c r="B13" s="67"/>
      <c r="C13" s="67"/>
      <c r="D13" s="67"/>
      <c r="E13" s="67"/>
      <c r="F13" s="67"/>
      <c r="G13" s="56"/>
      <c r="H13" s="67"/>
      <c r="I13" s="56"/>
      <c r="J13" s="56"/>
      <c r="K13" s="192" t="s">
        <v>350</v>
      </c>
      <c r="L13" s="56"/>
      <c r="M13" s="56"/>
      <c r="N13" s="62" t="s">
        <v>219</v>
      </c>
      <c r="O13" s="63"/>
      <c r="P13" s="63"/>
      <c r="Q13" s="63"/>
      <c r="R13" s="56"/>
      <c r="S13" s="56"/>
      <c r="T13" s="56"/>
      <c r="U13" s="56"/>
      <c r="V13" s="7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</row>
    <row r="14" spans="1:33" ht="14" x14ac:dyDescent="0.15">
      <c r="A14" s="67" t="s">
        <v>500</v>
      </c>
      <c r="B14" s="67"/>
      <c r="C14" s="67"/>
      <c r="D14" s="67"/>
      <c r="E14" s="67"/>
      <c r="F14" s="67"/>
      <c r="G14" s="56"/>
      <c r="H14" s="67"/>
      <c r="I14" s="56"/>
      <c r="J14" s="56"/>
      <c r="K14" s="168" t="s">
        <v>329</v>
      </c>
      <c r="L14" s="56"/>
      <c r="M14" s="56"/>
      <c r="N14" s="62" t="s">
        <v>77</v>
      </c>
      <c r="O14" s="63"/>
      <c r="P14" s="63"/>
      <c r="Q14" s="63"/>
      <c r="R14" s="56"/>
      <c r="S14" s="56"/>
      <c r="T14" s="56"/>
      <c r="U14" s="56"/>
      <c r="V14" s="7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</row>
    <row r="15" spans="1:33" ht="14" x14ac:dyDescent="0.15">
      <c r="A15" s="67" t="s">
        <v>501</v>
      </c>
      <c r="B15" s="67"/>
      <c r="C15" s="67"/>
      <c r="D15" s="67"/>
      <c r="E15" s="67"/>
      <c r="F15" s="67"/>
      <c r="G15" s="56"/>
      <c r="H15" s="67"/>
      <c r="I15" s="56"/>
      <c r="J15" s="56"/>
      <c r="K15" s="167" t="s">
        <v>325</v>
      </c>
      <c r="L15" s="56"/>
      <c r="M15" s="56"/>
      <c r="N15" s="62" t="s">
        <v>120</v>
      </c>
      <c r="O15" s="63"/>
      <c r="P15" s="63"/>
      <c r="Q15" s="63"/>
      <c r="R15" s="56"/>
      <c r="S15" s="56"/>
      <c r="T15" s="56"/>
      <c r="U15" s="56"/>
      <c r="V15" s="7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</row>
    <row r="16" spans="1:33" ht="14" x14ac:dyDescent="0.15">
      <c r="A16" s="67" t="s">
        <v>502</v>
      </c>
      <c r="B16" s="67"/>
      <c r="C16" s="67"/>
      <c r="D16" s="67"/>
      <c r="E16" s="67"/>
      <c r="F16" s="67"/>
      <c r="G16" s="56"/>
      <c r="H16" s="81"/>
      <c r="I16" s="56"/>
      <c r="J16" s="56"/>
      <c r="K16" s="156" t="s">
        <v>281</v>
      </c>
      <c r="L16" s="56"/>
      <c r="M16" s="56"/>
      <c r="N16" s="62" t="s">
        <v>220</v>
      </c>
      <c r="O16" s="63"/>
      <c r="P16" s="63"/>
      <c r="Q16" s="63"/>
      <c r="R16" s="56"/>
      <c r="S16" s="56"/>
      <c r="T16" s="56"/>
      <c r="U16" s="56"/>
      <c r="V16" s="7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</row>
    <row r="17" spans="1:33" ht="15" thickBot="1" x14ac:dyDescent="0.2">
      <c r="A17" s="67" t="s">
        <v>503</v>
      </c>
      <c r="B17" s="67"/>
      <c r="C17" s="67"/>
      <c r="D17" s="67"/>
      <c r="E17" s="67"/>
      <c r="F17" s="67"/>
      <c r="G17" s="56"/>
      <c r="H17" s="67"/>
      <c r="I17" s="56"/>
      <c r="J17" s="56"/>
      <c r="K17" s="107" t="s">
        <v>99</v>
      </c>
      <c r="L17" s="56"/>
      <c r="M17" s="56"/>
      <c r="N17" s="83" t="s">
        <v>221</v>
      </c>
      <c r="O17" s="69"/>
      <c r="P17" s="69"/>
      <c r="Q17" s="69"/>
      <c r="R17" s="84"/>
      <c r="S17" s="84"/>
      <c r="T17" s="84"/>
      <c r="U17" s="84"/>
      <c r="V17" s="85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</row>
    <row r="18" spans="1:33" ht="14" x14ac:dyDescent="0.15">
      <c r="A18" s="67" t="s">
        <v>504</v>
      </c>
      <c r="B18" s="67"/>
      <c r="C18" s="67"/>
      <c r="D18" s="67"/>
      <c r="E18" s="67"/>
      <c r="F18" s="67"/>
      <c r="G18" s="56"/>
      <c r="H18" s="67"/>
      <c r="I18" s="67"/>
      <c r="J18" s="56"/>
      <c r="K18" s="103" t="s">
        <v>27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</row>
    <row r="19" spans="1:33" ht="14" x14ac:dyDescent="0.15">
      <c r="A19" s="67" t="s">
        <v>505</v>
      </c>
      <c r="B19" s="67"/>
      <c r="C19" s="67"/>
      <c r="D19" s="67"/>
      <c r="E19" s="67"/>
      <c r="F19" s="67"/>
      <c r="G19" s="56"/>
      <c r="H19" s="67"/>
      <c r="I19" s="67"/>
      <c r="J19" s="56"/>
      <c r="K19" s="77" t="s">
        <v>141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</row>
    <row r="20" spans="1:33" ht="14" x14ac:dyDescent="0.15">
      <c r="A20" s="67" t="s">
        <v>453</v>
      </c>
      <c r="B20" s="67"/>
      <c r="C20" s="67"/>
      <c r="D20" s="67"/>
      <c r="E20" s="67"/>
      <c r="F20" s="67"/>
      <c r="H20" s="67"/>
      <c r="I20" s="67"/>
      <c r="J20" s="56"/>
      <c r="K20" s="79" t="s">
        <v>142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</row>
    <row r="21" spans="1:33" ht="14" x14ac:dyDescent="0.15">
      <c r="A21" s="67" t="s">
        <v>454</v>
      </c>
      <c r="B21" s="67"/>
      <c r="C21" s="67"/>
      <c r="D21" s="67"/>
      <c r="E21" s="67"/>
      <c r="F21" s="67"/>
      <c r="G21" s="67"/>
      <c r="H21" s="67"/>
      <c r="I21" s="67"/>
      <c r="J21" s="56"/>
      <c r="K21" s="80" t="s">
        <v>137</v>
      </c>
      <c r="L21" s="56"/>
      <c r="M21" s="56"/>
      <c r="N21" s="66"/>
      <c r="O21" s="67"/>
      <c r="P21" s="67"/>
      <c r="Q21" s="87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</row>
    <row r="22" spans="1:33" ht="14" x14ac:dyDescent="0.15">
      <c r="A22" s="67" t="s">
        <v>455</v>
      </c>
      <c r="B22" s="67"/>
      <c r="C22" s="67"/>
      <c r="D22" s="67"/>
      <c r="E22" s="67"/>
      <c r="F22" s="67"/>
      <c r="G22" s="67"/>
      <c r="H22" s="67"/>
      <c r="I22" s="67"/>
      <c r="J22" s="56"/>
      <c r="K22" s="82" t="s">
        <v>136</v>
      </c>
      <c r="L22" s="56"/>
      <c r="M22" s="56"/>
      <c r="N22" s="88" t="s">
        <v>67</v>
      </c>
      <c r="O22" s="89"/>
      <c r="P22" s="88" t="s">
        <v>161</v>
      </c>
      <c r="Q22" s="90"/>
      <c r="R22" s="90"/>
      <c r="S22" s="89"/>
      <c r="T22" s="91" t="s">
        <v>162</v>
      </c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</row>
    <row r="23" spans="1:33" ht="15" thickBot="1" x14ac:dyDescent="0.2">
      <c r="A23" s="67" t="s">
        <v>456</v>
      </c>
      <c r="B23" s="67"/>
      <c r="C23" s="67"/>
      <c r="D23" s="67"/>
      <c r="E23" s="67"/>
      <c r="F23" s="67"/>
      <c r="G23" s="67"/>
      <c r="H23" s="67"/>
      <c r="I23" s="67"/>
      <c r="J23" s="56"/>
      <c r="K23" s="86" t="s">
        <v>284</v>
      </c>
      <c r="L23" s="67"/>
      <c r="M23" s="56"/>
      <c r="N23" s="92" t="s">
        <v>133</v>
      </c>
      <c r="O23" s="93"/>
      <c r="P23" s="92" t="s">
        <v>125</v>
      </c>
      <c r="Q23" s="87"/>
      <c r="R23" s="56"/>
      <c r="S23" s="94"/>
      <c r="T23" s="95" t="s">
        <v>122</v>
      </c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</row>
    <row r="24" spans="1:33" ht="15" thickBot="1" x14ac:dyDescent="0.2">
      <c r="A24" s="67" t="s">
        <v>457</v>
      </c>
      <c r="B24" s="67"/>
      <c r="C24" s="67"/>
      <c r="D24" s="67"/>
      <c r="E24" s="67"/>
      <c r="F24" s="67"/>
      <c r="G24" s="67"/>
      <c r="H24" s="67"/>
      <c r="I24" s="67"/>
      <c r="J24" s="56"/>
      <c r="K24" s="249"/>
      <c r="L24" s="249"/>
      <c r="M24" s="56"/>
      <c r="N24" s="92" t="s">
        <v>22</v>
      </c>
      <c r="O24" s="93"/>
      <c r="P24" s="92" t="s">
        <v>225</v>
      </c>
      <c r="Q24" s="87"/>
      <c r="R24" s="56"/>
      <c r="S24" s="94"/>
      <c r="T24" s="95" t="s">
        <v>123</v>
      </c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</row>
    <row r="25" spans="1:33" ht="14" x14ac:dyDescent="0.15">
      <c r="A25" s="67" t="s">
        <v>351</v>
      </c>
      <c r="B25" s="56"/>
      <c r="C25" s="56"/>
      <c r="D25" s="56"/>
      <c r="E25" s="56"/>
      <c r="F25" s="56"/>
      <c r="G25" s="56"/>
      <c r="H25" s="56"/>
      <c r="I25" s="67"/>
      <c r="J25" s="56"/>
      <c r="K25" s="74" t="s">
        <v>213</v>
      </c>
      <c r="L25" s="75"/>
      <c r="M25" s="56"/>
      <c r="N25" s="92" t="s">
        <v>23</v>
      </c>
      <c r="O25" s="93"/>
      <c r="P25" s="92" t="s">
        <v>184</v>
      </c>
      <c r="Q25" s="87"/>
      <c r="R25" s="56"/>
      <c r="S25" s="94"/>
      <c r="T25" s="95" t="s">
        <v>123</v>
      </c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1:33" ht="14" x14ac:dyDescent="0.15">
      <c r="A26" s="67" t="s">
        <v>352</v>
      </c>
      <c r="B26" s="56"/>
      <c r="C26" s="56"/>
      <c r="D26" s="56"/>
      <c r="E26" s="56"/>
      <c r="F26" s="56"/>
      <c r="G26" s="56"/>
      <c r="I26" s="67"/>
      <c r="J26" s="56"/>
      <c r="K26" s="204" t="s">
        <v>133</v>
      </c>
      <c r="L26" s="78"/>
      <c r="M26" s="56"/>
      <c r="N26" s="92" t="s">
        <v>24</v>
      </c>
      <c r="O26" s="93"/>
      <c r="P26" s="92" t="s">
        <v>185</v>
      </c>
      <c r="Q26" s="87"/>
      <c r="R26" s="56"/>
      <c r="S26" s="94"/>
      <c r="T26" s="95" t="s">
        <v>123</v>
      </c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1:33" ht="14" x14ac:dyDescent="0.15">
      <c r="A27" s="67" t="s">
        <v>353</v>
      </c>
      <c r="B27" s="56"/>
      <c r="C27" s="56"/>
      <c r="D27" s="56"/>
      <c r="E27" s="56"/>
      <c r="F27" s="56"/>
      <c r="G27" s="56"/>
      <c r="H27" s="56"/>
      <c r="I27" s="67"/>
      <c r="J27" s="56"/>
      <c r="K27" s="204" t="s">
        <v>328</v>
      </c>
      <c r="L27" s="78"/>
      <c r="M27" s="56"/>
      <c r="N27" s="92" t="s">
        <v>25</v>
      </c>
      <c r="O27" s="93"/>
      <c r="P27" s="92" t="s">
        <v>186</v>
      </c>
      <c r="Q27" s="87"/>
      <c r="R27" s="56"/>
      <c r="S27" s="94"/>
      <c r="T27" s="95" t="s">
        <v>123</v>
      </c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1:33" ht="14" x14ac:dyDescent="0.15">
      <c r="A28" s="67" t="s">
        <v>354</v>
      </c>
      <c r="B28" s="56"/>
      <c r="C28" s="56"/>
      <c r="D28" s="56"/>
      <c r="E28" s="56"/>
      <c r="F28" s="67"/>
      <c r="G28" s="67"/>
      <c r="H28" s="67"/>
      <c r="I28" s="67"/>
      <c r="J28" s="56"/>
      <c r="K28" s="204" t="s">
        <v>372</v>
      </c>
      <c r="L28" s="78"/>
      <c r="M28" s="56"/>
      <c r="N28" s="92" t="s">
        <v>26</v>
      </c>
      <c r="O28" s="93"/>
      <c r="P28" s="92" t="s">
        <v>349</v>
      </c>
      <c r="Q28" s="87"/>
      <c r="R28" s="56"/>
      <c r="S28" s="94"/>
      <c r="T28" s="95" t="s">
        <v>123</v>
      </c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1:33" ht="14" x14ac:dyDescent="0.15">
      <c r="A29" s="237" t="s">
        <v>414</v>
      </c>
      <c r="B29" s="56"/>
      <c r="C29" s="56"/>
      <c r="D29" s="56"/>
      <c r="E29" s="56"/>
      <c r="F29" s="67"/>
      <c r="G29" s="67"/>
      <c r="H29" s="67"/>
      <c r="I29" s="67"/>
      <c r="J29" s="56"/>
      <c r="K29" s="204" t="s">
        <v>373</v>
      </c>
      <c r="L29" s="78"/>
      <c r="M29" s="56"/>
      <c r="N29" s="92" t="s">
        <v>68</v>
      </c>
      <c r="O29" s="93"/>
      <c r="P29" s="92" t="s">
        <v>168</v>
      </c>
      <c r="Q29" s="87"/>
      <c r="R29" s="56"/>
      <c r="S29" s="94"/>
      <c r="T29" s="95" t="s">
        <v>123</v>
      </c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1:33" ht="14" x14ac:dyDescent="0.15">
      <c r="A30" s="237" t="s">
        <v>458</v>
      </c>
      <c r="B30" s="56"/>
      <c r="C30" s="56"/>
      <c r="D30" s="56"/>
      <c r="E30" s="56"/>
      <c r="F30" s="56"/>
      <c r="G30" s="67"/>
      <c r="H30" s="67"/>
      <c r="I30" s="67"/>
      <c r="J30" s="56"/>
      <c r="K30" s="204" t="s">
        <v>374</v>
      </c>
      <c r="L30" s="78"/>
      <c r="M30" s="56"/>
      <c r="N30" s="92" t="s">
        <v>169</v>
      </c>
      <c r="O30" s="93"/>
      <c r="P30" s="92" t="s">
        <v>88</v>
      </c>
      <c r="Q30" s="87"/>
      <c r="R30" s="56"/>
      <c r="S30" s="94"/>
      <c r="T30" s="95" t="s">
        <v>124</v>
      </c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1:33" ht="14" x14ac:dyDescent="0.15">
      <c r="A31" s="237" t="s">
        <v>462</v>
      </c>
      <c r="B31" s="67"/>
      <c r="C31" s="67"/>
      <c r="D31" s="67"/>
      <c r="E31" s="67"/>
      <c r="F31" s="67"/>
      <c r="G31" s="67"/>
      <c r="H31" s="67"/>
      <c r="I31" s="67"/>
      <c r="J31" s="56"/>
      <c r="K31" s="204" t="s">
        <v>327</v>
      </c>
      <c r="L31" s="78"/>
      <c r="M31" s="56"/>
      <c r="N31" s="92" t="s">
        <v>11</v>
      </c>
      <c r="O31" s="93"/>
      <c r="P31" s="92" t="s">
        <v>53</v>
      </c>
      <c r="Q31" s="87"/>
      <c r="R31" s="56"/>
      <c r="S31" s="94"/>
      <c r="T31" s="95" t="s">
        <v>124</v>
      </c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1:33" ht="14" x14ac:dyDescent="0.15">
      <c r="A32" s="237" t="s">
        <v>499</v>
      </c>
      <c r="B32" s="249"/>
      <c r="C32" s="237"/>
      <c r="D32" s="237"/>
      <c r="E32" s="237"/>
      <c r="F32" s="250"/>
      <c r="G32" s="67"/>
      <c r="H32" s="67"/>
      <c r="J32" s="56"/>
      <c r="K32" s="204" t="s">
        <v>376</v>
      </c>
      <c r="L32" s="78"/>
      <c r="M32" s="56"/>
      <c r="N32" s="92" t="s">
        <v>54</v>
      </c>
      <c r="O32" s="93"/>
      <c r="P32" s="92" t="s">
        <v>224</v>
      </c>
      <c r="Q32" s="87"/>
      <c r="R32" s="56"/>
      <c r="S32" s="94"/>
      <c r="T32" s="95" t="s">
        <v>124</v>
      </c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1:33" ht="14" x14ac:dyDescent="0.15">
      <c r="A33" s="237" t="s">
        <v>326</v>
      </c>
      <c r="B33" s="67"/>
      <c r="C33" s="67"/>
      <c r="D33" s="67"/>
      <c r="E33" s="67"/>
      <c r="F33" s="67"/>
      <c r="G33" s="67"/>
      <c r="H33" s="67"/>
      <c r="I33" s="67"/>
      <c r="J33" s="56"/>
      <c r="K33" s="204" t="s">
        <v>391</v>
      </c>
      <c r="L33" s="76"/>
      <c r="M33" s="56"/>
      <c r="N33" s="92" t="s">
        <v>69</v>
      </c>
      <c r="O33" s="93"/>
      <c r="P33" s="92" t="s">
        <v>229</v>
      </c>
      <c r="Q33" s="87"/>
      <c r="R33" s="56"/>
      <c r="S33" s="94"/>
      <c r="T33" s="95" t="s">
        <v>123</v>
      </c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1:33" ht="14" x14ac:dyDescent="0.15">
      <c r="A34" s="66"/>
      <c r="B34" s="67"/>
      <c r="C34" s="67"/>
      <c r="D34" s="67"/>
      <c r="E34" s="67"/>
      <c r="F34" s="67"/>
      <c r="G34" s="67"/>
      <c r="H34" s="67"/>
      <c r="I34" s="67"/>
      <c r="J34" s="56"/>
      <c r="K34" s="204" t="s">
        <v>393</v>
      </c>
      <c r="L34" s="76"/>
      <c r="M34" s="56"/>
      <c r="N34" s="97" t="s">
        <v>70</v>
      </c>
      <c r="O34" s="98"/>
      <c r="P34" s="97" t="s">
        <v>43</v>
      </c>
      <c r="Q34" s="99"/>
      <c r="R34" s="100"/>
      <c r="S34" s="101"/>
      <c r="T34" s="102" t="s">
        <v>123</v>
      </c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1:33" ht="14" x14ac:dyDescent="0.15">
      <c r="A35" s="66" t="s">
        <v>183</v>
      </c>
      <c r="B35" s="67"/>
      <c r="C35" s="67"/>
      <c r="D35" s="67"/>
      <c r="E35" s="67"/>
      <c r="F35" s="67"/>
      <c r="G35" s="67"/>
      <c r="H35" s="67"/>
      <c r="I35" s="67"/>
      <c r="J35" s="56"/>
      <c r="K35" s="204" t="s">
        <v>395</v>
      </c>
      <c r="L35" s="7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1:33" ht="14" x14ac:dyDescent="0.15">
      <c r="A36" s="67" t="s">
        <v>497</v>
      </c>
      <c r="B36" s="67"/>
      <c r="C36" s="67"/>
      <c r="D36" s="67"/>
      <c r="E36" s="67"/>
      <c r="F36" s="67"/>
      <c r="G36" s="67"/>
      <c r="I36" s="67"/>
      <c r="J36" s="56"/>
      <c r="K36" s="204" t="s">
        <v>517</v>
      </c>
      <c r="L36" s="7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1:33" ht="15" thickBot="1" x14ac:dyDescent="0.2">
      <c r="A37" s="67" t="s">
        <v>143</v>
      </c>
      <c r="B37" s="67"/>
      <c r="C37" s="67"/>
      <c r="D37" s="67"/>
      <c r="E37" s="67"/>
      <c r="F37" s="67"/>
      <c r="G37" s="67"/>
      <c r="H37" s="67"/>
      <c r="I37" s="67"/>
      <c r="J37" s="56"/>
      <c r="K37" s="205" t="s">
        <v>519</v>
      </c>
      <c r="L37" s="85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1:33" ht="14" x14ac:dyDescent="0.15">
      <c r="A38" s="67"/>
      <c r="B38" s="67"/>
      <c r="C38" s="67"/>
      <c r="D38" s="67"/>
      <c r="E38" s="67"/>
      <c r="F38" s="67"/>
      <c r="G38" s="67"/>
      <c r="H38" s="67"/>
      <c r="I38" s="67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1:33" ht="14" x14ac:dyDescent="0.15">
      <c r="A39" s="67" t="s">
        <v>65</v>
      </c>
      <c r="B39" s="67"/>
      <c r="C39" s="67"/>
      <c r="D39" s="67"/>
      <c r="E39" s="67"/>
      <c r="F39" s="67"/>
      <c r="H39" s="67"/>
      <c r="I39" s="67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1:33" ht="14" x14ac:dyDescent="0.15">
      <c r="A40" s="67" t="s">
        <v>377</v>
      </c>
      <c r="B40" s="67"/>
      <c r="C40" s="67"/>
      <c r="D40" s="67"/>
      <c r="E40" s="67"/>
      <c r="F40" s="67"/>
      <c r="G40" s="96"/>
      <c r="H40" s="67"/>
      <c r="I40" s="67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1:33" ht="14" x14ac:dyDescent="0.15">
      <c r="A41" s="67"/>
      <c r="B41" s="67"/>
      <c r="C41" s="67"/>
      <c r="D41" s="67"/>
      <c r="E41" s="67"/>
      <c r="F41" s="67"/>
      <c r="G41" s="67"/>
      <c r="H41" s="67"/>
      <c r="I41" s="87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1:33" ht="14" x14ac:dyDescent="0.15">
      <c r="A42" s="67" t="s">
        <v>59</v>
      </c>
      <c r="B42" s="67"/>
      <c r="C42" s="67"/>
      <c r="D42" s="67"/>
      <c r="E42" s="67"/>
      <c r="F42" s="67"/>
      <c r="G42" s="67"/>
      <c r="H42" s="67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1:33" ht="14" x14ac:dyDescent="0.15">
      <c r="A43" s="67" t="s">
        <v>127</v>
      </c>
      <c r="B43" s="67"/>
      <c r="C43" s="67"/>
      <c r="D43" s="67"/>
      <c r="E43" s="67"/>
      <c r="F43" s="67"/>
      <c r="G43" s="67"/>
      <c r="H43" s="67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1:33" ht="14" x14ac:dyDescent="0.15">
      <c r="A44" s="67" t="s">
        <v>114</v>
      </c>
      <c r="B44" s="67"/>
      <c r="C44" s="67"/>
      <c r="D44" s="67"/>
      <c r="E44" s="67"/>
      <c r="F44" s="67"/>
      <c r="G44" s="67"/>
      <c r="H44" s="67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1:33" ht="14" x14ac:dyDescent="0.15">
      <c r="A45" s="67" t="s">
        <v>280</v>
      </c>
      <c r="B45" s="67"/>
      <c r="C45" s="67"/>
      <c r="D45" s="67"/>
      <c r="E45" s="67"/>
      <c r="F45" s="67"/>
      <c r="G45" s="67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1:33" x14ac:dyDescent="0.1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1:33" x14ac:dyDescent="0.1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1:33" x14ac:dyDescent="0.1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1:33" x14ac:dyDescent="0.1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1:33" x14ac:dyDescent="0.1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1:33" x14ac:dyDescent="0.1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1:33" x14ac:dyDescent="0.1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1:33" x14ac:dyDescent="0.1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1:33" x14ac:dyDescent="0.1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1:33" x14ac:dyDescent="0.1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1:33" x14ac:dyDescent="0.1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  <row r="57" spans="1:33" x14ac:dyDescent="0.15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33" x14ac:dyDescent="0.15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1:33" x14ac:dyDescent="0.15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1:33" x14ac:dyDescent="0.15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1:33" x14ac:dyDescent="0.15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1:33" x14ac:dyDescent="0.15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1:33" x14ac:dyDescent="0.15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1:33" x14ac:dyDescent="0.1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1:33" x14ac:dyDescent="0.1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1:33" x14ac:dyDescent="0.1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1:33" x14ac:dyDescent="0.1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1:33" x14ac:dyDescent="0.1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1:33" x14ac:dyDescent="0.1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1:33" x14ac:dyDescent="0.1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1:33" x14ac:dyDescent="0.1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1:33" x14ac:dyDescent="0.1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1:33" x14ac:dyDescent="0.1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1:33" x14ac:dyDescent="0.1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1:33" x14ac:dyDescent="0.1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1:33" x14ac:dyDescent="0.15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1:33" x14ac:dyDescent="0.1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</row>
    <row r="78" spans="1:33" x14ac:dyDescent="0.15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</row>
    <row r="79" spans="1:33" x14ac:dyDescent="0.15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1:33" x14ac:dyDescent="0.15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</row>
    <row r="81" spans="1:33" x14ac:dyDescent="0.1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</row>
    <row r="82" spans="1:33" x14ac:dyDescent="0.15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</row>
    <row r="83" spans="1:33" x14ac:dyDescent="0.15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</row>
    <row r="84" spans="1:33" x14ac:dyDescent="0.15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</row>
    <row r="85" spans="1:33" x14ac:dyDescent="0.1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</row>
    <row r="86" spans="1:33" x14ac:dyDescent="0.15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</row>
    <row r="87" spans="1:33" x14ac:dyDescent="0.15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</row>
    <row r="88" spans="1:33" x14ac:dyDescent="0.15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</row>
    <row r="89" spans="1:33" x14ac:dyDescent="0.15">
      <c r="A89" s="56" t="s">
        <v>188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1:33" x14ac:dyDescent="0.15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1:33" x14ac:dyDescent="0.1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1:33" x14ac:dyDescent="0.15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1:33" x14ac:dyDescent="0.15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</row>
    <row r="94" spans="1:33" x14ac:dyDescent="0.1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</row>
    <row r="95" spans="1:33" x14ac:dyDescent="0.1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</row>
    <row r="96" spans="1:33" x14ac:dyDescent="0.15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</row>
    <row r="97" spans="1:33" x14ac:dyDescent="0.15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</row>
    <row r="98" spans="1:33" x14ac:dyDescent="0.15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</row>
    <row r="99" spans="1:33" x14ac:dyDescent="0.15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</row>
    <row r="100" spans="1:33" x14ac:dyDescent="0.15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</row>
    <row r="101" spans="1:33" x14ac:dyDescent="0.15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</row>
    <row r="102" spans="1:33" x14ac:dyDescent="0.15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</row>
    <row r="103" spans="1:33" x14ac:dyDescent="0.15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</row>
    <row r="104" spans="1:33" x14ac:dyDescent="0.15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</row>
    <row r="105" spans="1:33" x14ac:dyDescent="0.1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</row>
    <row r="106" spans="1:33" x14ac:dyDescent="0.15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</row>
    <row r="107" spans="1:33" x14ac:dyDescent="0.15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</row>
    <row r="108" spans="1:33" x14ac:dyDescent="0.15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</row>
    <row r="109" spans="1:33" x14ac:dyDescent="0.15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</row>
    <row r="110" spans="1:33" x14ac:dyDescent="0.15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</row>
    <row r="111" spans="1:33" x14ac:dyDescent="0.15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</row>
    <row r="112" spans="1:33" x14ac:dyDescent="0.15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</row>
    <row r="113" spans="1:33" x14ac:dyDescent="0.15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</row>
    <row r="114" spans="1:33" x14ac:dyDescent="0.15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</row>
    <row r="115" spans="1:33" x14ac:dyDescent="0.15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</row>
    <row r="116" spans="1:33" x14ac:dyDescent="0.15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</row>
    <row r="117" spans="1:33" x14ac:dyDescent="0.15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</row>
    <row r="118" spans="1:33" x14ac:dyDescent="0.15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</row>
    <row r="119" spans="1:33" x14ac:dyDescent="0.15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</row>
    <row r="120" spans="1:33" x14ac:dyDescent="0.15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</row>
    <row r="121" spans="1:33" x14ac:dyDescent="0.15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</row>
    <row r="122" spans="1:33" x14ac:dyDescent="0.15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</row>
    <row r="123" spans="1:33" x14ac:dyDescent="0.15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</row>
    <row r="124" spans="1:33" x14ac:dyDescent="0.15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</row>
    <row r="125" spans="1:33" x14ac:dyDescent="0.15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</row>
    <row r="126" spans="1:33" x14ac:dyDescent="0.15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</row>
    <row r="127" spans="1:33" x14ac:dyDescent="0.15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</row>
    <row r="128" spans="1:33" x14ac:dyDescent="0.15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</row>
    <row r="129" spans="1:33" x14ac:dyDescent="0.15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</row>
    <row r="130" spans="1:33" x14ac:dyDescent="0.15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</row>
    <row r="131" spans="1:33" x14ac:dyDescent="0.15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</row>
    <row r="132" spans="1:33" x14ac:dyDescent="0.15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</row>
    <row r="133" spans="1:33" x14ac:dyDescent="0.15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</row>
    <row r="134" spans="1:33" x14ac:dyDescent="0.15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</row>
    <row r="135" spans="1:33" x14ac:dyDescent="0.15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</row>
    <row r="136" spans="1:33" x14ac:dyDescent="0.15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</row>
    <row r="137" spans="1:33" x14ac:dyDescent="0.15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</row>
    <row r="138" spans="1:33" x14ac:dyDescent="0.15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</row>
    <row r="139" spans="1:33" x14ac:dyDescent="0.15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</row>
    <row r="140" spans="1:33" x14ac:dyDescent="0.15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</row>
    <row r="141" spans="1:33" x14ac:dyDescent="0.15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</row>
    <row r="142" spans="1:33" x14ac:dyDescent="0.15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</row>
    <row r="143" spans="1:33" x14ac:dyDescent="0.15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</row>
    <row r="144" spans="1:33" x14ac:dyDescent="0.15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</row>
    <row r="145" spans="1:33" x14ac:dyDescent="0.15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</row>
    <row r="146" spans="1:33" x14ac:dyDescent="0.15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</row>
    <row r="147" spans="1:33" x14ac:dyDescent="0.15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</row>
    <row r="148" spans="1:33" x14ac:dyDescent="0.15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</row>
    <row r="149" spans="1:33" x14ac:dyDescent="0.15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</row>
    <row r="150" spans="1:33" x14ac:dyDescent="0.15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</row>
    <row r="151" spans="1:33" x14ac:dyDescent="0.1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</row>
    <row r="152" spans="1:33" x14ac:dyDescent="0.15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</row>
    <row r="153" spans="1:33" x14ac:dyDescent="0.15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</row>
    <row r="154" spans="1:33" x14ac:dyDescent="0.15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</row>
    <row r="155" spans="1:33" x14ac:dyDescent="0.15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</row>
    <row r="156" spans="1:33" x14ac:dyDescent="0.15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</row>
    <row r="157" spans="1:33" x14ac:dyDescent="0.15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</row>
    <row r="158" spans="1:33" x14ac:dyDescent="0.15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</row>
    <row r="159" spans="1:33" x14ac:dyDescent="0.15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</row>
    <row r="160" spans="1:33" x14ac:dyDescent="0.15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</row>
    <row r="161" spans="1:33" x14ac:dyDescent="0.15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</row>
    <row r="162" spans="1:33" x14ac:dyDescent="0.15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</row>
    <row r="163" spans="1:33" x14ac:dyDescent="0.15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</row>
    <row r="164" spans="1:33" x14ac:dyDescent="0.15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</row>
    <row r="165" spans="1:33" x14ac:dyDescent="0.15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</row>
    <row r="166" spans="1:33" x14ac:dyDescent="0.15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</row>
    <row r="167" spans="1:33" x14ac:dyDescent="0.15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</row>
    <row r="168" spans="1:33" x14ac:dyDescent="0.15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</row>
    <row r="169" spans="1:33" x14ac:dyDescent="0.15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</row>
    <row r="170" spans="1:33" x14ac:dyDescent="0.15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</row>
    <row r="171" spans="1:33" x14ac:dyDescent="0.15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</row>
    <row r="172" spans="1:33" x14ac:dyDescent="0.15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</row>
    <row r="173" spans="1:33" x14ac:dyDescent="0.15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</row>
    <row r="174" spans="1:33" x14ac:dyDescent="0.15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</row>
    <row r="175" spans="1:33" x14ac:dyDescent="0.15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</row>
    <row r="176" spans="1:33" x14ac:dyDescent="0.15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</row>
    <row r="177" spans="1:33" x14ac:dyDescent="0.15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</row>
    <row r="178" spans="1:33" x14ac:dyDescent="0.15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</row>
    <row r="179" spans="1:33" x14ac:dyDescent="0.15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</row>
    <row r="180" spans="1:33" x14ac:dyDescent="0.15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</row>
    <row r="181" spans="1:33" x14ac:dyDescent="0.15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</row>
    <row r="182" spans="1:33" x14ac:dyDescent="0.15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</row>
    <row r="183" spans="1:33" x14ac:dyDescent="0.15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</row>
    <row r="184" spans="1:33" x14ac:dyDescent="0.15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</row>
    <row r="185" spans="1:33" x14ac:dyDescent="0.15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</row>
    <row r="186" spans="1:33" x14ac:dyDescent="0.15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</row>
    <row r="187" spans="1:33" x14ac:dyDescent="0.15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</row>
    <row r="188" spans="1:33" x14ac:dyDescent="0.15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</row>
    <row r="189" spans="1:33" x14ac:dyDescent="0.15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</row>
    <row r="190" spans="1:33" x14ac:dyDescent="0.15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</row>
    <row r="191" spans="1:33" x14ac:dyDescent="0.15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</row>
    <row r="192" spans="1:33" x14ac:dyDescent="0.15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</row>
    <row r="193" spans="1:33" x14ac:dyDescent="0.15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</row>
    <row r="194" spans="1:33" x14ac:dyDescent="0.15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</row>
    <row r="195" spans="1:33" x14ac:dyDescent="0.15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</row>
    <row r="196" spans="1:33" x14ac:dyDescent="0.15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</row>
    <row r="197" spans="1:33" x14ac:dyDescent="0.15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</row>
    <row r="198" spans="1:33" x14ac:dyDescent="0.15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</row>
    <row r="199" spans="1:33" x14ac:dyDescent="0.15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</row>
    <row r="200" spans="1:33" x14ac:dyDescent="0.15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</row>
    <row r="201" spans="1:33" x14ac:dyDescent="0.15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</row>
    <row r="202" spans="1:33" x14ac:dyDescent="0.15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</row>
    <row r="203" spans="1:33" x14ac:dyDescent="0.15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</row>
    <row r="204" spans="1:33" x14ac:dyDescent="0.15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</row>
    <row r="205" spans="1:33" x14ac:dyDescent="0.15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</row>
    <row r="206" spans="1:33" x14ac:dyDescent="0.15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</row>
    <row r="207" spans="1:33" x14ac:dyDescent="0.15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</row>
    <row r="208" spans="1:33" x14ac:dyDescent="0.15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</row>
    <row r="209" spans="1:33" x14ac:dyDescent="0.15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</row>
    <row r="210" spans="1:33" x14ac:dyDescent="0.15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</row>
    <row r="211" spans="1:33" x14ac:dyDescent="0.15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</row>
    <row r="212" spans="1:33" x14ac:dyDescent="0.15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</row>
    <row r="213" spans="1:33" x14ac:dyDescent="0.15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</row>
    <row r="214" spans="1:33" x14ac:dyDescent="0.15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</row>
    <row r="215" spans="1:33" x14ac:dyDescent="0.15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</row>
    <row r="216" spans="1:33" x14ac:dyDescent="0.15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</row>
    <row r="217" spans="1:33" x14ac:dyDescent="0.15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</row>
    <row r="218" spans="1:33" x14ac:dyDescent="0.15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</row>
    <row r="219" spans="1:33" x14ac:dyDescent="0.15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</row>
    <row r="220" spans="1:33" x14ac:dyDescent="0.15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</row>
    <row r="221" spans="1:33" x14ac:dyDescent="0.15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</row>
    <row r="222" spans="1:33" x14ac:dyDescent="0.15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</row>
    <row r="223" spans="1:33" x14ac:dyDescent="0.15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</row>
    <row r="224" spans="1:33" x14ac:dyDescent="0.15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</row>
    <row r="225" spans="1:33" x14ac:dyDescent="0.15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</row>
    <row r="226" spans="1:33" x14ac:dyDescent="0.15">
      <c r="A226" s="56"/>
      <c r="B226" s="56"/>
      <c r="C226" s="56"/>
      <c r="D226" s="56"/>
      <c r="E226" s="56"/>
      <c r="F226" s="56"/>
      <c r="G226" s="56"/>
      <c r="H226" s="56"/>
      <c r="I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</row>
    <row r="227" spans="1:33" x14ac:dyDescent="0.15">
      <c r="A227" s="56"/>
      <c r="B227" s="56"/>
      <c r="C227" s="56"/>
      <c r="D227" s="56"/>
      <c r="E227" s="56"/>
      <c r="F227" s="56"/>
      <c r="G227" s="56"/>
      <c r="H227" s="56"/>
    </row>
    <row r="228" spans="1:33" x14ac:dyDescent="0.15">
      <c r="A228" s="56"/>
      <c r="B228" s="56"/>
      <c r="C228" s="56"/>
      <c r="D228" s="56"/>
      <c r="E228" s="56"/>
      <c r="F228" s="56"/>
    </row>
  </sheetData>
  <sheetProtection algorithmName="SHA-512" hashValue="CPbkbkDZELWmZKmmXXgRTp/YLbfMBxvAvIHQ7jKlcgDdNG4ZqssPRY5v/oxhEr4IzUT2QnCqmgL5zlAMJ7fApQ==" saltValue="4A93BO+5tQIM4QdEv+reDg==" spinCount="100000" sheet="1" objects="1" scenarios="1"/>
  <phoneticPr fontId="6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K45"/>
  <sheetViews>
    <sheetView zoomScale="125" workbookViewId="0">
      <selection activeCell="B37" sqref="B37"/>
    </sheetView>
  </sheetViews>
  <sheetFormatPr baseColWidth="10" defaultRowHeight="13" x14ac:dyDescent="0.15"/>
  <cols>
    <col min="1" max="1" width="32.5" style="24" customWidth="1"/>
    <col min="2" max="9" width="10" style="24" customWidth="1"/>
    <col min="10" max="10" width="12.83203125" style="24" customWidth="1"/>
    <col min="11" max="11" width="10" style="24" customWidth="1"/>
    <col min="12" max="16384" width="10.83203125" style="24"/>
  </cols>
  <sheetData>
    <row r="1" spans="1:11" x14ac:dyDescent="0.15">
      <c r="A1" s="23" t="s">
        <v>45</v>
      </c>
    </row>
    <row r="2" spans="1:11" x14ac:dyDescent="0.1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</row>
    <row r="3" spans="1:11" x14ac:dyDescent="0.15">
      <c r="A3" s="26" t="s">
        <v>46</v>
      </c>
    </row>
    <row r="5" spans="1:11" x14ac:dyDescent="0.15">
      <c r="A5" s="27" t="s">
        <v>276</v>
      </c>
      <c r="B5" s="27" t="s">
        <v>378</v>
      </c>
      <c r="E5" s="37">
        <v>4000</v>
      </c>
    </row>
    <row r="6" spans="1:11" x14ac:dyDescent="0.15">
      <c r="B6" s="28" t="s">
        <v>146</v>
      </c>
      <c r="C6" s="28"/>
      <c r="D6" s="28"/>
      <c r="E6" s="28"/>
      <c r="F6" s="28"/>
      <c r="H6" s="28"/>
      <c r="I6" s="28"/>
      <c r="J6" s="28"/>
      <c r="K6" s="28"/>
    </row>
    <row r="8" spans="1:11" x14ac:dyDescent="0.15">
      <c r="A8" s="27" t="s">
        <v>18</v>
      </c>
      <c r="B8" s="29" t="s">
        <v>133</v>
      </c>
    </row>
    <row r="9" spans="1:11" x14ac:dyDescent="0.15">
      <c r="A9" s="24" t="s">
        <v>134</v>
      </c>
      <c r="B9" s="30">
        <f>IF($E5&gt;='Jul''15 AGL'!E7,('Jul''15 AGL'!E7*'Jul''15 AGL'!E11/100*1.1),($E5*'Jul''15 AGL'!E11/100*1.1))</f>
        <v>46.332000000000001</v>
      </c>
    </row>
    <row r="10" spans="1:11" x14ac:dyDescent="0.15">
      <c r="A10" s="24" t="s">
        <v>135</v>
      </c>
      <c r="B10" s="30">
        <f>IF($E5&lt;'Jul''15 AGL'!E7,0,IF($E5&lt;='Jul''15 AGL'!E8,($E5-'Jul''15 AGL'!E7)*('Jul''15 AGL'!E12/100*1.1),('Jul''15 AGL'!E8-'Jul''15 AGL'!E7)*('Jul''15 AGL'!E12/100*1.1)))</f>
        <v>30.940800000000003</v>
      </c>
    </row>
    <row r="11" spans="1:11" x14ac:dyDescent="0.15">
      <c r="A11" s="24" t="s">
        <v>140</v>
      </c>
      <c r="B11" s="30">
        <f>IF($E5&lt;'Jul''15 AGL'!E8,0,IF($E5&lt;='Jul''15 AGL'!E9,($E5-'Jul''15 AGL'!E8)*('Jul''15 AGL'!E13/100*1.1),('Jul''15 AGL'!E9-'Jul''15 AGL'!E8)*('Jul''15 AGL'!E13/100*1.1)))</f>
        <v>38.051200000000001</v>
      </c>
    </row>
    <row r="12" spans="1:11" x14ac:dyDescent="0.15">
      <c r="A12" s="24" t="s">
        <v>144</v>
      </c>
      <c r="B12" s="30">
        <f>IF($E5&lt;'Jul''15 AGL'!E9,0,IF($E5&lt;='Jul''15 AGL'!E10,($E5-'Jul''15 AGL'!E9)*('Jul''15 AGL'!E14/100*1.1),('Jul''15 AGL'!E10-'Jul''15 AGL'!E9)*('Jul''15 AGL'!E14/100*1.1)))</f>
        <v>0</v>
      </c>
    </row>
    <row r="13" spans="1:11" x14ac:dyDescent="0.15">
      <c r="A13" s="24" t="s">
        <v>35</v>
      </c>
      <c r="B13" s="30">
        <f>IF(($E5&gt;'Jul''13 AGL'!E10),($E5-'Jul''13 AGL'!E10)*'Jul''13 AGL'!E15/100*1.1,0)</f>
        <v>0</v>
      </c>
    </row>
    <row r="14" spans="1:11" x14ac:dyDescent="0.15">
      <c r="A14" s="24" t="s">
        <v>132</v>
      </c>
      <c r="B14" s="30">
        <f>'Jul''15 AGL'!E16*60/100*1.1</f>
        <v>35.646599999999999</v>
      </c>
    </row>
    <row r="15" spans="1:11" x14ac:dyDescent="0.15">
      <c r="A15" s="24" t="s">
        <v>116</v>
      </c>
      <c r="B15" s="30">
        <f>SUM(B9:B14)</f>
        <v>150.97060000000002</v>
      </c>
    </row>
    <row r="16" spans="1:11" x14ac:dyDescent="0.15">
      <c r="A16" s="31" t="s">
        <v>166</v>
      </c>
      <c r="B16" s="53">
        <f>B15*6</f>
        <v>905.82360000000017</v>
      </c>
      <c r="C16" s="32"/>
      <c r="D16" s="32"/>
      <c r="E16" s="32"/>
      <c r="F16" s="32"/>
      <c r="G16" s="32"/>
      <c r="H16" s="32"/>
      <c r="I16" s="32"/>
      <c r="J16" s="32"/>
      <c r="K16" s="32"/>
    </row>
    <row r="18" spans="1:11" x14ac:dyDescent="0.15">
      <c r="A18" s="27" t="s">
        <v>223</v>
      </c>
      <c r="B18" s="33" t="s">
        <v>72</v>
      </c>
      <c r="C18" s="33" t="s">
        <v>73</v>
      </c>
      <c r="D18" s="33" t="s">
        <v>74</v>
      </c>
      <c r="E18" s="33" t="s">
        <v>75</v>
      </c>
      <c r="F18" s="33" t="s">
        <v>76</v>
      </c>
      <c r="G18" s="33" t="s">
        <v>31</v>
      </c>
    </row>
    <row r="19" spans="1:11" x14ac:dyDescent="0.15">
      <c r="A19" s="24" t="s">
        <v>205</v>
      </c>
      <c r="B19" s="30">
        <f>$E5*'Jul''15 Country'!E7/100*1.1</f>
        <v>107.80000000000001</v>
      </c>
      <c r="C19" s="30">
        <f>$E5*'Jul''15 Country'!F7/100*1.1</f>
        <v>108.68</v>
      </c>
      <c r="D19" s="30">
        <f>$E5*'Jul''15 Country'!G7/100*1.1</f>
        <v>108.68</v>
      </c>
      <c r="E19" s="30">
        <f>$E5*'Jul''15 Country'!H7/100*1.1</f>
        <v>116.60000000000001</v>
      </c>
      <c r="F19" s="30">
        <f>$E5*'Jul''15 Country'!I7/100*1.1</f>
        <v>94.16</v>
      </c>
      <c r="G19" s="30">
        <f>$E5*'Jul''15 Country'!J7/100*1.1</f>
        <v>167.20000000000002</v>
      </c>
    </row>
    <row r="20" spans="1:11" x14ac:dyDescent="0.15">
      <c r="A20" s="24" t="s">
        <v>132</v>
      </c>
      <c r="B20" s="30">
        <f>'Jul''15 Country'!E8*60/100*1.1</f>
        <v>47.190000000000005</v>
      </c>
      <c r="C20" s="30">
        <f>'Jul''15 Country'!F8*60/100*1.1</f>
        <v>50.80680000000001</v>
      </c>
      <c r="D20" s="30">
        <f>'Jul''15 Country'!G8*60/100*1.1</f>
        <v>50.80680000000001</v>
      </c>
      <c r="E20" s="30">
        <f>'Jul''15 Country'!H8*60/100*1.1</f>
        <v>50.292000000000002</v>
      </c>
      <c r="F20" s="30">
        <f>'Jul''15 Country'!I8*60/100*1.1</f>
        <v>52.971600000000009</v>
      </c>
      <c r="G20" s="30">
        <f>'Jul''15 Country'!J8*60/100*1.1</f>
        <v>43.804200000000009</v>
      </c>
    </row>
    <row r="21" spans="1:11" x14ac:dyDescent="0.15">
      <c r="A21" s="24" t="s">
        <v>116</v>
      </c>
      <c r="B21" s="30">
        <f>SUM(B19:B20)</f>
        <v>154.99</v>
      </c>
      <c r="C21" s="30">
        <f t="shared" ref="C21:G21" si="0">SUM(C19:C20)</f>
        <v>159.48680000000002</v>
      </c>
      <c r="D21" s="30">
        <f t="shared" si="0"/>
        <v>159.48680000000002</v>
      </c>
      <c r="E21" s="30">
        <f t="shared" si="0"/>
        <v>166.892</v>
      </c>
      <c r="F21" s="30">
        <f t="shared" si="0"/>
        <v>147.13159999999999</v>
      </c>
      <c r="G21" s="30">
        <f t="shared" si="0"/>
        <v>211.00420000000003</v>
      </c>
    </row>
    <row r="22" spans="1:11" x14ac:dyDescent="0.15">
      <c r="A22" s="31" t="s">
        <v>166</v>
      </c>
      <c r="B22" s="53">
        <f>B21*6</f>
        <v>929.94</v>
      </c>
      <c r="C22" s="53">
        <f t="shared" ref="C22:G22" si="1">C21*6</f>
        <v>956.9208000000001</v>
      </c>
      <c r="D22" s="53">
        <f t="shared" si="1"/>
        <v>956.9208000000001</v>
      </c>
      <c r="E22" s="53">
        <f t="shared" si="1"/>
        <v>1001.352</v>
      </c>
      <c r="F22" s="53">
        <f t="shared" si="1"/>
        <v>882.78959999999995</v>
      </c>
      <c r="G22" s="53">
        <f t="shared" si="1"/>
        <v>1266.0252</v>
      </c>
      <c r="H22" s="32"/>
      <c r="I22" s="32"/>
      <c r="J22" s="32"/>
      <c r="K22" s="32"/>
    </row>
    <row r="24" spans="1:11" x14ac:dyDescent="0.15">
      <c r="A24" s="27" t="s">
        <v>124</v>
      </c>
      <c r="B24" s="29" t="s">
        <v>212</v>
      </c>
      <c r="C24" s="29" t="s">
        <v>1</v>
      </c>
      <c r="D24" s="29" t="s">
        <v>80</v>
      </c>
    </row>
    <row r="25" spans="1:11" x14ac:dyDescent="0.15">
      <c r="A25" s="24" t="s">
        <v>92</v>
      </c>
      <c r="B25" s="30">
        <f>IF($E5&lt;'Jul''15 Actew'!E7,('Bills Jul''15'!$E5*'Jul''15 Actew'!E11/100*1.1),('Jul''15 Actew'!E7*'Jul''15 Actew'!E11/100*1.1))</f>
        <v>43.322400000000002</v>
      </c>
      <c r="C25" s="30">
        <f>IF($E5&lt;'Jul''15 Actew'!F7,('Bills Jul''15'!$E5*'Jul''15 Actew'!F11/100*1.1),('Jul''15 Actew'!F7*'Jul''15 Actew'!F11/100*1.1))</f>
        <v>68.914999999999992</v>
      </c>
      <c r="D25" s="30">
        <f>E5*'Jul''15 Actew'!G11/100*1.1</f>
        <v>105.33600000000001</v>
      </c>
    </row>
    <row r="26" spans="1:11" x14ac:dyDescent="0.15">
      <c r="A26" s="24" t="s">
        <v>135</v>
      </c>
      <c r="B26" s="30">
        <f>IF($E5&lt;'Jul''15 Actew'!E7,0,IF($E5&lt;='Jul''15 Actew'!E8,($E5-'Jul''15 Actew'!E7)*('Jul''15 Actew'!E12/100*1.1),('Jul''15 Actew'!E8-'Jul''15 Actew'!E7)*('Jul''15 Actew'!E12/100*1.1)))</f>
        <v>31.099199999999996</v>
      </c>
      <c r="C26" s="30">
        <v>0</v>
      </c>
      <c r="D26" s="30">
        <v>0</v>
      </c>
    </row>
    <row r="27" spans="1:11" x14ac:dyDescent="0.15">
      <c r="A27" s="24" t="s">
        <v>140</v>
      </c>
      <c r="B27" s="30">
        <f>IF($E5&lt;'Jul''15 Actew'!E8,0,IF($E5&lt;='Jul''15 Actew'!E9,($E5-'Jul''15 Actew'!E8)*('Jul''15 Actew'!E13/100*1.1),('Jul''15 Actew'!E9-'Jul''15 Actew'!E8)*('Jul''15 Actew'!E13/100*1.1)))</f>
        <v>40.427199999999999</v>
      </c>
      <c r="C27" s="30">
        <v>0</v>
      </c>
      <c r="D27" s="30">
        <v>0</v>
      </c>
    </row>
    <row r="28" spans="1:11" x14ac:dyDescent="0.15">
      <c r="A28" s="24" t="s">
        <v>144</v>
      </c>
      <c r="B28" s="30">
        <f>IF($E5&lt;'Jul''15 Actew'!E9,0,IF($E5&lt;='Jul''15 Actew'!E10,($E5-'Jul''15 Actew'!E9)*('Jul''15 Actew'!E14/100*1.1),('Jul''15 Actew'!E10-'Jul''15 Actew'!E9)*('Jul''15 Actew'!E14/100*1.1)))</f>
        <v>0</v>
      </c>
      <c r="C28" s="30">
        <v>0</v>
      </c>
      <c r="D28" s="30">
        <v>0</v>
      </c>
    </row>
    <row r="29" spans="1:11" x14ac:dyDescent="0.15">
      <c r="A29" s="24" t="s">
        <v>94</v>
      </c>
      <c r="B29" s="30">
        <f>IF($E5&gt;'Jul''15 Actew'!E10,('Bills Jul''15'!$E5-'Jul''15 Actew'!E10)*'Jul''15 Actew'!E15/100*1.1,0)</f>
        <v>0</v>
      </c>
      <c r="C29" s="30">
        <f>IF($E5&gt;'Jul''15 Actew'!F7,('Bills Jul''15'!$E5-'Jul''15 Actew'!F7)*'Jul''15 Actew'!F15/100*1.1,0)</f>
        <v>37.850999999999999</v>
      </c>
      <c r="D29" s="30">
        <v>0</v>
      </c>
    </row>
    <row r="30" spans="1:11" x14ac:dyDescent="0.15">
      <c r="A30" s="24" t="s">
        <v>93</v>
      </c>
      <c r="B30" s="30">
        <f>'Jul''15 Actew'!E16*60/100*1.1</f>
        <v>36.907200000000003</v>
      </c>
      <c r="C30" s="30">
        <f>'Jul''15 Actew'!F16*60/100*1.1</f>
        <v>45.454200000000014</v>
      </c>
      <c r="D30" s="30">
        <f>'Jul''15 Actew'!G16*60/100*1.1</f>
        <v>43.804200000000009</v>
      </c>
    </row>
    <row r="31" spans="1:11" x14ac:dyDescent="0.15">
      <c r="A31" s="24" t="s">
        <v>218</v>
      </c>
      <c r="B31" s="30">
        <f>SUM(B25:B30)</f>
        <v>151.756</v>
      </c>
      <c r="C31" s="30">
        <f t="shared" ref="C31:D31" si="2">SUM(C25:C30)</f>
        <v>152.22020000000001</v>
      </c>
      <c r="D31" s="30">
        <f t="shared" si="2"/>
        <v>149.14020000000002</v>
      </c>
    </row>
    <row r="32" spans="1:11" x14ac:dyDescent="0.15">
      <c r="A32" s="31" t="s">
        <v>166</v>
      </c>
      <c r="B32" s="53">
        <f>B31*6</f>
        <v>910.53600000000006</v>
      </c>
      <c r="C32" s="53">
        <f t="shared" ref="C32:D32" si="3">C31*6</f>
        <v>913.32120000000009</v>
      </c>
      <c r="D32" s="53">
        <f t="shared" si="3"/>
        <v>894.84120000000007</v>
      </c>
      <c r="E32" s="32"/>
      <c r="F32" s="32"/>
      <c r="G32" s="32"/>
      <c r="H32" s="32"/>
      <c r="I32" s="32"/>
      <c r="J32" s="32"/>
      <c r="K32" s="32"/>
    </row>
    <row r="34" spans="1:11" x14ac:dyDescent="0.15">
      <c r="A34" s="27" t="s">
        <v>158</v>
      </c>
      <c r="B34" s="34" t="s">
        <v>32</v>
      </c>
      <c r="C34" s="33" t="s">
        <v>33</v>
      </c>
    </row>
    <row r="35" spans="1:11" x14ac:dyDescent="0.15">
      <c r="A35" s="24" t="s">
        <v>208</v>
      </c>
      <c r="B35" s="30">
        <f>IF($E5&gt;'Jul''15 Origin'!E9,('Jul''15 Origin'!E9*'Jul''15 Origin'!E12/100*1.1),('Bills Jul''15'!$E5*'Jul''15 Origin'!E12/100*1.1))</f>
        <v>35.029499999999999</v>
      </c>
      <c r="C35" s="30">
        <f>IF($E5&gt;'Jul''15 Origin'!F9,('Jul''15 Origin'!F9*'Jul''15 Origin'!F12/100*1.1),('Bills Jul''15'!$E5*'Jul''15 Origin'!F12/100*1.1))</f>
        <v>53.179500000000004</v>
      </c>
    </row>
    <row r="36" spans="1:11" x14ac:dyDescent="0.15">
      <c r="A36" s="24" t="s">
        <v>16</v>
      </c>
      <c r="B36" s="30">
        <f>IF($E5&lt;'Jul''15 Origin'!E9,0,IF($E5&lt;='Jul''15 Origin'!E10,($E5-'Jul''15 Origin'!E9)*('Jul''15 Origin'!E13/100*1.1),('Jul''15 Origin'!E10-'Jul''15 Origin'!E9)*('Jul''15 Origin'!E13/100*1.1)))</f>
        <v>25.361600000000003</v>
      </c>
      <c r="C36" s="30">
        <f>IF($E5&lt;'Jul''15 Origin'!F9,0,IF($E5&lt;='Jul''15 Origin'!F10,($E5-'Jul''15 Origin'!F9)*('Jul''15 Origin'!F13/100*1.1),('Jul''15 Origin'!F10-'Jul''15 Origin'!F9)*('Jul''15 Origin'!F13/100*1.1)))</f>
        <v>40.203900000000004</v>
      </c>
    </row>
    <row r="37" spans="1:11" x14ac:dyDescent="0.15">
      <c r="A37" s="24" t="s">
        <v>78</v>
      </c>
      <c r="B37" s="30">
        <f>IF($E5&gt;'Jul''15 Origin'!E10,('Bills Jul''15'!$E5-'Jul''15 Origin'!E10)*'Jul''15 Origin'!E15/100*1.1,0)</f>
        <v>18.647199999999998</v>
      </c>
      <c r="C37" s="30">
        <f>IF($E5&gt;'Jul''15 Origin'!F10,('Bills Jul''15'!$E5-'Jul''15 Origin'!F10)*'Jul''15 Origin'!F15/100*1.1,0)</f>
        <v>25.167999999999999</v>
      </c>
    </row>
    <row r="38" spans="1:11" x14ac:dyDescent="0.15">
      <c r="A38" s="24" t="s">
        <v>47</v>
      </c>
      <c r="B38" s="30">
        <f>IF($E5&gt;'Jul''15 Origin'!E9,'Jul''15 Origin'!E9*'Jul''15 Origin'!E16/100*1.1,'Bills Jul''15'!$E5*'Jul''15 Origin'!E16/100*1.1)</f>
        <v>35.029499999999999</v>
      </c>
      <c r="C38" s="30">
        <f>IF($E5&gt;'Jul''15 Origin'!F9,'Jul''15 Origin'!F9*'Jul''15 Origin'!F16/100*1.1,'Bills Jul''15'!$E5*'Jul''15 Origin'!F16/100*1.1)</f>
        <v>53.179500000000004</v>
      </c>
    </row>
    <row r="39" spans="1:11" x14ac:dyDescent="0.15">
      <c r="A39" s="24" t="s">
        <v>48</v>
      </c>
      <c r="B39" s="30">
        <f>IF($E5&lt;'Jul''15 Origin'!E9,0,IF($E5&lt;='Jul''15 Origin'!E10,($E5-'Jul''15 Origin'!E9)*('Jul''15 Origin'!E17/100*1.1),('Jul''15 Origin'!E10-'Jul''15 Origin'!E9)*('Jul''15 Origin'!E17/100*1.1)))</f>
        <v>25.361600000000003</v>
      </c>
      <c r="C39" s="30">
        <f>IF($E5&lt;'Jul''15 Origin'!F9,0,IF($E5&lt;='Jul''15 Origin'!F10,($E5-'Jul''15 Origin'!F9)*('Jul''15 Origin'!F17/100*1.1),('Jul''15 Origin'!F10-'Jul''15 Origin'!F9)*('Jul''15 Origin'!F17/100*1.1)))</f>
        <v>40.203900000000004</v>
      </c>
    </row>
    <row r="40" spans="1:11" x14ac:dyDescent="0.15">
      <c r="A40" s="24" t="s">
        <v>49</v>
      </c>
      <c r="B40" s="30">
        <f>IF($E5&gt;'Jul''15 Origin'!E10,($E5-'Jul''15 Origin'!E10)*'Jul''15 Origin'!E19/100*1.1,0)</f>
        <v>18.647199999999998</v>
      </c>
      <c r="C40" s="30">
        <f>IF($E5&gt;'Jul''15 Origin'!F10,($E5-'Jul''15 Origin'!F10)*'Jul''15 Origin'!F19/100*1.1,0)</f>
        <v>25.167999999999999</v>
      </c>
    </row>
    <row r="41" spans="1:11" x14ac:dyDescent="0.15">
      <c r="A41" s="24" t="s">
        <v>50</v>
      </c>
      <c r="B41" s="30">
        <f>'Jul''15 Origin'!E20*60/100*1.1</f>
        <v>36.300000000000004</v>
      </c>
      <c r="C41" s="30">
        <f>'Jul''15 Origin'!F20*60/100*1.1</f>
        <v>41.58</v>
      </c>
    </row>
    <row r="42" spans="1:11" x14ac:dyDescent="0.15">
      <c r="A42" s="24" t="s">
        <v>51</v>
      </c>
      <c r="B42" s="36" t="s">
        <v>52</v>
      </c>
      <c r="C42" s="36" t="s">
        <v>52</v>
      </c>
    </row>
    <row r="43" spans="1:11" x14ac:dyDescent="0.15">
      <c r="A43" s="31" t="s">
        <v>166</v>
      </c>
      <c r="B43" s="53">
        <f>(B35*2)+(B36*2)+(B37*2)+(B38*4)+(B39*4)+(B40*4)+(B41*6)</f>
        <v>692.02980000000002</v>
      </c>
      <c r="C43" s="53">
        <f>(C35*2)+(C36*2)+(C37*2)+(C38*4)+(C39*4)+(C40*4)+(C41*6)</f>
        <v>960.78840000000014</v>
      </c>
      <c r="D43" s="32"/>
      <c r="E43" s="32"/>
      <c r="F43" s="32"/>
      <c r="G43" s="32"/>
      <c r="H43" s="32"/>
      <c r="I43" s="32"/>
      <c r="J43" s="32"/>
      <c r="K43" s="32"/>
    </row>
    <row r="45" spans="1:11" x14ac:dyDescent="0.1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</row>
  </sheetData>
  <sheetProtection algorithmName="SHA-512" hashValue="7JxhLJp574u8AvgkZiXX/A/9bY4hlrYEfUXeYrAGobHJ2anqDrP0WO07e9pDjmoqGXFR5SBgydtJHi4/fyP/6w==" saltValue="exqUEK2XdZQU+9ApqRgjVA==" spinCount="100000" sheet="1" objects="1" scenarios="1"/>
  <phoneticPr fontId="6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K41"/>
  <sheetViews>
    <sheetView zoomScale="125" workbookViewId="0">
      <selection activeCell="B37" sqref="B37"/>
    </sheetView>
  </sheetViews>
  <sheetFormatPr baseColWidth="10" defaultRowHeight="13" x14ac:dyDescent="0.15"/>
  <cols>
    <col min="1" max="1" width="32.5" style="24" customWidth="1"/>
    <col min="2" max="9" width="10" style="24" customWidth="1"/>
    <col min="10" max="10" width="12.83203125" style="24" customWidth="1"/>
    <col min="11" max="11" width="10" style="24" customWidth="1"/>
    <col min="12" max="16384" width="10.83203125" style="24"/>
  </cols>
  <sheetData>
    <row r="1" spans="1:11" x14ac:dyDescent="0.15">
      <c r="A1" s="23" t="s">
        <v>155</v>
      </c>
    </row>
    <row r="2" spans="1:11" x14ac:dyDescent="0.1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</row>
    <row r="3" spans="1:11" x14ac:dyDescent="0.15">
      <c r="A3" s="26" t="s">
        <v>156</v>
      </c>
    </row>
    <row r="5" spans="1:11" x14ac:dyDescent="0.15">
      <c r="A5" s="27" t="s">
        <v>276</v>
      </c>
      <c r="B5" s="27" t="s">
        <v>378</v>
      </c>
      <c r="E5" s="37">
        <v>4000</v>
      </c>
    </row>
    <row r="6" spans="1:11" x14ac:dyDescent="0.15">
      <c r="B6" s="28" t="s">
        <v>146</v>
      </c>
      <c r="C6" s="28"/>
      <c r="D6" s="28"/>
      <c r="E6" s="28"/>
      <c r="F6" s="28"/>
      <c r="H6" s="28"/>
      <c r="I6" s="28"/>
      <c r="J6" s="28"/>
      <c r="K6" s="28"/>
    </row>
    <row r="8" spans="1:11" x14ac:dyDescent="0.15">
      <c r="A8" s="27" t="s">
        <v>18</v>
      </c>
      <c r="B8" s="29" t="s">
        <v>133</v>
      </c>
    </row>
    <row r="9" spans="1:11" x14ac:dyDescent="0.15">
      <c r="A9" s="24" t="s">
        <v>134</v>
      </c>
      <c r="B9" s="30">
        <f>IF($E5&gt;='Jul''14 AGL'!E7,('Jul''14 AGL'!E7*'Jul''14 AGL'!E11/100),($E5*'Jul''14 AGL'!E11/100))</f>
        <v>107.47</v>
      </c>
    </row>
    <row r="10" spans="1:11" x14ac:dyDescent="0.15">
      <c r="A10" s="24" t="s">
        <v>135</v>
      </c>
      <c r="B10" s="30">
        <f>IF($E5&lt;'Jul''14 AGL'!E7,0,IF($E5&lt;='Jul''14 AGL'!E8,($E5-'Jul''14 AGL'!E7)*('Jul''14 AGL'!E12/100),('Jul''14 AGL'!E8-'Jul''14 AGL'!E7)*('Jul''14 AGL'!E12/100)))</f>
        <v>38.230500000000006</v>
      </c>
    </row>
    <row r="11" spans="1:11" x14ac:dyDescent="0.15">
      <c r="A11" s="24" t="s">
        <v>140</v>
      </c>
      <c r="B11" s="30">
        <f>IF($E5&lt;'Jul''14 AGL'!E8,0,IF($E5&lt;='Jul''14 AGL'!E9,($E5-'Jul''14 AGL'!E8)*('Jul''14 AGL'!E13/100),('Jul''14 AGL'!E9-'Jul''14 AGL'!E8)*('Jul''14 AGL'!E13/100)))</f>
        <v>0</v>
      </c>
    </row>
    <row r="12" spans="1:11" x14ac:dyDescent="0.15">
      <c r="A12" s="24" t="s">
        <v>144</v>
      </c>
      <c r="B12" s="30">
        <f>IF($E5&lt;'Jul''14 AGL'!E9,0,IF($E5&lt;='Jul''14 AGL'!E10,($E5-'Jul''14 AGL'!E9)*('Jul''14 AGL'!E14/100),('Jul''14 AGL'!E10-'Jul''14 AGL'!E9)*('Jul''14 AGL'!E14/100)))</f>
        <v>0</v>
      </c>
    </row>
    <row r="13" spans="1:11" x14ac:dyDescent="0.15">
      <c r="A13" s="24" t="s">
        <v>35</v>
      </c>
      <c r="B13" s="30">
        <f>IF(($E5&gt;'Jul''13 AGL'!E10),($E5-'Jul''13 AGL'!E10)*'Jul''13 AGL'!E15/100,0)</f>
        <v>0</v>
      </c>
    </row>
    <row r="14" spans="1:11" x14ac:dyDescent="0.15">
      <c r="A14" s="24" t="s">
        <v>132</v>
      </c>
      <c r="B14" s="30">
        <f>'Jul''14 AGL'!E16*60/100</f>
        <v>34.055999999999997</v>
      </c>
    </row>
    <row r="15" spans="1:11" x14ac:dyDescent="0.15">
      <c r="A15" s="24" t="s">
        <v>116</v>
      </c>
      <c r="B15" s="30">
        <f>SUM(B9:B14)</f>
        <v>179.75650000000002</v>
      </c>
    </row>
    <row r="16" spans="1:11" x14ac:dyDescent="0.15">
      <c r="A16" s="31" t="s">
        <v>166</v>
      </c>
      <c r="B16" s="53">
        <f>B15*6</f>
        <v>1078.5390000000002</v>
      </c>
      <c r="C16" s="32"/>
      <c r="D16" s="32"/>
      <c r="E16" s="32"/>
      <c r="F16" s="32"/>
      <c r="G16" s="32"/>
      <c r="H16" s="32"/>
      <c r="I16" s="32"/>
      <c r="J16" s="32"/>
      <c r="K16" s="32"/>
    </row>
    <row r="18" spans="1:11" x14ac:dyDescent="0.15">
      <c r="A18" s="27" t="s">
        <v>223</v>
      </c>
      <c r="B18" s="33" t="s">
        <v>72</v>
      </c>
      <c r="C18" s="33" t="s">
        <v>73</v>
      </c>
      <c r="D18" s="33" t="s">
        <v>74</v>
      </c>
      <c r="E18" s="33" t="s">
        <v>75</v>
      </c>
      <c r="F18" s="33" t="s">
        <v>76</v>
      </c>
      <c r="G18" s="33" t="s">
        <v>31</v>
      </c>
    </row>
    <row r="19" spans="1:11" x14ac:dyDescent="0.15">
      <c r="A19" s="24" t="s">
        <v>205</v>
      </c>
      <c r="B19" s="30">
        <f>$E5*'Jul''14 Country'!E7/100</f>
        <v>112.94800000000001</v>
      </c>
      <c r="C19" s="30">
        <f>$E5*'Jul''14 Country'!F7/100</f>
        <v>113.74</v>
      </c>
      <c r="D19" s="30">
        <f>$E5*'Jul''14 Country'!G7/100</f>
        <v>113.74</v>
      </c>
      <c r="E19" s="30">
        <f>$E5*'Jul''14 Country'!H7/100</f>
        <v>121.176</v>
      </c>
      <c r="F19" s="30">
        <f>$E5*'Jul''14 Country'!I7/100</f>
        <v>98.911999999999992</v>
      </c>
      <c r="G19" s="30">
        <f>$E5*'Jul''14 Country'!J7/100</f>
        <v>169.66400000000002</v>
      </c>
    </row>
    <row r="20" spans="1:11" x14ac:dyDescent="0.15">
      <c r="A20" s="24" t="s">
        <v>132</v>
      </c>
      <c r="B20" s="30">
        <f>'Jul''14 Country'!E8*60/100</f>
        <v>45.658799999999999</v>
      </c>
      <c r="C20" s="30">
        <f>'Jul''14 Country'!F8*60/100</f>
        <v>49.150200000000005</v>
      </c>
      <c r="D20" s="30">
        <f>'Jul''14 Country'!G8*60/100</f>
        <v>49.150200000000005</v>
      </c>
      <c r="E20" s="30">
        <f>'Jul''14 Country'!H8*60/100</f>
        <v>48.853199999999994</v>
      </c>
      <c r="F20" s="30">
        <f>'Jul''14 Country'!I8*60/100</f>
        <v>51.48</v>
      </c>
      <c r="G20" s="30">
        <f>'Jul''14 Country'!J8*60/100</f>
        <v>42.081600000000002</v>
      </c>
    </row>
    <row r="21" spans="1:11" x14ac:dyDescent="0.15">
      <c r="A21" s="24" t="s">
        <v>116</v>
      </c>
      <c r="B21" s="30">
        <f>SUM(B19:B20)</f>
        <v>158.60680000000002</v>
      </c>
      <c r="C21" s="30">
        <f t="shared" ref="C21:G21" si="0">SUM(C19:C20)</f>
        <v>162.89019999999999</v>
      </c>
      <c r="D21" s="30">
        <f t="shared" si="0"/>
        <v>162.89019999999999</v>
      </c>
      <c r="E21" s="30">
        <f t="shared" si="0"/>
        <v>170.0292</v>
      </c>
      <c r="F21" s="30">
        <f t="shared" si="0"/>
        <v>150.392</v>
      </c>
      <c r="G21" s="30">
        <f t="shared" si="0"/>
        <v>211.74560000000002</v>
      </c>
    </row>
    <row r="22" spans="1:11" x14ac:dyDescent="0.15">
      <c r="A22" s="31" t="s">
        <v>166</v>
      </c>
      <c r="B22" s="53">
        <f>B21*6</f>
        <v>951.64080000000013</v>
      </c>
      <c r="C22" s="53">
        <f t="shared" ref="C22:G22" si="1">C21*6</f>
        <v>977.34119999999996</v>
      </c>
      <c r="D22" s="53">
        <f t="shared" si="1"/>
        <v>977.34119999999996</v>
      </c>
      <c r="E22" s="53">
        <f t="shared" si="1"/>
        <v>1020.1752</v>
      </c>
      <c r="F22" s="53">
        <f t="shared" si="1"/>
        <v>902.35199999999998</v>
      </c>
      <c r="G22" s="53">
        <f t="shared" si="1"/>
        <v>1270.4736000000003</v>
      </c>
      <c r="H22" s="32"/>
      <c r="I22" s="32"/>
      <c r="J22" s="32"/>
      <c r="K22" s="32"/>
    </row>
    <row r="24" spans="1:11" x14ac:dyDescent="0.15">
      <c r="A24" s="27" t="s">
        <v>124</v>
      </c>
      <c r="B24" s="29" t="s">
        <v>212</v>
      </c>
      <c r="C24" s="29" t="s">
        <v>1</v>
      </c>
      <c r="D24" s="29" t="s">
        <v>80</v>
      </c>
    </row>
    <row r="25" spans="1:11" x14ac:dyDescent="0.15">
      <c r="A25" s="24" t="s">
        <v>92</v>
      </c>
      <c r="B25" s="30">
        <f>IF($E5&lt;'Jul''14 Actew'!E7,('Bills Jul''14'!$E5*'Jul''14 Actew'!E11/100),('Jul''14 Actew'!E7*'Jul''14 Actew'!E11/100))</f>
        <v>96.607500000000002</v>
      </c>
      <c r="C25" s="30">
        <f>IF($E5&lt;'Jul''14 Actew'!F7,('Bills Jul''14'!$E5*'Jul''14 Actew'!F11/100),('Jul''14 Actew'!F7*'Jul''14 Actew'!F11/100))</f>
        <v>71.252499999999998</v>
      </c>
      <c r="D25" s="30">
        <f>E5*'Jul''14 Actew'!G11/100</f>
        <v>107.492</v>
      </c>
    </row>
    <row r="26" spans="1:11" x14ac:dyDescent="0.15">
      <c r="A26" s="24" t="s">
        <v>135</v>
      </c>
      <c r="B26" s="30">
        <f>IF($E5&lt;'Jul''14 Actew'!E7,0,IF($E5&lt;='Jul''14 Actew'!E8,($E5-'Jul''14 Actew'!E7)*('Jul''14 Actew'!E12/100),('Jul''14 Actew'!E8-'Jul''14 Actew'!E7)*('Jul''14 Actew'!E12/100)))</f>
        <v>45.853500000000004</v>
      </c>
      <c r="C26" s="30">
        <v>0</v>
      </c>
      <c r="D26" s="30">
        <v>0</v>
      </c>
    </row>
    <row r="27" spans="1:11" x14ac:dyDescent="0.15">
      <c r="A27" s="24" t="s">
        <v>140</v>
      </c>
      <c r="B27" s="30">
        <f>IF($E5&lt;'Jul''14 Actew'!E8,0,IF($E5&lt;='Jul''14 Actew'!E9,($E5-'Jul''14 Actew'!E8)*('Jul''14 Actew'!E13/100),('Jul''14 Actew'!E9-'Jul''14 Actew'!E8)*('Jul''14 Actew'!E13/100)))</f>
        <v>0</v>
      </c>
      <c r="C27" s="30">
        <v>0</v>
      </c>
      <c r="D27" s="30">
        <v>0</v>
      </c>
    </row>
    <row r="28" spans="1:11" x14ac:dyDescent="0.15">
      <c r="A28" s="24" t="s">
        <v>144</v>
      </c>
      <c r="B28" s="30">
        <f>IF($E5&lt;'Jul''14 Actew'!E9,0,IF($E5&lt;='Jul''14 Actew'!E10,($E5-'Jul''14 Actew'!E9)*('Jul''14 Actew'!E14/100),('Jul''14 Actew'!E10-'Jul''14 Actew'!E9)*('Jul''14 Actew'!E14/100)))</f>
        <v>0</v>
      </c>
      <c r="C28" s="30">
        <v>0</v>
      </c>
      <c r="D28" s="30">
        <v>0</v>
      </c>
    </row>
    <row r="29" spans="1:11" x14ac:dyDescent="0.15">
      <c r="A29" s="24" t="s">
        <v>94</v>
      </c>
      <c r="B29" s="30">
        <f>IF($E5&gt;'Jul''14 Actew'!E10,('Bills Jul''14'!$E5-'Jul''14 Actew'!E10)*'Jul''14 Actew'!E15/100,0)</f>
        <v>0</v>
      </c>
      <c r="C29" s="30">
        <f>IF($E5&gt;'Jul''14 Actew'!F7,('Bills Jul''14'!$E5-'Jul''14 Actew'!F7)*'Jul''14 Actew'!F15/100,0)</f>
        <v>39.286500000000004</v>
      </c>
      <c r="D29" s="30">
        <v>0</v>
      </c>
    </row>
    <row r="30" spans="1:11" x14ac:dyDescent="0.15">
      <c r="A30" s="24" t="s">
        <v>93</v>
      </c>
      <c r="B30" s="30">
        <f>'Jul''14 Actew'!E16*60/100</f>
        <v>34.940399999999997</v>
      </c>
      <c r="C30" s="30">
        <f>'Jul''14 Actew'!F16*60/100</f>
        <v>42.709200000000003</v>
      </c>
      <c r="D30" s="30">
        <f>'Jul''14 Actew'!G16*60/100</f>
        <v>41.4084</v>
      </c>
    </row>
    <row r="31" spans="1:11" x14ac:dyDescent="0.15">
      <c r="A31" s="24" t="s">
        <v>218</v>
      </c>
      <c r="B31" s="30">
        <f>SUM(B25:B30)</f>
        <v>177.40140000000002</v>
      </c>
      <c r="C31" s="30">
        <f t="shared" ref="C31:D31" si="2">SUM(C25:C30)</f>
        <v>153.2482</v>
      </c>
      <c r="D31" s="30">
        <f t="shared" si="2"/>
        <v>148.90039999999999</v>
      </c>
    </row>
    <row r="32" spans="1:11" x14ac:dyDescent="0.15">
      <c r="A32" s="31" t="s">
        <v>166</v>
      </c>
      <c r="B32" s="53">
        <f>B31*6</f>
        <v>1064.4084000000003</v>
      </c>
      <c r="C32" s="53">
        <f t="shared" ref="C32:D32" si="3">C31*6</f>
        <v>919.48919999999998</v>
      </c>
      <c r="D32" s="53">
        <f t="shared" si="3"/>
        <v>893.40239999999994</v>
      </c>
      <c r="E32" s="32"/>
      <c r="F32" s="32"/>
      <c r="G32" s="32"/>
      <c r="H32" s="32"/>
      <c r="I32" s="32"/>
      <c r="J32" s="32"/>
      <c r="K32" s="32"/>
    </row>
    <row r="34" spans="1:11" x14ac:dyDescent="0.15">
      <c r="A34" s="27" t="s">
        <v>158</v>
      </c>
      <c r="B34" s="34" t="s">
        <v>32</v>
      </c>
      <c r="C34" s="33" t="s">
        <v>33</v>
      </c>
    </row>
    <row r="35" spans="1:11" x14ac:dyDescent="0.15">
      <c r="A35" s="24" t="s">
        <v>86</v>
      </c>
      <c r="B35" s="30">
        <f>IF($E5&gt;'Jul''14 Origin'!E9,('Jul''14 Origin'!E9*'Jul''14 Origin'!E10/100),('Bills Jul''14'!$E5*'Jul''14 Origin'!E10/100))</f>
        <v>77.263999999999996</v>
      </c>
      <c r="C35" s="35">
        <f>$E5*'Jul''14 Origin'!F10/100</f>
        <v>113.78399999999999</v>
      </c>
    </row>
    <row r="36" spans="1:11" x14ac:dyDescent="0.15">
      <c r="A36" s="24" t="s">
        <v>78</v>
      </c>
      <c r="B36" s="30">
        <f>IF($E5&gt;'Jul''14 Origin'!E9,('Bills Jul''14'!$E5-'Jul''14 Origin'!E9)*'Jul''14 Origin'!E11/100,0)</f>
        <v>0</v>
      </c>
      <c r="C36" s="35">
        <v>0</v>
      </c>
    </row>
    <row r="37" spans="1:11" x14ac:dyDescent="0.15">
      <c r="A37" s="24" t="s">
        <v>79</v>
      </c>
      <c r="B37" s="30">
        <f>IF($E5&gt;'Jul''14 Origin'!E9,'Jul''14 Origin'!E9*'Jul''14 Origin'!E12/100,'Bills Jul''14'!$E5*'Jul''14 Origin'!E12/100)</f>
        <v>72.864000000000004</v>
      </c>
      <c r="C37" s="35">
        <v>0</v>
      </c>
    </row>
    <row r="38" spans="1:11" x14ac:dyDescent="0.15">
      <c r="A38" s="24" t="s">
        <v>4</v>
      </c>
      <c r="B38" s="30">
        <f>IF($E5&gt;'Jul''14 Origin'!E9,('Bills Jul''14'!E5-'Jul''14 Origin'!E9)*'Jul''14 Origin'!E13/100,0)</f>
        <v>0</v>
      </c>
      <c r="C38" s="35">
        <v>0</v>
      </c>
    </row>
    <row r="39" spans="1:11" x14ac:dyDescent="0.15">
      <c r="A39" s="24" t="s">
        <v>132</v>
      </c>
      <c r="B39" s="30">
        <f>'Jul''14 Origin'!E14*60/100</f>
        <v>34.966799999999999</v>
      </c>
      <c r="C39" s="35">
        <f>'Jul''14 Origin'!F14*60/100</f>
        <v>39.6</v>
      </c>
    </row>
    <row r="40" spans="1:11" x14ac:dyDescent="0.15">
      <c r="A40" s="24" t="s">
        <v>116</v>
      </c>
      <c r="B40" s="36" t="s">
        <v>211</v>
      </c>
      <c r="C40" s="35">
        <f>SUM(C35:C39)</f>
        <v>153.38399999999999</v>
      </c>
    </row>
    <row r="41" spans="1:11" x14ac:dyDescent="0.15">
      <c r="A41" s="31" t="s">
        <v>166</v>
      </c>
      <c r="B41" s="53">
        <f>(B35*2)+(B36*2)+(B37*4)+(B38*4)+(B39*6)</f>
        <v>655.78480000000002</v>
      </c>
      <c r="C41" s="53">
        <f>C40*6</f>
        <v>920.30399999999986</v>
      </c>
      <c r="D41" s="32"/>
      <c r="E41" s="32"/>
      <c r="F41" s="32"/>
      <c r="G41" s="32"/>
      <c r="H41" s="32"/>
      <c r="I41" s="32"/>
      <c r="J41" s="32"/>
      <c r="K41" s="32"/>
    </row>
  </sheetData>
  <sheetProtection algorithmName="SHA-512" hashValue="4nA57scJuGciUeq+3jMJSDM8F87VpW1fyBVcIKn5bDZ1KCTjp7aYcQf2pk6uN8R4jKyeoMb8AQ5YgBxPljlkzA==" saltValue="aGhkz755ZTKROI9uWn6Dhw==" spinCount="100000" sheet="1" objects="1" scenarios="1"/>
  <phoneticPr fontId="6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K41"/>
  <sheetViews>
    <sheetView zoomScale="125" workbookViewId="0">
      <selection activeCell="E6" sqref="E6"/>
    </sheetView>
  </sheetViews>
  <sheetFormatPr baseColWidth="10" defaultRowHeight="13" x14ac:dyDescent="0.15"/>
  <cols>
    <col min="1" max="1" width="32.5" style="24" customWidth="1"/>
    <col min="2" max="9" width="10" style="24" customWidth="1"/>
    <col min="10" max="10" width="12.83203125" style="24" customWidth="1"/>
    <col min="11" max="11" width="10" style="24" customWidth="1"/>
    <col min="12" max="16384" width="10.83203125" style="24"/>
  </cols>
  <sheetData>
    <row r="1" spans="1:11" x14ac:dyDescent="0.15">
      <c r="A1" s="23" t="s">
        <v>178</v>
      </c>
    </row>
    <row r="2" spans="1:11" x14ac:dyDescent="0.15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</row>
    <row r="3" spans="1:11" x14ac:dyDescent="0.15">
      <c r="A3" s="26" t="s">
        <v>108</v>
      </c>
    </row>
    <row r="5" spans="1:11" x14ac:dyDescent="0.15">
      <c r="A5" s="27" t="s">
        <v>276</v>
      </c>
      <c r="B5" s="27" t="s">
        <v>378</v>
      </c>
      <c r="E5" s="37">
        <v>4000</v>
      </c>
    </row>
    <row r="6" spans="1:11" x14ac:dyDescent="0.15">
      <c r="B6" s="28" t="s">
        <v>146</v>
      </c>
      <c r="C6" s="28"/>
      <c r="D6" s="28"/>
      <c r="E6" s="28"/>
      <c r="F6" s="28"/>
      <c r="H6" s="28"/>
      <c r="I6" s="28"/>
      <c r="J6" s="28"/>
      <c r="K6" s="28"/>
    </row>
    <row r="8" spans="1:11" x14ac:dyDescent="0.15">
      <c r="A8" s="27" t="s">
        <v>115</v>
      </c>
      <c r="B8" s="29" t="s">
        <v>133</v>
      </c>
    </row>
    <row r="9" spans="1:11" x14ac:dyDescent="0.15">
      <c r="A9" s="24" t="s">
        <v>134</v>
      </c>
      <c r="B9" s="30">
        <f>IF($E5&gt;='Jul''13 AGL'!E7,('Jul''13 AGL'!E7*'Jul''13 AGL'!E11/100),($E5*'Jul''13 AGL'!E11/100))</f>
        <v>90.392499999999998</v>
      </c>
    </row>
    <row r="10" spans="1:11" x14ac:dyDescent="0.15">
      <c r="A10" s="24" t="s">
        <v>135</v>
      </c>
      <c r="B10" s="30">
        <f>IF($E5&lt;'Jul''13 AGL'!E7,0,IF($E5&lt;='Jul''13 AGL'!E8,($E5-'Jul''13 AGL'!E7)*('Jul''13 AGL'!E12/100),('Jul''13 AGL'!E8-'Jul''13 AGL'!E7)*('Jul''13 AGL'!E12/100)))</f>
        <v>31.762500000000003</v>
      </c>
    </row>
    <row r="11" spans="1:11" x14ac:dyDescent="0.15">
      <c r="A11" s="24" t="s">
        <v>140</v>
      </c>
      <c r="B11" s="30">
        <f>IF($E5&lt;'Jul''13 AGL'!E8,0,IF($E5&lt;='Jul''13 AGL'!E9,($E5-'Jul''13 AGL'!E8)*('Jul''13 AGL'!E13/100),('Jul''13 AGL'!E9-'Jul''13 AGL'!E8)*('Jul''13 AGL'!E13/100)))</f>
        <v>0</v>
      </c>
    </row>
    <row r="12" spans="1:11" x14ac:dyDescent="0.15">
      <c r="A12" s="24" t="s">
        <v>144</v>
      </c>
      <c r="B12" s="30">
        <f>IF($E5&lt;'Jul''13 AGL'!E9,0,IF($E5&lt;='Jul''13 AGL'!E10,($E5-'Jul''13 AGL'!E9)*('Jul''13 AGL'!E14/100),('Jul''13 AGL'!E10-'Jul''13 AGL'!E9)*('Jul''13 AGL'!E14/100)))</f>
        <v>0</v>
      </c>
    </row>
    <row r="13" spans="1:11" x14ac:dyDescent="0.15">
      <c r="A13" s="24" t="s">
        <v>35</v>
      </c>
      <c r="B13" s="30">
        <f>IF(($E5&gt;'Jul''13 AGL'!E10),($E5-'Jul''13 AGL'!E10)*'Jul''13 AGL'!E15/100,0)</f>
        <v>0</v>
      </c>
    </row>
    <row r="14" spans="1:11" x14ac:dyDescent="0.15">
      <c r="A14" s="24" t="s">
        <v>132</v>
      </c>
      <c r="B14" s="30">
        <f>'Jul''13 AGL'!E16*60/100</f>
        <v>31.0794</v>
      </c>
    </row>
    <row r="15" spans="1:11" x14ac:dyDescent="0.15">
      <c r="A15" s="24" t="s">
        <v>116</v>
      </c>
      <c r="B15" s="30">
        <f>SUM(B9:B14)</f>
        <v>153.23439999999999</v>
      </c>
    </row>
    <row r="16" spans="1:11" x14ac:dyDescent="0.15">
      <c r="A16" s="31" t="s">
        <v>166</v>
      </c>
      <c r="B16" s="53">
        <f>B15*6</f>
        <v>919.40639999999996</v>
      </c>
      <c r="C16" s="32"/>
      <c r="D16" s="32"/>
      <c r="E16" s="32"/>
      <c r="F16" s="32"/>
      <c r="G16" s="32"/>
      <c r="H16" s="32"/>
      <c r="I16" s="32"/>
      <c r="J16" s="32"/>
      <c r="K16" s="32"/>
    </row>
    <row r="18" spans="1:11" x14ac:dyDescent="0.15">
      <c r="A18" s="27" t="s">
        <v>177</v>
      </c>
      <c r="B18" s="33" t="s">
        <v>106</v>
      </c>
      <c r="C18" s="33" t="s">
        <v>102</v>
      </c>
      <c r="D18" s="33" t="s">
        <v>98</v>
      </c>
      <c r="E18" s="33" t="s">
        <v>145</v>
      </c>
      <c r="F18" s="33" t="s">
        <v>131</v>
      </c>
      <c r="G18" s="33" t="s">
        <v>85</v>
      </c>
    </row>
    <row r="19" spans="1:11" x14ac:dyDescent="0.15">
      <c r="A19" s="24" t="s">
        <v>205</v>
      </c>
      <c r="B19" s="30">
        <f>$E5*'Jul''13 Country'!E7/100</f>
        <v>93.5</v>
      </c>
      <c r="C19" s="30">
        <f>$E5*'Jul''13 Country'!F7/100</f>
        <v>93.016000000000005</v>
      </c>
      <c r="D19" s="30">
        <f>$E5*'Jul''13 Country'!G7/100</f>
        <v>93.016000000000005</v>
      </c>
      <c r="E19" s="30">
        <f>$E5*'Jul''13 Country'!H7/100</f>
        <v>97.812000000000012</v>
      </c>
      <c r="F19" s="30">
        <f>$E5*'Jul''13 Country'!I7/100</f>
        <v>80.212000000000003</v>
      </c>
      <c r="G19" s="30">
        <f>$E5*'Jul''13 Country'!J7/100</f>
        <v>142.208</v>
      </c>
    </row>
    <row r="20" spans="1:11" x14ac:dyDescent="0.15">
      <c r="A20" s="24" t="s">
        <v>132</v>
      </c>
      <c r="B20" s="30">
        <f>'Jul''13 Country'!E8*60/100</f>
        <v>38.095199999999998</v>
      </c>
      <c r="C20" s="30">
        <f>'Jul''13 Country'!F8*60/100</f>
        <v>40.853999999999999</v>
      </c>
      <c r="D20" s="30">
        <f>'Jul''13 Country'!G8*60/100</f>
        <v>40.853999999999999</v>
      </c>
      <c r="E20" s="30">
        <f>'Jul''13 Country'!H8*60/100</f>
        <v>44.041800000000002</v>
      </c>
      <c r="F20" s="30">
        <f>'Jul''13 Country'!I8*60/100</f>
        <v>46.813800000000001</v>
      </c>
      <c r="G20" s="30">
        <f>'Jul''13 Country'!J8*60/100</f>
        <v>34.300199999999997</v>
      </c>
    </row>
    <row r="21" spans="1:11" x14ac:dyDescent="0.15">
      <c r="A21" s="24" t="s">
        <v>116</v>
      </c>
      <c r="B21" s="30">
        <f>SUM(B19:B20)</f>
        <v>131.59520000000001</v>
      </c>
      <c r="C21" s="30">
        <f t="shared" ref="C21:G21" si="0">SUM(C19:C20)</f>
        <v>133.87</v>
      </c>
      <c r="D21" s="30">
        <f t="shared" si="0"/>
        <v>133.87</v>
      </c>
      <c r="E21" s="30">
        <f t="shared" si="0"/>
        <v>141.85380000000001</v>
      </c>
      <c r="F21" s="30">
        <f t="shared" si="0"/>
        <v>127.0258</v>
      </c>
      <c r="G21" s="30">
        <f t="shared" si="0"/>
        <v>176.50819999999999</v>
      </c>
    </row>
    <row r="22" spans="1:11" x14ac:dyDescent="0.15">
      <c r="A22" s="31" t="s">
        <v>166</v>
      </c>
      <c r="B22" s="53">
        <f>B21*6</f>
        <v>789.57120000000009</v>
      </c>
      <c r="C22" s="53">
        <f t="shared" ref="C22:G22" si="1">C21*6</f>
        <v>803.22</v>
      </c>
      <c r="D22" s="53">
        <f t="shared" si="1"/>
        <v>803.22</v>
      </c>
      <c r="E22" s="53">
        <f t="shared" si="1"/>
        <v>851.1228000000001</v>
      </c>
      <c r="F22" s="53">
        <f t="shared" si="1"/>
        <v>762.15480000000002</v>
      </c>
      <c r="G22" s="53">
        <f t="shared" si="1"/>
        <v>1059.0491999999999</v>
      </c>
      <c r="H22" s="32"/>
      <c r="I22" s="32"/>
      <c r="J22" s="32"/>
      <c r="K22" s="32"/>
    </row>
    <row r="24" spans="1:11" x14ac:dyDescent="0.15">
      <c r="A24" s="27" t="s">
        <v>19</v>
      </c>
      <c r="B24" s="29" t="s">
        <v>169</v>
      </c>
      <c r="C24" s="29" t="s">
        <v>1</v>
      </c>
      <c r="D24" s="29" t="s">
        <v>80</v>
      </c>
    </row>
    <row r="25" spans="1:11" x14ac:dyDescent="0.15">
      <c r="A25" s="24" t="s">
        <v>92</v>
      </c>
      <c r="B25" s="30">
        <f>IF($E5&lt;'Jul''13 Actew'!E7,('Bills Jul''13'!$E5*'Jul''13 Actew'!E11/100),('Jul''13 Actew'!E7*'Jul''13 Actew'!E11/100))</f>
        <v>79.695000000000007</v>
      </c>
      <c r="C25" s="30">
        <f>IF($E5&lt;'Jul''13 Actew'!F7,('Bills Jul''13'!$E5*'Jul''13 Actew'!F11/100),('Jul''13 Actew'!F7*'Jul''13 Actew'!F11/100))</f>
        <v>58.134999999999998</v>
      </c>
      <c r="D25" s="30">
        <f>E5*'Jul''13 Actew'!G11/100</f>
        <v>93.016000000000005</v>
      </c>
    </row>
    <row r="26" spans="1:11" x14ac:dyDescent="0.15">
      <c r="A26" s="24" t="s">
        <v>135</v>
      </c>
      <c r="B26" s="30">
        <f>IF($E5&lt;'Jul''13 Actew'!E7,0,IF($E5&lt;='Jul''13 Actew'!E8,($E5-'Jul''13 Actew'!E7)*('Jul''13 Actew'!E12/100),('Jul''13 Actew'!E8-'Jul''13 Actew'!E7)*('Jul''13 Actew'!E12/100)))</f>
        <v>38.048999999999999</v>
      </c>
      <c r="C26" s="30">
        <v>0</v>
      </c>
      <c r="D26" s="30">
        <v>0</v>
      </c>
    </row>
    <row r="27" spans="1:11" x14ac:dyDescent="0.15">
      <c r="A27" s="24" t="s">
        <v>140</v>
      </c>
      <c r="B27" s="30">
        <f>IF($E5&lt;'Jul''13 Actew'!E8,0,IF($E5&lt;='Jul''13 Actew'!E9,($E5-'Jul''13 Actew'!E8)*('Jul''13 Actew'!E13/100),('Jul''13 Actew'!E9-'Jul''13 Actew'!E8)*('Jul''13 Actew'!E13/100)))</f>
        <v>0</v>
      </c>
      <c r="C27" s="30">
        <v>0</v>
      </c>
      <c r="D27" s="30">
        <v>0</v>
      </c>
    </row>
    <row r="28" spans="1:11" x14ac:dyDescent="0.15">
      <c r="A28" s="24" t="s">
        <v>144</v>
      </c>
      <c r="B28" s="30">
        <f>IF($E5&lt;'Jul''13 Actew'!E9,0,IF($E5&lt;='Jul''13 Actew'!E10,($E5-'Jul''13 Actew'!E9)*('Jul''13 Actew'!E14/100),('Jul''13 Actew'!E10-'Jul''13 Actew'!E9)*('Jul''13 Actew'!E14/100)))</f>
        <v>0</v>
      </c>
      <c r="C28" s="30">
        <v>0</v>
      </c>
      <c r="D28" s="30">
        <v>0</v>
      </c>
    </row>
    <row r="29" spans="1:11" x14ac:dyDescent="0.15">
      <c r="A29" s="24" t="s">
        <v>94</v>
      </c>
      <c r="B29" s="30">
        <f>IF($E5&gt;'Jul''13 Actew'!E10,('Bills Jul''13'!$E5-'Jul''13 Actew'!E10)*'Jul''13 Actew'!E15/100,0)</f>
        <v>0</v>
      </c>
      <c r="C29" s="30">
        <f>IF($E5&gt;'Jul''13 Actew'!F7,('Bills Jul''13'!$E5-'Jul''13 Actew'!F7)*'Jul''13 Actew'!F15/100,0)</f>
        <v>34.155000000000001</v>
      </c>
      <c r="D29" s="30">
        <v>0</v>
      </c>
    </row>
    <row r="30" spans="1:11" x14ac:dyDescent="0.15">
      <c r="A30" s="24" t="s">
        <v>93</v>
      </c>
      <c r="B30" s="30">
        <f>'Jul''13 Actew'!E16*60/100</f>
        <v>29.878199999999996</v>
      </c>
      <c r="C30" s="30">
        <f>'Jul''13 Actew'!F16*60/100</f>
        <v>38.247</v>
      </c>
      <c r="D30" s="30">
        <f>'Jul''13 Actew'!G16*60/100</f>
        <v>35.837999999999994</v>
      </c>
    </row>
    <row r="31" spans="1:11" x14ac:dyDescent="0.15">
      <c r="A31" s="24" t="s">
        <v>218</v>
      </c>
      <c r="B31" s="30">
        <f>SUM(B25:B30)</f>
        <v>147.62219999999999</v>
      </c>
      <c r="C31" s="30">
        <f t="shared" ref="C31:D31" si="2">SUM(C25:C30)</f>
        <v>130.53699999999998</v>
      </c>
      <c r="D31" s="30">
        <f t="shared" si="2"/>
        <v>128.85399999999998</v>
      </c>
    </row>
    <row r="32" spans="1:11" x14ac:dyDescent="0.15">
      <c r="A32" s="31" t="s">
        <v>166</v>
      </c>
      <c r="B32" s="53">
        <f>B31*6</f>
        <v>885.7331999999999</v>
      </c>
      <c r="C32" s="53">
        <f t="shared" ref="C32:D32" si="3">C31*6</f>
        <v>783.22199999999987</v>
      </c>
      <c r="D32" s="53">
        <f t="shared" si="3"/>
        <v>773.12399999999991</v>
      </c>
      <c r="E32" s="32"/>
      <c r="F32" s="32"/>
      <c r="G32" s="32"/>
      <c r="H32" s="32"/>
      <c r="I32" s="32"/>
      <c r="J32" s="32"/>
      <c r="K32" s="32"/>
    </row>
    <row r="34" spans="1:11" x14ac:dyDescent="0.15">
      <c r="A34" s="27" t="s">
        <v>158</v>
      </c>
      <c r="B34" s="34" t="s">
        <v>126</v>
      </c>
      <c r="C34" s="33" t="s">
        <v>147</v>
      </c>
    </row>
    <row r="35" spans="1:11" x14ac:dyDescent="0.15">
      <c r="A35" s="24" t="s">
        <v>86</v>
      </c>
      <c r="B35" s="30">
        <f>IF($E5&gt;'Jul''13 Origin'!E9,('Jul''13 Origin'!E9*'Jul''13 Origin'!E10/100),('Bills Jul''13'!$E5*'Jul''13 Origin'!E10/100))</f>
        <v>65.076000000000008</v>
      </c>
      <c r="C35" s="35">
        <f>$E5*'Jul''13 Origin'!F10/100</f>
        <v>95.876000000000005</v>
      </c>
    </row>
    <row r="36" spans="1:11" x14ac:dyDescent="0.15">
      <c r="A36" s="24" t="s">
        <v>78</v>
      </c>
      <c r="B36" s="30">
        <f>IF($E5&gt;'Jul''13 Origin'!E9,('Bills Jul''13'!$E5-'Jul''13 Origin'!E9)*'Jul''13 Origin'!E11/100,0)</f>
        <v>0</v>
      </c>
      <c r="C36" s="35">
        <v>0</v>
      </c>
    </row>
    <row r="37" spans="1:11" x14ac:dyDescent="0.15">
      <c r="A37" s="24" t="s">
        <v>79</v>
      </c>
      <c r="B37" s="30">
        <f>IF($E5&gt;'Jul''13 Origin'!E9,'Jul''13 Origin'!E9*'Jul''13 Origin'!E12/100,'Bills Jul''13'!$E5*'Jul''13 Origin'!E12/100)</f>
        <v>61.38</v>
      </c>
      <c r="C37" s="35">
        <v>0</v>
      </c>
    </row>
    <row r="38" spans="1:11" x14ac:dyDescent="0.15">
      <c r="A38" s="24" t="s">
        <v>4</v>
      </c>
      <c r="B38" s="30">
        <f>IF($E5&gt;'Jul''13 Origin'!E9,('Bills Jul''13'!E5-'Jul''13 Origin'!E9)*'Jul''13 Origin'!E13/100,0)</f>
        <v>0</v>
      </c>
      <c r="C38" s="35">
        <v>0</v>
      </c>
    </row>
    <row r="39" spans="1:11" x14ac:dyDescent="0.15">
      <c r="A39" s="24" t="s">
        <v>132</v>
      </c>
      <c r="B39" s="30">
        <f>'Jul''13 Origin'!E14*60/100</f>
        <v>29.455800000000004</v>
      </c>
      <c r="C39" s="35">
        <f>'Jul''13 Origin'!F14*60/100</f>
        <v>33.363</v>
      </c>
    </row>
    <row r="40" spans="1:11" x14ac:dyDescent="0.15">
      <c r="A40" s="24" t="s">
        <v>116</v>
      </c>
      <c r="B40" s="36" t="s">
        <v>211</v>
      </c>
      <c r="C40" s="35">
        <f>SUM(C35:C39)</f>
        <v>129.239</v>
      </c>
    </row>
    <row r="41" spans="1:11" x14ac:dyDescent="0.15">
      <c r="A41" s="31" t="s">
        <v>166</v>
      </c>
      <c r="B41" s="53">
        <f>(B35*2)+(B36*2)+(B37*4)+(B38*4)+(B39*6)</f>
        <v>552.40679999999998</v>
      </c>
      <c r="C41" s="53">
        <f>C40*6</f>
        <v>775.43399999999997</v>
      </c>
      <c r="D41" s="32"/>
      <c r="E41" s="32"/>
      <c r="F41" s="32"/>
      <c r="G41" s="32"/>
      <c r="H41" s="32"/>
      <c r="I41" s="32"/>
      <c r="J41" s="32"/>
      <c r="K41" s="32"/>
    </row>
  </sheetData>
  <sheetProtection algorithmName="SHA-512" hashValue="4zJUdi4LEcCm+/wuE1qoNmxI1CdbWrNw+Wmh9r8pbcFDrzddz+UoipvWOdFnxtvVW98aFL0M47RJUwSxKk6bvg==" saltValue="ZaVcuvP/HAekg33he1RTLg==" spinCount="100000" sheet="1" objects="1" scenarios="1"/>
  <phoneticPr fontId="6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K38"/>
  <sheetViews>
    <sheetView zoomScale="125" workbookViewId="0">
      <selection activeCell="E6" sqref="E6"/>
    </sheetView>
  </sheetViews>
  <sheetFormatPr baseColWidth="10" defaultRowHeight="13" x14ac:dyDescent="0.15"/>
  <cols>
    <col min="1" max="1" width="32.5" style="24" customWidth="1"/>
    <col min="2" max="9" width="10" style="24" customWidth="1"/>
    <col min="10" max="10" width="12.83203125" style="24" customWidth="1"/>
    <col min="11" max="11" width="10" style="24" customWidth="1"/>
    <col min="12" max="16384" width="10.83203125" style="24"/>
  </cols>
  <sheetData>
    <row r="1" spans="1:11" x14ac:dyDescent="0.15">
      <c r="A1" s="23" t="s">
        <v>282</v>
      </c>
    </row>
    <row r="2" spans="1:11" x14ac:dyDescent="0.15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</row>
    <row r="3" spans="1:11" x14ac:dyDescent="0.15">
      <c r="A3" s="26" t="s">
        <v>277</v>
      </c>
    </row>
    <row r="5" spans="1:11" x14ac:dyDescent="0.15">
      <c r="A5" s="27" t="s">
        <v>276</v>
      </c>
      <c r="B5" s="27" t="s">
        <v>378</v>
      </c>
      <c r="E5" s="37">
        <v>4000</v>
      </c>
    </row>
    <row r="6" spans="1:11" x14ac:dyDescent="0.15">
      <c r="B6" s="28" t="s">
        <v>146</v>
      </c>
      <c r="C6" s="28"/>
      <c r="D6" s="28"/>
      <c r="E6" s="28"/>
      <c r="F6" s="28"/>
      <c r="H6" s="28"/>
      <c r="I6" s="28"/>
      <c r="J6" s="28"/>
      <c r="K6" s="28"/>
    </row>
    <row r="8" spans="1:11" x14ac:dyDescent="0.15">
      <c r="A8" s="27" t="s">
        <v>115</v>
      </c>
      <c r="B8" s="29" t="s">
        <v>133</v>
      </c>
    </row>
    <row r="9" spans="1:11" x14ac:dyDescent="0.15">
      <c r="A9" s="24" t="s">
        <v>134</v>
      </c>
      <c r="B9" s="30">
        <f>IF($E5&gt;='Jul''12 AGL'!E7,('Jul''12 AGL'!E7*'Jul''12 AGL'!E11/100),($E5*'Jul''12 AGL'!E11/100))</f>
        <v>81.592500000000001</v>
      </c>
    </row>
    <row r="10" spans="1:11" x14ac:dyDescent="0.15">
      <c r="A10" s="24" t="s">
        <v>135</v>
      </c>
      <c r="B10" s="30">
        <f>IF($E5&lt;'Jul''12 AGL'!E7,0,IF($E5&lt;='Jul''12 AGL'!E8,($E5-'Jul''12 AGL'!E7)*('Jul''12 AGL'!E12/100),('Jul''12 AGL'!E8-'Jul''12 AGL'!E7)*('Jul''12 AGL'!E12/100)))</f>
        <v>29.007000000000001</v>
      </c>
    </row>
    <row r="11" spans="1:11" x14ac:dyDescent="0.15">
      <c r="A11" s="24" t="s">
        <v>140</v>
      </c>
      <c r="B11" s="30">
        <f>IF($E5&lt;'Jul''12 AGL'!E8,0,IF($E5&lt;='Jul''12 AGL'!E9,($E5-'Jul''12 AGL'!E8)*('Jul''12 AGL'!E13/100),('Jul''12 AGL'!E9-'Jul''12 AGL'!E8)*('Jul''12 AGL'!E13/100)))</f>
        <v>0</v>
      </c>
    </row>
    <row r="12" spans="1:11" x14ac:dyDescent="0.15">
      <c r="A12" s="24" t="s">
        <v>144</v>
      </c>
      <c r="B12" s="30">
        <f>IF($E5&lt;'Jul''12 AGL'!E9,0,IF($E5&lt;='Jul''12 AGL'!E10,($E5-'Jul''12 AGL'!E9)*('Jul''12 AGL'!E14/100),('Jul''12 AGL'!E10-'Jul''12 AGL'!E9)*('Jul''12 AGL'!E14/100)))</f>
        <v>0</v>
      </c>
    </row>
    <row r="13" spans="1:11" x14ac:dyDescent="0.15">
      <c r="A13" s="24" t="s">
        <v>35</v>
      </c>
      <c r="B13" s="30">
        <f>IF(($E5&gt;'Jul''12 AGL'!E10),($E5-'Jul''12 AGL'!E10)*'Jul''12 AGL'!E15/100,0)</f>
        <v>0</v>
      </c>
    </row>
    <row r="14" spans="1:11" x14ac:dyDescent="0.15">
      <c r="A14" s="24" t="s">
        <v>132</v>
      </c>
      <c r="B14" s="30">
        <f>'Jul''12 AGL'!E16*60/100</f>
        <v>29.237999999999996</v>
      </c>
    </row>
    <row r="15" spans="1:11" x14ac:dyDescent="0.15">
      <c r="A15" s="24" t="s">
        <v>116</v>
      </c>
      <c r="B15" s="30">
        <f>SUM(B9:B14)</f>
        <v>139.83750000000001</v>
      </c>
    </row>
    <row r="16" spans="1:11" x14ac:dyDescent="0.15">
      <c r="A16" s="31" t="s">
        <v>166</v>
      </c>
      <c r="B16" s="32">
        <f>B15*6</f>
        <v>839.02500000000009</v>
      </c>
      <c r="C16" s="32"/>
      <c r="D16" s="32"/>
      <c r="E16" s="32"/>
      <c r="F16" s="32"/>
      <c r="G16" s="32"/>
      <c r="H16" s="32"/>
      <c r="I16" s="32"/>
      <c r="J16" s="32"/>
      <c r="K16" s="32"/>
    </row>
    <row r="18" spans="1:11" x14ac:dyDescent="0.15">
      <c r="A18" s="27" t="s">
        <v>177</v>
      </c>
      <c r="B18" s="33" t="s">
        <v>106</v>
      </c>
      <c r="C18" s="33" t="s">
        <v>102</v>
      </c>
      <c r="D18" s="33" t="s">
        <v>173</v>
      </c>
      <c r="E18" s="33" t="s">
        <v>145</v>
      </c>
      <c r="F18" s="33" t="s">
        <v>131</v>
      </c>
      <c r="G18" s="33" t="s">
        <v>85</v>
      </c>
    </row>
    <row r="19" spans="1:11" x14ac:dyDescent="0.15">
      <c r="A19" s="24" t="s">
        <v>205</v>
      </c>
      <c r="B19" s="30">
        <f>$E5*'Jul''12 Country'!E7/100</f>
        <v>88.615999999999985</v>
      </c>
      <c r="C19" s="30">
        <f>$E5*'Jul''12 Country'!F7/100</f>
        <v>88.263999999999996</v>
      </c>
      <c r="D19" s="30">
        <f>$E5*'Jul''12 Country'!G7/100</f>
        <v>88.263999999999996</v>
      </c>
      <c r="E19" s="30">
        <f>$E5*'Jul''12 Country'!H7/100</f>
        <v>92.664000000000016</v>
      </c>
      <c r="F19" s="30">
        <f>$E5*'Jul''12 Country'!I7/100</f>
        <v>77.923999999999992</v>
      </c>
      <c r="G19" s="30">
        <f>$E5*'Jul''12 Country'!J7/100</f>
        <v>133.32</v>
      </c>
    </row>
    <row r="20" spans="1:11" x14ac:dyDescent="0.15">
      <c r="A20" s="24" t="s">
        <v>132</v>
      </c>
      <c r="B20" s="30">
        <f>'Jul''12 Country'!E8*60/100</f>
        <v>36.022799999999997</v>
      </c>
      <c r="C20" s="30">
        <f>'Jul''12 Country'!F8*60/100</f>
        <v>38.616600000000005</v>
      </c>
      <c r="D20" s="30">
        <f>'Jul''12 Country'!G8*60/100</f>
        <v>38.616600000000005</v>
      </c>
      <c r="E20" s="30">
        <f>'Jul''12 Country'!H8*60/100</f>
        <v>41.936400000000006</v>
      </c>
      <c r="F20" s="30">
        <f>'Jul''12 Country'!I8*60/100</f>
        <v>44.616000000000007</v>
      </c>
      <c r="G20" s="30">
        <f>'Jul''12 Country'!J8*60/100</f>
        <v>31.897799999999997</v>
      </c>
    </row>
    <row r="21" spans="1:11" x14ac:dyDescent="0.15">
      <c r="A21" s="24" t="s">
        <v>116</v>
      </c>
      <c r="B21" s="30">
        <f>SUM(B19:B20)</f>
        <v>124.63879999999997</v>
      </c>
      <c r="C21" s="30">
        <f t="shared" ref="C21:G21" si="0">SUM(C19:C20)</f>
        <v>126.8806</v>
      </c>
      <c r="D21" s="30">
        <f t="shared" si="0"/>
        <v>126.8806</v>
      </c>
      <c r="E21" s="30">
        <f t="shared" si="0"/>
        <v>134.60040000000004</v>
      </c>
      <c r="F21" s="30">
        <f t="shared" si="0"/>
        <v>122.53999999999999</v>
      </c>
      <c r="G21" s="30">
        <f t="shared" si="0"/>
        <v>165.21779999999998</v>
      </c>
    </row>
    <row r="22" spans="1:11" x14ac:dyDescent="0.15">
      <c r="A22" s="31" t="s">
        <v>166</v>
      </c>
      <c r="B22" s="32">
        <f>B21*6</f>
        <v>747.83279999999991</v>
      </c>
      <c r="C22" s="32">
        <f t="shared" ref="C22:G22" si="1">C21*6</f>
        <v>761.28359999999998</v>
      </c>
      <c r="D22" s="32">
        <f t="shared" si="1"/>
        <v>761.28359999999998</v>
      </c>
      <c r="E22" s="32">
        <f t="shared" si="1"/>
        <v>807.60240000000022</v>
      </c>
      <c r="F22" s="32">
        <f t="shared" si="1"/>
        <v>735.24</v>
      </c>
      <c r="G22" s="32">
        <f t="shared" si="1"/>
        <v>991.30679999999984</v>
      </c>
      <c r="H22" s="32"/>
      <c r="I22" s="32"/>
      <c r="J22" s="32"/>
      <c r="K22" s="32"/>
    </row>
    <row r="24" spans="1:11" x14ac:dyDescent="0.15">
      <c r="A24" s="27" t="s">
        <v>19</v>
      </c>
      <c r="B24" s="29" t="s">
        <v>169</v>
      </c>
      <c r="C24" s="29" t="s">
        <v>1</v>
      </c>
      <c r="D24" s="29" t="s">
        <v>80</v>
      </c>
    </row>
    <row r="25" spans="1:11" x14ac:dyDescent="0.15">
      <c r="A25" s="24" t="s">
        <v>92</v>
      </c>
      <c r="B25" s="30">
        <f>IF($E5&lt;'Jul''12 Actew'!E7,('Bills Jul''12'!$E5*'Jul''12 Actew'!E8/100),('Jul''12 Actew'!E7*'Jul''12 Actew'!E8/100))</f>
        <v>103.428765</v>
      </c>
      <c r="C25" s="30">
        <f>IF($E5&lt;'Jul''12 Actew'!F7,('Bills Jul''12'!$E5*'Jul''12 Actew'!F8/100),('Jul''12 Actew'!F7*'Jul''12 Actew'!F8/100))</f>
        <v>63.882719999999999</v>
      </c>
      <c r="D25" s="30">
        <f>E5*'Jul''12 Actew'!G8/100</f>
        <v>89.231999999999985</v>
      </c>
    </row>
    <row r="26" spans="1:11" x14ac:dyDescent="0.15">
      <c r="A26" s="24" t="s">
        <v>94</v>
      </c>
      <c r="B26" s="30">
        <f>IF($E5&gt;'Jul''12 Actew'!E7,('Bills Jul''12'!$E5-'Jul''12 Actew'!E7)*'Jul''12 Actew'!E9/100,0)</f>
        <v>8.0803800000000017</v>
      </c>
      <c r="C26" s="30">
        <f>IF($E5&gt;'Jul''12 Actew'!F7,('Bills Jul''12'!$E5-'Jul''12 Actew'!F7)*'Jul''12 Actew'!F9/100,0)</f>
        <v>21.655920000000002</v>
      </c>
      <c r="D26" s="30">
        <v>0</v>
      </c>
    </row>
    <row r="27" spans="1:11" x14ac:dyDescent="0.15">
      <c r="A27" s="24" t="s">
        <v>93</v>
      </c>
      <c r="B27" s="30">
        <f>'Jul''12 Actew'!E10*60/100</f>
        <v>27.779399999999999</v>
      </c>
      <c r="C27" s="30">
        <f>'Jul''12 Actew'!F10*60/100</f>
        <v>43.131</v>
      </c>
      <c r="D27" s="30">
        <f>'Jul''12 Actew'!G10*60/100</f>
        <v>35.336399999999998</v>
      </c>
    </row>
    <row r="28" spans="1:11" x14ac:dyDescent="0.15">
      <c r="A28" s="24" t="s">
        <v>218</v>
      </c>
      <c r="B28" s="30">
        <f>SUM(B25:B27)</f>
        <v>139.288545</v>
      </c>
      <c r="C28" s="30">
        <f t="shared" ref="C28:D28" si="2">SUM(C25:C27)</f>
        <v>128.66964000000002</v>
      </c>
      <c r="D28" s="30">
        <f t="shared" si="2"/>
        <v>124.56839999999998</v>
      </c>
    </row>
    <row r="29" spans="1:11" x14ac:dyDescent="0.15">
      <c r="A29" s="31" t="s">
        <v>166</v>
      </c>
      <c r="B29" s="32">
        <f>B28*6</f>
        <v>835.73126999999999</v>
      </c>
      <c r="C29" s="32">
        <f t="shared" ref="C29:D29" si="3">C28*6</f>
        <v>772.01784000000009</v>
      </c>
      <c r="D29" s="32">
        <f t="shared" si="3"/>
        <v>747.41039999999987</v>
      </c>
      <c r="E29" s="32"/>
      <c r="F29" s="32"/>
      <c r="G29" s="32"/>
      <c r="H29" s="32"/>
      <c r="I29" s="32"/>
      <c r="J29" s="32"/>
      <c r="K29" s="32"/>
    </row>
    <row r="31" spans="1:11" x14ac:dyDescent="0.15">
      <c r="A31" s="27" t="s">
        <v>158</v>
      </c>
      <c r="B31" s="34" t="s">
        <v>126</v>
      </c>
      <c r="C31" s="33" t="s">
        <v>147</v>
      </c>
    </row>
    <row r="32" spans="1:11" x14ac:dyDescent="0.15">
      <c r="A32" s="24" t="s">
        <v>86</v>
      </c>
      <c r="B32" s="30">
        <f>IF($E5&gt;'Jul''12 Origin'!E9,('Jul''12 Origin'!E9*'Jul''12 Origin'!E10/100),('Bills Jul''12'!$E5*'Jul''12 Origin'!E10/100))</f>
        <v>61.863999999999997</v>
      </c>
      <c r="C32" s="35">
        <f>$E5*'Jul''12 Origin'!F10/100</f>
        <v>91.123999999999995</v>
      </c>
    </row>
    <row r="33" spans="1:11" x14ac:dyDescent="0.15">
      <c r="A33" s="24" t="s">
        <v>78</v>
      </c>
      <c r="B33" s="30">
        <f>IF($E5&gt;'Jul''12 Origin'!E9,('Bills Jul''12'!$E5-'Jul''12 Origin'!E9)*'Jul''12 Origin'!E11/100,0)</f>
        <v>0</v>
      </c>
      <c r="C33" s="35">
        <v>0</v>
      </c>
    </row>
    <row r="34" spans="1:11" x14ac:dyDescent="0.15">
      <c r="A34" s="24" t="s">
        <v>79</v>
      </c>
      <c r="B34" s="30">
        <f>IF($E5&gt;'Jul''12 Origin'!E9,'Jul''12 Origin'!E9*'Jul''12 Origin'!E12/100,'Bills Jul''12'!$E5*'Jul''12 Origin'!E12/100)</f>
        <v>58.343999999999994</v>
      </c>
      <c r="C34" s="35">
        <v>0</v>
      </c>
    </row>
    <row r="35" spans="1:11" x14ac:dyDescent="0.15">
      <c r="A35" s="24" t="s">
        <v>4</v>
      </c>
      <c r="B35" s="30">
        <f>IF($E5&gt;'Jul''12 Origin'!E9,('Bills Jul''12'!E5-'Jul''12 Origin'!E9)*'Jul''12 Origin'!E13/100,0)</f>
        <v>0</v>
      </c>
      <c r="C35" s="35">
        <v>0</v>
      </c>
    </row>
    <row r="36" spans="1:11" x14ac:dyDescent="0.15">
      <c r="A36" s="24" t="s">
        <v>132</v>
      </c>
      <c r="B36" s="30">
        <f>'Jul''12 Origin'!E14*60/100</f>
        <v>28.003800000000002</v>
      </c>
      <c r="C36" s="35">
        <f>'Jul''12 Origin'!F14*60/100</f>
        <v>31.712999999999997</v>
      </c>
    </row>
    <row r="37" spans="1:11" x14ac:dyDescent="0.15">
      <c r="A37" s="24" t="s">
        <v>116</v>
      </c>
      <c r="B37" s="36" t="s">
        <v>211</v>
      </c>
      <c r="C37" s="35">
        <f>SUM(C32:C36)</f>
        <v>122.83699999999999</v>
      </c>
    </row>
    <row r="38" spans="1:11" x14ac:dyDescent="0.15">
      <c r="A38" s="31" t="s">
        <v>166</v>
      </c>
      <c r="B38" s="32">
        <f>(B32*2)+(B33*2)+(B34*4)+(B35*4)+(B36*6)</f>
        <v>525.1268</v>
      </c>
      <c r="C38" s="32">
        <f>C37*6</f>
        <v>737.02199999999993</v>
      </c>
      <c r="D38" s="32"/>
      <c r="E38" s="32"/>
      <c r="F38" s="32"/>
      <c r="G38" s="32"/>
      <c r="H38" s="32"/>
      <c r="I38" s="32"/>
      <c r="J38" s="32"/>
      <c r="K38" s="32"/>
    </row>
  </sheetData>
  <sheetProtection algorithmName="SHA-512" hashValue="9ik2WPzut+tZgEufZcdFj1/oOFxUSeL+/N4ZAmDMI9MuRstrhWJyldgBpii+Y6VceSCu5501CJcZ5OUx9U9ZwQ==" saltValue="GkR4yZyt19iXoFVHz+hQHg==" spinCount="100000" sheet="1" objects="1" scenarios="1"/>
  <phoneticPr fontId="6" type="noConversion"/>
  <pageMargins left="0.75000000000000011" right="0.75000000000000011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P38"/>
  <sheetViews>
    <sheetView zoomScale="125" workbookViewId="0">
      <selection activeCell="G46" sqref="G46:H46"/>
    </sheetView>
  </sheetViews>
  <sheetFormatPr baseColWidth="10" defaultRowHeight="13" x14ac:dyDescent="0.15"/>
  <cols>
    <col min="1" max="1" width="32.5" style="24" customWidth="1"/>
    <col min="2" max="9" width="10" style="24" customWidth="1"/>
    <col min="10" max="10" width="12.83203125" style="24" customWidth="1"/>
    <col min="11" max="14" width="10" style="24" customWidth="1"/>
    <col min="15" max="15" width="12.83203125" style="24" customWidth="1"/>
    <col min="16" max="16" width="7.5" style="24" customWidth="1"/>
    <col min="17" max="16384" width="10.83203125" style="24"/>
  </cols>
  <sheetData>
    <row r="1" spans="1:16" x14ac:dyDescent="0.15">
      <c r="A1" s="23" t="s">
        <v>66</v>
      </c>
    </row>
    <row r="2" spans="1:16" x14ac:dyDescent="0.1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</row>
    <row r="3" spans="1:16" x14ac:dyDescent="0.15">
      <c r="A3" s="26" t="s">
        <v>10</v>
      </c>
    </row>
    <row r="5" spans="1:16" x14ac:dyDescent="0.15">
      <c r="A5" s="27" t="s">
        <v>276</v>
      </c>
      <c r="B5" s="27" t="s">
        <v>378</v>
      </c>
      <c r="E5" s="37">
        <v>4000</v>
      </c>
    </row>
    <row r="6" spans="1:16" x14ac:dyDescent="0.15">
      <c r="B6" s="28" t="s">
        <v>146</v>
      </c>
      <c r="C6" s="28"/>
      <c r="D6" s="28"/>
      <c r="E6" s="28"/>
      <c r="F6" s="28"/>
      <c r="H6" s="28"/>
      <c r="I6" s="28"/>
      <c r="J6" s="28"/>
      <c r="K6" s="28"/>
      <c r="L6" s="28"/>
    </row>
    <row r="8" spans="1:16" x14ac:dyDescent="0.15">
      <c r="A8" s="27" t="s">
        <v>115</v>
      </c>
      <c r="B8" s="29" t="s">
        <v>133</v>
      </c>
    </row>
    <row r="9" spans="1:16" x14ac:dyDescent="0.15">
      <c r="A9" s="24" t="s">
        <v>134</v>
      </c>
      <c r="B9" s="30">
        <f>IF($E5&gt;='Jul''11 AGL'!E7,('Jul''11 AGL'!E7*'Jul''11 AGL'!E11/100),($E5*'Jul''11 AGL'!E11/100))</f>
        <v>68.502499999999998</v>
      </c>
    </row>
    <row r="10" spans="1:16" x14ac:dyDescent="0.15">
      <c r="A10" s="24" t="s">
        <v>135</v>
      </c>
      <c r="B10" s="30">
        <f>IF($E5&lt;'Jul''11 AGL'!E7,0,IF($E5&lt;='Jul''11 AGL'!E8,($E5-'Jul''11 AGL'!E7)*('Jul''11 AGL'!E12/100),('Jul''11 AGL'!E8-'Jul''11 AGL'!E7)*('Jul''11 AGL'!E12/100)))</f>
        <v>24.733499999999999</v>
      </c>
    </row>
    <row r="11" spans="1:16" x14ac:dyDescent="0.15">
      <c r="A11" s="24" t="s">
        <v>140</v>
      </c>
      <c r="B11" s="30">
        <f>IF($E5&lt;'Jul''11 AGL'!E8,0,IF($E5&lt;='Jul''11 AGL'!E9,($E5-'Jul''11 AGL'!E8)*('Jul''11 AGL'!E13/100),('Jul''11 AGL'!E9-'Jul''11 AGL'!E8)*('Jul''11 AGL'!E13/100)))</f>
        <v>0</v>
      </c>
    </row>
    <row r="12" spans="1:16" x14ac:dyDescent="0.15">
      <c r="A12" s="24" t="s">
        <v>144</v>
      </c>
      <c r="B12" s="30">
        <f>IF($E5&lt;'Jul''11 AGL'!E9,0,IF($E5&lt;='Jul''11 AGL'!E10,($E5-'Jul''11 AGL'!E9)*('Jul''11 AGL'!E14/100),('Jul''11 AGL'!E10-'Jul''11 AGL'!E9)*('Jul''11 AGL'!E14/100)))</f>
        <v>0</v>
      </c>
    </row>
    <row r="13" spans="1:16" x14ac:dyDescent="0.15">
      <c r="A13" s="24" t="s">
        <v>35</v>
      </c>
      <c r="B13" s="30">
        <f>IF(($E5&gt;'Jul''11 AGL'!E10),($E5-'Jul''11 AGL'!E10)*'Jul''11 AGL'!E15/100,0)</f>
        <v>0</v>
      </c>
    </row>
    <row r="14" spans="1:16" x14ac:dyDescent="0.15">
      <c r="A14" s="24" t="s">
        <v>132</v>
      </c>
      <c r="B14" s="30">
        <f>'Jul''11 AGL'!E16*60/100</f>
        <v>28.498799999999996</v>
      </c>
    </row>
    <row r="15" spans="1:16" x14ac:dyDescent="0.15">
      <c r="A15" s="24" t="s">
        <v>116</v>
      </c>
      <c r="B15" s="30">
        <f>SUM(B9:B14)</f>
        <v>121.73479999999998</v>
      </c>
    </row>
    <row r="16" spans="1:16" x14ac:dyDescent="0.15">
      <c r="A16" s="31" t="s">
        <v>166</v>
      </c>
      <c r="B16" s="32">
        <f>B15*6</f>
        <v>730.40879999999993</v>
      </c>
      <c r="C16" s="32"/>
      <c r="D16" s="32"/>
      <c r="E16" s="32"/>
      <c r="F16" s="32"/>
      <c r="G16" s="32"/>
      <c r="H16" s="32"/>
      <c r="I16" s="32"/>
      <c r="J16" s="32"/>
      <c r="K16" s="32"/>
    </row>
    <row r="18" spans="1:11" x14ac:dyDescent="0.15">
      <c r="A18" s="27" t="s">
        <v>177</v>
      </c>
      <c r="B18" s="33" t="s">
        <v>106</v>
      </c>
      <c r="C18" s="33" t="s">
        <v>102</v>
      </c>
      <c r="D18" s="33" t="s">
        <v>173</v>
      </c>
      <c r="E18" s="33" t="s">
        <v>145</v>
      </c>
      <c r="F18" s="33" t="s">
        <v>131</v>
      </c>
      <c r="G18" s="33" t="s">
        <v>85</v>
      </c>
    </row>
    <row r="19" spans="1:11" x14ac:dyDescent="0.15">
      <c r="A19" s="24" t="s">
        <v>205</v>
      </c>
      <c r="B19" s="30">
        <f>$E5*'Jul''11 Country'!E7/100</f>
        <v>78.040000000000006</v>
      </c>
      <c r="C19" s="30">
        <f>$E5*'Jul''11 Country'!F7/100</f>
        <v>77.72</v>
      </c>
      <c r="D19" s="30">
        <f>$E5*'Jul''11 Country'!G7/100</f>
        <v>77.72</v>
      </c>
      <c r="E19" s="30">
        <f>$E5*'Jul''11 Country'!H7/100</f>
        <v>81.88000000000001</v>
      </c>
      <c r="F19" s="30">
        <f>$E5*'Jul''11 Country'!I7/100</f>
        <v>67.84</v>
      </c>
      <c r="G19" s="30">
        <f>$E5*'Jul''11 Country'!J7/100</f>
        <v>120.68</v>
      </c>
    </row>
    <row r="20" spans="1:11" x14ac:dyDescent="0.15">
      <c r="A20" s="24" t="s">
        <v>132</v>
      </c>
      <c r="B20" s="30">
        <f>'Jul''11 Country'!E8*60/100</f>
        <v>34.366199999999999</v>
      </c>
      <c r="C20" s="30">
        <f>'Jul''11 Country'!F8*60/100</f>
        <v>36.841200000000001</v>
      </c>
      <c r="D20" s="30">
        <f>'Jul''11 Country'!G8*60/100</f>
        <v>36.841200000000001</v>
      </c>
      <c r="E20" s="30">
        <f>'Jul''11 Country'!H8*60/100</f>
        <v>40.0092</v>
      </c>
      <c r="F20" s="30">
        <f>'Jul''11 Country'!I8*60/100</f>
        <v>42.57</v>
      </c>
      <c r="G20" s="30">
        <f>'Jul''11 Country'!J8*60/100</f>
        <v>30.432599999999997</v>
      </c>
    </row>
    <row r="21" spans="1:11" x14ac:dyDescent="0.15">
      <c r="A21" s="24" t="s">
        <v>116</v>
      </c>
      <c r="B21" s="30">
        <f>SUM(B19:B20)</f>
        <v>112.40620000000001</v>
      </c>
      <c r="C21" s="30">
        <f t="shared" ref="C21:G21" si="0">SUM(C19:C20)</f>
        <v>114.5612</v>
      </c>
      <c r="D21" s="30">
        <f t="shared" si="0"/>
        <v>114.5612</v>
      </c>
      <c r="E21" s="30">
        <f t="shared" si="0"/>
        <v>121.88920000000002</v>
      </c>
      <c r="F21" s="30">
        <f t="shared" si="0"/>
        <v>110.41</v>
      </c>
      <c r="G21" s="30">
        <f t="shared" si="0"/>
        <v>151.11260000000001</v>
      </c>
    </row>
    <row r="22" spans="1:11" x14ac:dyDescent="0.15">
      <c r="A22" s="31" t="s">
        <v>166</v>
      </c>
      <c r="B22" s="32">
        <f>B21*6</f>
        <v>674.43720000000008</v>
      </c>
      <c r="C22" s="32">
        <f t="shared" ref="C22:G22" si="1">C21*6</f>
        <v>687.36720000000003</v>
      </c>
      <c r="D22" s="32">
        <f t="shared" si="1"/>
        <v>687.36720000000003</v>
      </c>
      <c r="E22" s="32">
        <f t="shared" si="1"/>
        <v>731.3352000000001</v>
      </c>
      <c r="F22" s="32">
        <f t="shared" si="1"/>
        <v>662.46</v>
      </c>
      <c r="G22" s="32">
        <f t="shared" si="1"/>
        <v>906.67560000000003</v>
      </c>
      <c r="H22" s="32"/>
      <c r="I22" s="32"/>
      <c r="J22" s="32"/>
      <c r="K22" s="32"/>
    </row>
    <row r="24" spans="1:11" x14ac:dyDescent="0.15">
      <c r="A24" s="27" t="s">
        <v>28</v>
      </c>
      <c r="B24" s="29" t="s">
        <v>212</v>
      </c>
      <c r="C24" s="29" t="s">
        <v>1</v>
      </c>
      <c r="D24" s="29" t="s">
        <v>80</v>
      </c>
    </row>
    <row r="25" spans="1:11" x14ac:dyDescent="0.15">
      <c r="A25" s="24" t="s">
        <v>92</v>
      </c>
      <c r="B25" s="30">
        <f>IF($E5&lt;'Jul''11 Actew'!E7,('Bills Jul''11'!$E5*'Jul''11 Actew'!E8/100),('Jul''11 Actew'!E7*'Jul''11 Actew'!E8/100))</f>
        <v>88.755480000000006</v>
      </c>
      <c r="C25" s="30">
        <f>IF($E5&lt;'Jul''11 Actew'!F7,('Bills Jul''11'!$E5*'Jul''11 Actew'!F8/100),('Jul''11 Actew'!F7*'Jul''11 Actew'!F8/100))</f>
        <v>54.733360000000005</v>
      </c>
      <c r="D25" s="30">
        <f>E5*'Jul''11 Actew'!G8/100</f>
        <v>79.42</v>
      </c>
    </row>
    <row r="26" spans="1:11" x14ac:dyDescent="0.15">
      <c r="A26" s="24" t="s">
        <v>94</v>
      </c>
      <c r="B26" s="30">
        <f>IF($E5&gt;'Jul''11 Actew'!E7,('Bills Jul''11'!$E5-'Jul''11 Actew'!E7)*'Jul''11 Actew'!E9/100,0)</f>
        <v>7.0173950000000005</v>
      </c>
      <c r="C26" s="30">
        <f>IF($E5&gt;'Jul''11 Actew'!F7,('Bills Jul''11'!$E5-'Jul''11 Actew'!F7)*'Jul''11 Actew'!F9/100,0)</f>
        <v>19.19632</v>
      </c>
      <c r="D26" s="30">
        <v>0</v>
      </c>
    </row>
    <row r="27" spans="1:11" x14ac:dyDescent="0.15">
      <c r="A27" s="24" t="s">
        <v>93</v>
      </c>
      <c r="B27" s="30">
        <f>'Jul''11 Actew'!E10*60/100</f>
        <v>26.0106</v>
      </c>
      <c r="C27" s="30">
        <f>'Jul''11 Actew'!F10*60/100</f>
        <v>40.114800000000002</v>
      </c>
      <c r="D27" s="30">
        <f>'Jul''11 Actew'!G10*60/100</f>
        <v>34.187999999999995</v>
      </c>
    </row>
    <row r="28" spans="1:11" x14ac:dyDescent="0.15">
      <c r="A28" s="24" t="s">
        <v>218</v>
      </c>
      <c r="B28" s="30">
        <f>SUM(B25:B27)</f>
        <v>121.783475</v>
      </c>
      <c r="C28" s="30">
        <f t="shared" ref="C28:D28" si="2">SUM(C25:C27)</f>
        <v>114.04448000000001</v>
      </c>
      <c r="D28" s="30">
        <f t="shared" si="2"/>
        <v>113.608</v>
      </c>
    </row>
    <row r="29" spans="1:11" x14ac:dyDescent="0.15">
      <c r="A29" s="31" t="s">
        <v>166</v>
      </c>
      <c r="B29" s="32">
        <f>B28*6</f>
        <v>730.70084999999995</v>
      </c>
      <c r="C29" s="32">
        <f t="shared" ref="C29:D29" si="3">C28*6</f>
        <v>684.26688000000001</v>
      </c>
      <c r="D29" s="32">
        <f t="shared" si="3"/>
        <v>681.64800000000002</v>
      </c>
      <c r="E29" s="32"/>
      <c r="F29" s="32"/>
      <c r="G29" s="32"/>
      <c r="H29" s="32"/>
      <c r="I29" s="32"/>
      <c r="J29" s="32"/>
      <c r="K29" s="32"/>
    </row>
    <row r="31" spans="1:11" x14ac:dyDescent="0.15">
      <c r="A31" s="27" t="s">
        <v>29</v>
      </c>
      <c r="B31" s="34" t="s">
        <v>126</v>
      </c>
      <c r="C31" s="33" t="s">
        <v>147</v>
      </c>
    </row>
    <row r="32" spans="1:11" x14ac:dyDescent="0.15">
      <c r="A32" s="24" t="s">
        <v>86</v>
      </c>
      <c r="B32" s="30">
        <f>IF($E5&gt;'Jul''11 Origin'!E9,('Jul''11 Origin'!E9*'Jul''11 Origin'!E10/100),('Bills Jul''11'!$E5*'Jul''11 Origin'!E10/100))</f>
        <v>52.888000000000005</v>
      </c>
      <c r="C32" s="35">
        <f>$E5*'Jul''11 Origin'!F10/100</f>
        <v>81.576000000000008</v>
      </c>
    </row>
    <row r="33" spans="1:11" x14ac:dyDescent="0.15">
      <c r="A33" s="24" t="s">
        <v>78</v>
      </c>
      <c r="B33" s="30">
        <f>IF($E5&gt;'Jul''11 Origin'!E9,('Bills Jul''11'!$E5-'Jul''11 Origin'!E9)*'Jul''11 Origin'!E11/100,0)</f>
        <v>0</v>
      </c>
      <c r="C33" s="35">
        <v>0</v>
      </c>
    </row>
    <row r="34" spans="1:11" x14ac:dyDescent="0.15">
      <c r="A34" s="24" t="s">
        <v>79</v>
      </c>
      <c r="B34" s="30">
        <f>IF($E5&gt;'Jul''11 Origin'!E9,'Jul''11 Origin'!E9*'Jul''11 Origin'!E12/100,'Bills Jul''11'!$E5*'Jul''11 Origin'!E12/100)</f>
        <v>49.5</v>
      </c>
      <c r="C34" s="35">
        <v>0</v>
      </c>
    </row>
    <row r="35" spans="1:11" x14ac:dyDescent="0.15">
      <c r="A35" s="24" t="s">
        <v>4</v>
      </c>
      <c r="B35" s="30">
        <f>IF($E5&gt;'Jul''11 Origin'!E9,('Bills Jul''11'!E5-'Jul''11 Origin'!E9)*'Jul''11 Origin'!E13/100,0)</f>
        <v>0</v>
      </c>
      <c r="C35" s="35">
        <v>0</v>
      </c>
    </row>
    <row r="36" spans="1:11" x14ac:dyDescent="0.15">
      <c r="A36" s="24" t="s">
        <v>132</v>
      </c>
      <c r="B36" s="30">
        <f>'Jul''11 Origin'!E14*60/100</f>
        <v>26.756399999999999</v>
      </c>
      <c r="C36" s="35">
        <f>'Jul''11 Origin'!F14*60/100</f>
        <v>30.571199999999997</v>
      </c>
    </row>
    <row r="37" spans="1:11" x14ac:dyDescent="0.15">
      <c r="A37" s="24" t="s">
        <v>116</v>
      </c>
      <c r="B37" s="36" t="s">
        <v>175</v>
      </c>
      <c r="C37" s="35">
        <f>SUM(C32:C36)</f>
        <v>112.1472</v>
      </c>
    </row>
    <row r="38" spans="1:11" x14ac:dyDescent="0.15">
      <c r="A38" s="31" t="s">
        <v>166</v>
      </c>
      <c r="B38" s="32">
        <f>(B32*2)+(B33*2)+(B34*4)+(B35*4)+(B36*6)</f>
        <v>464.31439999999998</v>
      </c>
      <c r="C38" s="32">
        <f>C37*6</f>
        <v>672.88319999999999</v>
      </c>
      <c r="D38" s="32"/>
      <c r="E38" s="32"/>
      <c r="F38" s="32"/>
      <c r="G38" s="32"/>
      <c r="H38" s="32"/>
      <c r="I38" s="32"/>
      <c r="J38" s="32"/>
      <c r="K38" s="32"/>
    </row>
  </sheetData>
  <sheetProtection algorithmName="SHA-512" hashValue="pe5JqfGdEj+B6J+udznF6mHMyNt58pACk+3ipN8egkTrB8p5CDbpSeI0RjyfI8zI1PYDfGqzvk5gNE6XA1cbWw==" saltValue="lRE7MORmCKVqw12mb8TGBQ==" spinCount="100000" sheet="1" objects="1" scenarios="1"/>
  <phoneticPr fontId="6" type="noConversion"/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O38"/>
  <sheetViews>
    <sheetView zoomScale="125" workbookViewId="0">
      <selection activeCell="E6" sqref="E6"/>
    </sheetView>
  </sheetViews>
  <sheetFormatPr baseColWidth="10" defaultRowHeight="13" x14ac:dyDescent="0.15"/>
  <cols>
    <col min="1" max="1" width="32.5" customWidth="1"/>
    <col min="2" max="8" width="10" customWidth="1"/>
    <col min="9" max="9" width="12.83203125" customWidth="1"/>
    <col min="10" max="13" width="10" customWidth="1"/>
    <col min="14" max="14" width="12.83203125" customWidth="1"/>
    <col min="15" max="15" width="7.5" customWidth="1"/>
  </cols>
  <sheetData>
    <row r="1" spans="1:15" x14ac:dyDescent="0.15">
      <c r="A1" s="23" t="s">
        <v>66</v>
      </c>
      <c r="B1" s="24"/>
      <c r="C1" s="24"/>
      <c r="D1" s="24"/>
      <c r="E1" s="24"/>
      <c r="F1" s="24"/>
      <c r="G1" s="24"/>
      <c r="H1" s="24"/>
      <c r="I1" s="24"/>
      <c r="J1" s="24"/>
      <c r="K1" s="24"/>
    </row>
    <row r="2" spans="1:15" x14ac:dyDescent="0.15">
      <c r="A2" s="38"/>
      <c r="B2" s="39"/>
      <c r="C2" s="39"/>
      <c r="D2" s="39"/>
      <c r="E2" s="39"/>
      <c r="F2" s="39"/>
      <c r="G2" s="39"/>
      <c r="H2" s="39"/>
      <c r="I2" s="39"/>
      <c r="J2" s="39"/>
      <c r="K2" s="39"/>
      <c r="L2" s="2"/>
      <c r="M2" s="2"/>
      <c r="N2" s="2"/>
      <c r="O2" s="2"/>
    </row>
    <row r="3" spans="1:15" x14ac:dyDescent="0.15">
      <c r="A3" s="26" t="s">
        <v>0</v>
      </c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5" x14ac:dyDescent="0.1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5" x14ac:dyDescent="0.15">
      <c r="A5" s="27" t="s">
        <v>276</v>
      </c>
      <c r="B5" s="27" t="s">
        <v>121</v>
      </c>
      <c r="C5" s="24"/>
      <c r="D5" s="24"/>
      <c r="E5" s="37">
        <v>4000</v>
      </c>
      <c r="F5" s="24"/>
      <c r="G5" s="24"/>
      <c r="H5" s="24"/>
      <c r="I5" s="24"/>
      <c r="J5" s="24"/>
      <c r="K5" s="24"/>
    </row>
    <row r="6" spans="1:15" x14ac:dyDescent="0.15">
      <c r="A6" s="24"/>
      <c r="B6" s="28" t="s">
        <v>146</v>
      </c>
      <c r="C6" s="28"/>
      <c r="D6" s="28"/>
      <c r="E6" s="28"/>
      <c r="F6" s="28"/>
      <c r="G6" s="28"/>
      <c r="H6" s="28"/>
      <c r="I6" s="28"/>
      <c r="J6" s="28"/>
      <c r="K6" s="28"/>
    </row>
    <row r="7" spans="1:15" x14ac:dyDescent="0.1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5" x14ac:dyDescent="0.15">
      <c r="A8" s="27" t="s">
        <v>115</v>
      </c>
      <c r="B8" s="29" t="s">
        <v>133</v>
      </c>
      <c r="C8" s="24"/>
      <c r="D8" s="24"/>
      <c r="E8" s="24"/>
      <c r="F8" s="24"/>
      <c r="G8" s="24"/>
      <c r="H8" s="24"/>
      <c r="I8" s="24"/>
      <c r="J8" s="24"/>
      <c r="K8" s="24"/>
    </row>
    <row r="9" spans="1:15" x14ac:dyDescent="0.15">
      <c r="A9" s="24" t="s">
        <v>134</v>
      </c>
      <c r="B9" s="30">
        <f>IF($E5&gt;='Jul''10 AGL'!E7,('Jul''10 AGL'!E7*'Jul''10 AGL'!E11/100),($E5*'Jul''10 AGL'!E11/100))</f>
        <v>48.73</v>
      </c>
      <c r="C9" s="24"/>
      <c r="D9" s="24"/>
      <c r="E9" s="24"/>
      <c r="F9" s="24"/>
      <c r="G9" s="24"/>
      <c r="H9" s="24"/>
      <c r="I9" s="24"/>
      <c r="J9" s="24"/>
      <c r="K9" s="24"/>
    </row>
    <row r="10" spans="1:15" x14ac:dyDescent="0.15">
      <c r="A10" s="24" t="s">
        <v>135</v>
      </c>
      <c r="B10" s="30">
        <f>IF($E5&lt;'Jul''10 AGL'!E7,0,IF($E5&lt;='Jul''10 AGL'!E8,($E5-'Jul''10 AGL'!E7)*('Jul''10 AGL'!E12/100),('Jul''10 AGL'!E8-'Jul''10 AGL'!E7)*('Jul''10 AGL'!E12/100)))</f>
        <v>28.000499999999999</v>
      </c>
      <c r="C10" s="24"/>
      <c r="D10" s="24"/>
      <c r="E10" s="24"/>
      <c r="F10" s="24"/>
      <c r="G10" s="24"/>
      <c r="H10" s="24"/>
      <c r="I10" s="24"/>
      <c r="J10" s="24"/>
      <c r="K10" s="24"/>
    </row>
    <row r="11" spans="1:15" x14ac:dyDescent="0.15">
      <c r="A11" s="24" t="s">
        <v>140</v>
      </c>
      <c r="B11" s="30">
        <f>IF($E5&lt;'Jul''10 AGL'!E8,0,IF($E5&lt;='Jul''10 AGL'!E9,($E5-'Jul''10 AGL'!E8)*('Jul''10 AGL'!E13/100),('Jul''10 AGL'!E9-'Jul''10 AGL'!E8)*('Jul''10 AGL'!E13/100)))</f>
        <v>0</v>
      </c>
      <c r="C11" s="24"/>
      <c r="D11" s="24"/>
      <c r="E11" s="24"/>
      <c r="F11" s="24"/>
      <c r="G11" s="24"/>
      <c r="H11" s="24"/>
      <c r="I11" s="24"/>
      <c r="J11" s="24"/>
      <c r="K11" s="24"/>
    </row>
    <row r="12" spans="1:15" x14ac:dyDescent="0.15">
      <c r="A12" s="24" t="s">
        <v>144</v>
      </c>
      <c r="B12" s="30">
        <f>IF($E5&lt;'Jul''10 AGL'!E9,0,IF($E5&lt;='Jul''10 AGL'!E10,($E5-'Jul''10 AGL'!E9)*('Jul''10 AGL'!E14/100),('Jul''10 AGL'!E10-'Jul''10 AGL'!E9)*('Jul''10 AGL'!E14/100)))</f>
        <v>0</v>
      </c>
      <c r="C12" s="24"/>
      <c r="D12" s="24"/>
      <c r="E12" s="24"/>
      <c r="F12" s="24"/>
      <c r="G12" s="24"/>
      <c r="H12" s="24"/>
      <c r="I12" s="24"/>
      <c r="J12" s="24"/>
      <c r="K12" s="24"/>
    </row>
    <row r="13" spans="1:15" x14ac:dyDescent="0.15">
      <c r="A13" s="24" t="s">
        <v>35</v>
      </c>
      <c r="B13" s="30">
        <f>IF(($E5&gt;'Jul''10 AGL'!E10),($E5-'Jul''10 AGL'!E10)*'Jul''10 AGL'!E15/100,0)</f>
        <v>0</v>
      </c>
      <c r="C13" s="24"/>
      <c r="D13" s="24"/>
      <c r="E13" s="24"/>
      <c r="F13" s="24"/>
      <c r="G13" s="24"/>
      <c r="H13" s="24"/>
      <c r="I13" s="24"/>
      <c r="J13" s="24"/>
      <c r="K13" s="24"/>
    </row>
    <row r="14" spans="1:15" x14ac:dyDescent="0.15">
      <c r="A14" s="24" t="s">
        <v>132</v>
      </c>
      <c r="B14" s="30">
        <f>'Jul''10 AGL'!E16*60/100</f>
        <v>34.445399999999999</v>
      </c>
      <c r="C14" s="24"/>
      <c r="D14" s="24"/>
      <c r="E14" s="24"/>
      <c r="F14" s="24"/>
      <c r="G14" s="24"/>
      <c r="H14" s="24"/>
      <c r="I14" s="24"/>
      <c r="J14" s="24"/>
      <c r="K14" s="24"/>
    </row>
    <row r="15" spans="1:15" x14ac:dyDescent="0.15">
      <c r="A15" s="24" t="s">
        <v>116</v>
      </c>
      <c r="B15" s="30">
        <f>SUM(B9:B14)</f>
        <v>111.17589999999998</v>
      </c>
      <c r="C15" s="24"/>
      <c r="D15" s="24"/>
      <c r="E15" s="24"/>
      <c r="F15" s="24"/>
      <c r="G15" s="24"/>
      <c r="H15" s="24"/>
      <c r="I15" s="24"/>
      <c r="J15" s="24"/>
      <c r="K15" s="24"/>
    </row>
    <row r="16" spans="1:15" x14ac:dyDescent="0.15">
      <c r="A16" s="31" t="s">
        <v>166</v>
      </c>
      <c r="B16" s="32">
        <f>B15*6</f>
        <v>667.05539999999996</v>
      </c>
      <c r="C16" s="40"/>
      <c r="D16" s="40"/>
      <c r="E16" s="40"/>
      <c r="F16" s="40"/>
      <c r="G16" s="40"/>
      <c r="H16" s="40"/>
      <c r="I16" s="40"/>
      <c r="J16" s="40"/>
      <c r="K16" s="40"/>
    </row>
    <row r="17" spans="1:11" x14ac:dyDescent="0.1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x14ac:dyDescent="0.15">
      <c r="A18" s="27" t="s">
        <v>177</v>
      </c>
      <c r="B18" s="29" t="s">
        <v>56</v>
      </c>
      <c r="C18" s="33" t="s">
        <v>102</v>
      </c>
      <c r="D18" s="33" t="s">
        <v>173</v>
      </c>
      <c r="E18" s="33" t="s">
        <v>145</v>
      </c>
      <c r="F18" s="33" t="s">
        <v>131</v>
      </c>
      <c r="G18" s="33" t="s">
        <v>85</v>
      </c>
      <c r="H18" s="24"/>
      <c r="I18" s="24"/>
      <c r="J18" s="24"/>
      <c r="K18" s="24"/>
    </row>
    <row r="19" spans="1:11" x14ac:dyDescent="0.15">
      <c r="A19" s="24" t="s">
        <v>205</v>
      </c>
      <c r="B19" s="30">
        <f>$E5*'Jul''10 Country'!E7/100</f>
        <v>74.48</v>
      </c>
      <c r="C19" s="30">
        <f>$E5*'Jul''10 Country'!F7/100</f>
        <v>74.16</v>
      </c>
      <c r="D19" s="30">
        <f>$E5*'Jul''10 Country'!G7/100</f>
        <v>74.16</v>
      </c>
      <c r="E19" s="30">
        <f>$E5*'Jul''10 Country'!H7/100</f>
        <v>78.16</v>
      </c>
      <c r="F19" s="30">
        <f>$E5*'Jul''10 Country'!I7/100</f>
        <v>64.760000000000005</v>
      </c>
      <c r="G19" s="30">
        <f>$E5*'Jul''10 Country'!J7/100</f>
        <v>115.2</v>
      </c>
      <c r="H19" s="24"/>
      <c r="I19" s="24"/>
      <c r="J19" s="24"/>
      <c r="K19" s="24"/>
    </row>
    <row r="20" spans="1:11" x14ac:dyDescent="0.15">
      <c r="A20" s="24" t="s">
        <v>132</v>
      </c>
      <c r="B20" s="30">
        <f>'Jul''10 Country'!E8*60/100</f>
        <v>32.794199999999996</v>
      </c>
      <c r="C20" s="30">
        <f>'Jul''10 Country'!F8*60/100</f>
        <v>35.155200000000001</v>
      </c>
      <c r="D20" s="30">
        <f>'Jul''10 Country'!G8*60/100</f>
        <v>35.155200000000001</v>
      </c>
      <c r="E20" s="30">
        <f>'Jul''10 Country'!H8*60/100</f>
        <v>38.180399999999999</v>
      </c>
      <c r="F20" s="30">
        <f>'Jul''10 Country'!I8*60/100</f>
        <v>40.622999999999998</v>
      </c>
      <c r="G20" s="30">
        <f>'Jul''10 Country'!J8*60/100</f>
        <v>29.04</v>
      </c>
      <c r="H20" s="24"/>
      <c r="I20" s="24"/>
      <c r="J20" s="24"/>
      <c r="K20" s="24"/>
    </row>
    <row r="21" spans="1:11" x14ac:dyDescent="0.15">
      <c r="A21" s="24" t="s">
        <v>116</v>
      </c>
      <c r="B21" s="30">
        <f>SUM(B19:B20)</f>
        <v>107.27420000000001</v>
      </c>
      <c r="C21" s="30">
        <f t="shared" ref="C21:G21" si="0">SUM(C19:C20)</f>
        <v>109.3152</v>
      </c>
      <c r="D21" s="30">
        <f t="shared" si="0"/>
        <v>109.3152</v>
      </c>
      <c r="E21" s="30">
        <f t="shared" si="0"/>
        <v>116.34039999999999</v>
      </c>
      <c r="F21" s="30">
        <f t="shared" si="0"/>
        <v>105.38300000000001</v>
      </c>
      <c r="G21" s="30">
        <f t="shared" si="0"/>
        <v>144.24</v>
      </c>
      <c r="H21" s="24"/>
      <c r="I21" s="24"/>
      <c r="J21" s="24"/>
      <c r="K21" s="24"/>
    </row>
    <row r="22" spans="1:11" x14ac:dyDescent="0.15">
      <c r="A22" s="31" t="s">
        <v>166</v>
      </c>
      <c r="B22" s="32">
        <f>B21*6</f>
        <v>643.64520000000005</v>
      </c>
      <c r="C22" s="32">
        <f t="shared" ref="C22:G22" si="1">C21*6</f>
        <v>655.89120000000003</v>
      </c>
      <c r="D22" s="32">
        <f t="shared" si="1"/>
        <v>655.89120000000003</v>
      </c>
      <c r="E22" s="32">
        <f t="shared" si="1"/>
        <v>698.04239999999993</v>
      </c>
      <c r="F22" s="32">
        <f t="shared" si="1"/>
        <v>632.298</v>
      </c>
      <c r="G22" s="32">
        <f t="shared" si="1"/>
        <v>865.44</v>
      </c>
      <c r="H22" s="40"/>
      <c r="I22" s="40"/>
      <c r="J22" s="40"/>
      <c r="K22" s="40"/>
    </row>
    <row r="23" spans="1:11" x14ac:dyDescent="0.1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</row>
    <row r="24" spans="1:11" x14ac:dyDescent="0.15">
      <c r="A24" s="27" t="s">
        <v>28</v>
      </c>
      <c r="B24" s="29" t="s">
        <v>212</v>
      </c>
      <c r="C24" s="29" t="s">
        <v>1</v>
      </c>
      <c r="D24" s="29" t="s">
        <v>80</v>
      </c>
      <c r="E24" s="24"/>
      <c r="F24" s="24"/>
      <c r="G24" s="24"/>
      <c r="H24" s="24"/>
      <c r="I24" s="24"/>
      <c r="J24" s="24"/>
      <c r="K24" s="24"/>
    </row>
    <row r="25" spans="1:11" x14ac:dyDescent="0.15">
      <c r="A25" s="24" t="s">
        <v>215</v>
      </c>
      <c r="B25" s="30">
        <f>IF($E5&lt;'Jul''10 Actew'!E7,('Bills Jul''10'!$E5*'Jul''10 Actew'!E8/100),('Jul''10 Actew'!E7*'Jul''10 Actew'!E8/100))</f>
        <v>69.071804999999998</v>
      </c>
      <c r="C25" s="30">
        <f>IF($E5&lt;'Jul''10 Actew'!F7,('Bills Jul''10'!$E5*'Jul''10 Actew'!F8/100),('Jul''10 Actew'!F7*'Jul''10 Actew'!F8/100))</f>
        <v>47.635280000000002</v>
      </c>
      <c r="D25" s="30">
        <f>E5*'Jul''10 Actew'!G8/100</f>
        <v>78.451999999999998</v>
      </c>
      <c r="E25" s="24"/>
      <c r="F25" s="24"/>
      <c r="G25" s="24"/>
      <c r="H25" s="24"/>
      <c r="I25" s="24"/>
      <c r="J25" s="24"/>
      <c r="K25" s="24"/>
    </row>
    <row r="26" spans="1:11" x14ac:dyDescent="0.15">
      <c r="A26" s="24" t="s">
        <v>95</v>
      </c>
      <c r="B26" s="30">
        <f>IF($E5&gt;'Jul''10 Actew'!E7,('Bills Jul''10'!$E5-'Jul''10 Actew'!E7)*'Jul''10 Actew'!E9/100,0)</f>
        <v>6.8310550000000001</v>
      </c>
      <c r="C26" s="30">
        <f>IF($E5&gt;'Jul''10 Actew'!F7,('Bills Jul''10'!$E5-'Jul''10 Actew'!F7)*'Jul''10 Actew'!F9/100,0)</f>
        <v>18.166719999999998</v>
      </c>
      <c r="D26" s="30">
        <v>0</v>
      </c>
      <c r="E26" s="24"/>
      <c r="F26" s="24"/>
      <c r="G26" s="24"/>
      <c r="H26" s="24"/>
      <c r="I26" s="24"/>
      <c r="J26" s="24"/>
      <c r="K26" s="24"/>
    </row>
    <row r="27" spans="1:11" x14ac:dyDescent="0.15">
      <c r="A27" s="24" t="s">
        <v>132</v>
      </c>
      <c r="B27" s="30">
        <f>'Jul''10 Actew'!E10*60/100</f>
        <v>35.296800000000005</v>
      </c>
      <c r="C27" s="30">
        <f>'Jul''10 Actew'!F10*60/100</f>
        <v>38.590199999999996</v>
      </c>
      <c r="D27" s="30">
        <f>'Jul''10 Actew'!G10*60/100</f>
        <v>31.765799999999999</v>
      </c>
      <c r="E27" s="24"/>
      <c r="F27" s="24"/>
      <c r="G27" s="24"/>
      <c r="H27" s="24"/>
      <c r="I27" s="24"/>
      <c r="J27" s="24"/>
      <c r="K27" s="24"/>
    </row>
    <row r="28" spans="1:11" x14ac:dyDescent="0.15">
      <c r="A28" s="24" t="s">
        <v>116</v>
      </c>
      <c r="B28" s="30">
        <f>SUM(B25:B27)</f>
        <v>111.19966000000001</v>
      </c>
      <c r="C28" s="30">
        <f>SUM(C25:C27)</f>
        <v>104.39219999999999</v>
      </c>
      <c r="D28" s="30">
        <f>SUM(D25:D27)</f>
        <v>110.2178</v>
      </c>
      <c r="E28" s="24"/>
      <c r="F28" s="24"/>
      <c r="G28" s="24"/>
      <c r="H28" s="24"/>
      <c r="I28" s="24"/>
      <c r="J28" s="24"/>
      <c r="K28" s="24"/>
    </row>
    <row r="29" spans="1:11" x14ac:dyDescent="0.15">
      <c r="A29" s="31" t="s">
        <v>166</v>
      </c>
      <c r="B29" s="32">
        <f>B28*6</f>
        <v>667.19796000000008</v>
      </c>
      <c r="C29" s="41">
        <f>C28*6</f>
        <v>626.3531999999999</v>
      </c>
      <c r="D29" s="41">
        <f>D28*6</f>
        <v>661.30679999999995</v>
      </c>
      <c r="E29" s="40"/>
      <c r="F29" s="40"/>
      <c r="G29" s="40"/>
      <c r="H29" s="40"/>
      <c r="I29" s="40"/>
      <c r="J29" s="40"/>
      <c r="K29" s="40"/>
    </row>
    <row r="30" spans="1:11" x14ac:dyDescent="0.1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</row>
    <row r="31" spans="1:11" x14ac:dyDescent="0.15">
      <c r="A31" s="27" t="s">
        <v>29</v>
      </c>
      <c r="B31" s="29" t="s">
        <v>138</v>
      </c>
      <c r="C31" s="29" t="s">
        <v>109</v>
      </c>
      <c r="D31" s="24"/>
      <c r="E31" s="24"/>
      <c r="F31" s="24"/>
      <c r="G31" s="24"/>
      <c r="H31" s="24"/>
      <c r="I31" s="24"/>
      <c r="J31" s="24"/>
      <c r="K31" s="24"/>
    </row>
    <row r="32" spans="1:11" x14ac:dyDescent="0.15">
      <c r="A32" s="24" t="s">
        <v>86</v>
      </c>
      <c r="B32" s="30">
        <f>IF($E5&gt;'Jul''10 Origin'!E9,('Jul''10 Origin'!E9*'Jul''10 Origin'!E10/100),('Bills Jul''10'!$E5*'Jul''10 Origin'!E10/100))</f>
        <v>49.970800000000011</v>
      </c>
      <c r="C32" s="30">
        <f>$E5*'Jul''10 Origin'!F10/100</f>
        <v>79.116399999999999</v>
      </c>
      <c r="D32" s="24"/>
      <c r="E32" s="24"/>
      <c r="F32" s="24"/>
      <c r="G32" s="24"/>
      <c r="H32" s="24"/>
      <c r="I32" s="24"/>
      <c r="J32" s="24"/>
      <c r="K32" s="24"/>
    </row>
    <row r="33" spans="1:11" x14ac:dyDescent="0.15">
      <c r="A33" s="24" t="s">
        <v>78</v>
      </c>
      <c r="B33" s="30">
        <f>IF($E5&gt;'Jul''10 Origin'!E9,('Bills Jul''10'!$E5-'Jul''10 Origin'!E9)*'Jul''10 Origin'!E11/100,0)</f>
        <v>0</v>
      </c>
      <c r="C33" s="24">
        <v>0</v>
      </c>
      <c r="D33" s="24"/>
      <c r="E33" s="24"/>
      <c r="F33" s="24"/>
      <c r="G33" s="24"/>
      <c r="H33" s="24"/>
      <c r="I33" s="24"/>
      <c r="J33" s="24"/>
      <c r="K33" s="24"/>
    </row>
    <row r="34" spans="1:11" x14ac:dyDescent="0.15">
      <c r="A34" s="24" t="s">
        <v>79</v>
      </c>
      <c r="B34" s="30">
        <f>IF($E5&gt;'Jul''10 Origin'!E9,'Jul''10 Origin'!E9*'Jul''10 Origin'!E12/100,'Bills Jul''10'!$E5*'Jul''10 Origin'!E12/100)</f>
        <v>46.767600000000002</v>
      </c>
      <c r="C34" s="24">
        <v>0</v>
      </c>
      <c r="D34" s="24"/>
      <c r="E34" s="24"/>
      <c r="F34" s="24"/>
      <c r="G34" s="24"/>
      <c r="H34" s="24"/>
      <c r="I34" s="24"/>
      <c r="J34" s="24"/>
      <c r="K34" s="24"/>
    </row>
    <row r="35" spans="1:11" x14ac:dyDescent="0.15">
      <c r="A35" s="24" t="s">
        <v>4</v>
      </c>
      <c r="B35" s="30">
        <f>IF($E5&gt;'Jul''10 Origin'!E9,('Bills Jul''10'!E5-'Jul''10 Origin'!E9)*'Jul''10 Origin'!E13/100,0)</f>
        <v>0</v>
      </c>
      <c r="C35" s="24">
        <v>0</v>
      </c>
      <c r="D35" s="24"/>
      <c r="E35" s="24"/>
      <c r="F35" s="24"/>
      <c r="G35" s="24"/>
      <c r="H35" s="24"/>
      <c r="I35" s="24"/>
      <c r="J35" s="24"/>
      <c r="K35" s="24"/>
    </row>
    <row r="36" spans="1:11" x14ac:dyDescent="0.15">
      <c r="A36" s="24" t="s">
        <v>132</v>
      </c>
      <c r="B36" s="30">
        <f>'Jul''10 Origin'!E14*60/100</f>
        <v>25.2516</v>
      </c>
      <c r="C36" s="30">
        <f>'Jul''10 Origin'!F14*60/100</f>
        <v>29.634</v>
      </c>
      <c r="D36" s="24"/>
      <c r="E36" s="24"/>
      <c r="F36" s="24"/>
      <c r="G36" s="24"/>
      <c r="H36" s="24"/>
      <c r="I36" s="24"/>
      <c r="J36" s="24"/>
      <c r="K36" s="24"/>
    </row>
    <row r="37" spans="1:11" x14ac:dyDescent="0.15">
      <c r="A37" s="24" t="s">
        <v>116</v>
      </c>
      <c r="B37" s="42" t="s">
        <v>211</v>
      </c>
      <c r="C37" s="30">
        <f>SUM(C32:C36)</f>
        <v>108.7504</v>
      </c>
      <c r="D37" s="24"/>
      <c r="E37" s="24"/>
      <c r="F37" s="24"/>
      <c r="G37" s="24"/>
      <c r="H37" s="24"/>
      <c r="I37" s="24"/>
      <c r="J37" s="24"/>
      <c r="K37" s="24"/>
    </row>
    <row r="38" spans="1:11" x14ac:dyDescent="0.15">
      <c r="A38" s="31" t="s">
        <v>166</v>
      </c>
      <c r="B38" s="32">
        <f>(B32*2)+(B33*2)+(B34*4)+(B35*4)+(B36*6)</f>
        <v>438.52160000000003</v>
      </c>
      <c r="C38" s="32">
        <f>C37*6</f>
        <v>652.50239999999997</v>
      </c>
      <c r="D38" s="40"/>
      <c r="E38" s="40"/>
      <c r="F38" s="40"/>
      <c r="G38" s="40"/>
      <c r="H38" s="40"/>
      <c r="I38" s="40"/>
      <c r="J38" s="40"/>
      <c r="K38" s="40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P35"/>
  <sheetViews>
    <sheetView zoomScale="125" workbookViewId="0">
      <selection activeCell="D22" sqref="D22"/>
    </sheetView>
  </sheetViews>
  <sheetFormatPr baseColWidth="10" defaultRowHeight="13" x14ac:dyDescent="0.15"/>
  <cols>
    <col min="1" max="1" width="32.5" style="24" customWidth="1"/>
    <col min="2" max="9" width="10" style="24" customWidth="1"/>
    <col min="10" max="10" width="12.83203125" style="24" customWidth="1"/>
    <col min="11" max="14" width="10" style="24" customWidth="1"/>
    <col min="15" max="15" width="12.83203125" style="24" customWidth="1"/>
    <col min="16" max="16" width="7.5" style="24" customWidth="1"/>
    <col min="17" max="16384" width="10.83203125" style="24"/>
  </cols>
  <sheetData>
    <row r="1" spans="1:16" x14ac:dyDescent="0.15">
      <c r="A1" s="23" t="s">
        <v>66</v>
      </c>
    </row>
    <row r="2" spans="1:16" x14ac:dyDescent="0.15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16" x14ac:dyDescent="0.15">
      <c r="A3" s="26" t="s">
        <v>283</v>
      </c>
    </row>
    <row r="5" spans="1:16" x14ac:dyDescent="0.15">
      <c r="A5" s="27" t="s">
        <v>276</v>
      </c>
      <c r="B5" s="27" t="s">
        <v>81</v>
      </c>
      <c r="E5" s="37">
        <v>4000</v>
      </c>
    </row>
    <row r="6" spans="1:16" x14ac:dyDescent="0.15">
      <c r="B6" s="28" t="s">
        <v>146</v>
      </c>
      <c r="C6" s="28"/>
      <c r="D6" s="28"/>
      <c r="E6" s="28"/>
      <c r="F6" s="28"/>
      <c r="H6" s="28"/>
      <c r="I6" s="28"/>
      <c r="J6" s="28"/>
      <c r="K6" s="28"/>
      <c r="L6" s="28"/>
    </row>
    <row r="8" spans="1:16" x14ac:dyDescent="0.15">
      <c r="A8" s="27" t="s">
        <v>115</v>
      </c>
      <c r="B8" s="29" t="s">
        <v>133</v>
      </c>
    </row>
    <row r="9" spans="1:16" x14ac:dyDescent="0.15">
      <c r="A9" s="24" t="s">
        <v>215</v>
      </c>
      <c r="B9" s="30">
        <f>IF($E5&lt;'Jul''09 AGL'!E7,('Bills Jul''09'!$E5*'Jul''09 AGL'!E8/100),('Jul''09 AGL'!E7*'Jul''09 AGL'!E8/100))</f>
        <v>68.416700000000006</v>
      </c>
    </row>
    <row r="10" spans="1:16" x14ac:dyDescent="0.15">
      <c r="A10" s="24" t="s">
        <v>95</v>
      </c>
      <c r="B10" s="30">
        <f>IF($E5&gt;'Jul''09 AGL'!E7,('Bills Jul''09'!$E5-'Jul''09 AGL'!E7)*'Jul''09 AGL'!E9/100,0)</f>
        <v>5.1974999999999998</v>
      </c>
    </row>
    <row r="11" spans="1:16" x14ac:dyDescent="0.15">
      <c r="A11" s="24" t="s">
        <v>132</v>
      </c>
      <c r="B11" s="30">
        <f>'Jul''09 AGL'!E10*60/100</f>
        <v>31.825199999999999</v>
      </c>
    </row>
    <row r="12" spans="1:16" x14ac:dyDescent="0.15">
      <c r="A12" s="24" t="s">
        <v>116</v>
      </c>
      <c r="B12" s="30">
        <f>SUM(B9:B11)</f>
        <v>105.43940000000001</v>
      </c>
    </row>
    <row r="13" spans="1:16" x14ac:dyDescent="0.15">
      <c r="A13" s="31" t="s">
        <v>166</v>
      </c>
      <c r="B13" s="32">
        <f>B12*6</f>
        <v>632.63640000000009</v>
      </c>
      <c r="C13" s="40"/>
      <c r="D13" s="40"/>
      <c r="E13" s="40"/>
      <c r="F13" s="40"/>
      <c r="G13" s="40"/>
      <c r="H13" s="40"/>
      <c r="I13" s="40"/>
      <c r="J13" s="40"/>
      <c r="K13" s="40"/>
    </row>
    <row r="15" spans="1:16" x14ac:dyDescent="0.15">
      <c r="A15" s="27" t="s">
        <v>177</v>
      </c>
      <c r="B15" s="29" t="s">
        <v>56</v>
      </c>
      <c r="C15" s="33" t="s">
        <v>102</v>
      </c>
      <c r="D15" s="33" t="s">
        <v>173</v>
      </c>
      <c r="E15" s="33" t="s">
        <v>145</v>
      </c>
      <c r="F15" s="33" t="s">
        <v>131</v>
      </c>
      <c r="G15" s="33"/>
    </row>
    <row r="16" spans="1:16" x14ac:dyDescent="0.15">
      <c r="A16" s="24" t="s">
        <v>205</v>
      </c>
      <c r="B16" s="30">
        <f>$E5*'Jul''09 Country'!E7/100</f>
        <v>71.680000000000007</v>
      </c>
      <c r="C16" s="30">
        <f>$E5*'Jul''09 Country'!F7/100</f>
        <v>71.319999999999993</v>
      </c>
      <c r="D16" s="30">
        <f>$E5*'Jul''09 Country'!G7/100</f>
        <v>71.319999999999993</v>
      </c>
      <c r="E16" s="30">
        <f>$E5*'Jul''09 Country'!H7/100</f>
        <v>75.28</v>
      </c>
      <c r="F16" s="30">
        <f>$E5*'Jul''09 Country'!I7/100</f>
        <v>57.8</v>
      </c>
      <c r="G16" s="30"/>
    </row>
    <row r="17" spans="1:11" x14ac:dyDescent="0.15">
      <c r="A17" s="24" t="s">
        <v>132</v>
      </c>
      <c r="B17" s="30">
        <f>'Jul''09 Country'!E8*60/100</f>
        <v>31.642799999999998</v>
      </c>
      <c r="C17" s="30">
        <f>'Jul''09 Country'!F8*60/100</f>
        <v>34.693800000000003</v>
      </c>
      <c r="D17" s="30">
        <f>'Jul''09 Country'!G8*60/100</f>
        <v>34.693800000000003</v>
      </c>
      <c r="E17" s="30">
        <f>'Jul''09 Country'!H8*60/100</f>
        <v>36.606000000000002</v>
      </c>
      <c r="F17" s="30">
        <f>'Jul''09 Country'!I8*60/100</f>
        <v>39.559200000000004</v>
      </c>
      <c r="G17" s="30"/>
    </row>
    <row r="18" spans="1:11" x14ac:dyDescent="0.15">
      <c r="A18" s="24" t="s">
        <v>116</v>
      </c>
      <c r="B18" s="30">
        <f>SUM(B16:B17)</f>
        <v>103.3228</v>
      </c>
      <c r="C18" s="30">
        <f t="shared" ref="C18:F18" si="0">SUM(C16:C17)</f>
        <v>106.0138</v>
      </c>
      <c r="D18" s="30">
        <f t="shared" si="0"/>
        <v>106.0138</v>
      </c>
      <c r="E18" s="30">
        <f t="shared" si="0"/>
        <v>111.886</v>
      </c>
      <c r="F18" s="30">
        <f t="shared" si="0"/>
        <v>97.359200000000001</v>
      </c>
      <c r="G18" s="30"/>
    </row>
    <row r="19" spans="1:11" x14ac:dyDescent="0.15">
      <c r="A19" s="31" t="s">
        <v>166</v>
      </c>
      <c r="B19" s="32">
        <f>B18*6</f>
        <v>619.93679999999995</v>
      </c>
      <c r="C19" s="32">
        <f t="shared" ref="C19:F19" si="1">C18*6</f>
        <v>636.08280000000002</v>
      </c>
      <c r="D19" s="32">
        <f t="shared" si="1"/>
        <v>636.08280000000002</v>
      </c>
      <c r="E19" s="32">
        <f t="shared" si="1"/>
        <v>671.31600000000003</v>
      </c>
      <c r="F19" s="32">
        <f t="shared" si="1"/>
        <v>584.15520000000004</v>
      </c>
      <c r="G19" s="32"/>
      <c r="H19" s="40"/>
      <c r="I19" s="40"/>
      <c r="J19" s="40"/>
      <c r="K19" s="40"/>
    </row>
    <row r="21" spans="1:11" x14ac:dyDescent="0.15">
      <c r="A21" s="27" t="s">
        <v>28</v>
      </c>
      <c r="B21" s="29" t="s">
        <v>212</v>
      </c>
      <c r="C21" s="29" t="s">
        <v>1</v>
      </c>
      <c r="D21" s="29" t="s">
        <v>80</v>
      </c>
    </row>
    <row r="22" spans="1:11" x14ac:dyDescent="0.15">
      <c r="A22" s="24" t="s">
        <v>215</v>
      </c>
      <c r="B22" s="30">
        <f>IF($E5&lt;'Jul''09 Actew'!E7,('Bills Jul''09'!$E5*'Jul''09 Actew'!E8/100),('Jul''09 Actew'!E7*'Jul''09 Actew'!E8/100))</f>
        <v>64.777185000000003</v>
      </c>
      <c r="C22" s="30">
        <f>IF($E5&lt;'Jul''09 Actew'!F7,('Bills Jul''09'!$E5*'Jul''09 Actew'!F8/100),('Jul''09 Actew'!F7*'Jul''09 Actew'!F8/100))</f>
        <v>45.128160000000001</v>
      </c>
      <c r="D22" s="24">
        <f>E5*'Jul''09 Actew'!G8/100</f>
        <v>77.176000000000002</v>
      </c>
    </row>
    <row r="23" spans="1:11" x14ac:dyDescent="0.15">
      <c r="A23" s="24" t="s">
        <v>95</v>
      </c>
      <c r="B23" s="30">
        <f>IF($E5&gt;'Jul''09 Actew'!E7,('Bills Jul''09'!$E5-'Jul''09 Actew'!E7)*'Jul''09 Actew'!E9/100,0)</f>
        <v>6.8098799999999997</v>
      </c>
      <c r="C23" s="30">
        <f>IF($E5&gt;'Jul''09 Actew'!F7,('Bills Jul''09'!$E5-'Jul''09 Actew'!F7)*'Jul''09 Actew'!F9/100,0)</f>
        <v>18.166719999999998</v>
      </c>
      <c r="D23" s="30">
        <v>0</v>
      </c>
    </row>
    <row r="24" spans="1:11" x14ac:dyDescent="0.15">
      <c r="A24" s="24" t="s">
        <v>132</v>
      </c>
      <c r="B24" s="30">
        <f>'Jul''09 Actew'!E10*60/100</f>
        <v>32.623799999999996</v>
      </c>
      <c r="C24" s="30">
        <f>'Jul''09 Actew'!F10*60/100</f>
        <v>37.613399999999999</v>
      </c>
      <c r="D24" s="24">
        <f>'Jul''09 Actew'!G10*60/100</f>
        <v>30.340199999999999</v>
      </c>
    </row>
    <row r="25" spans="1:11" x14ac:dyDescent="0.15">
      <c r="A25" s="24" t="s">
        <v>116</v>
      </c>
      <c r="B25" s="30">
        <f>SUM(SUM(B22:B24))</f>
        <v>104.21086499999998</v>
      </c>
      <c r="C25" s="30">
        <f>SUM(SUM(C22:C24))</f>
        <v>100.90827999999999</v>
      </c>
      <c r="D25" s="30">
        <f>SUM(SUM(D22:D24))</f>
        <v>107.5162</v>
      </c>
    </row>
    <row r="26" spans="1:11" x14ac:dyDescent="0.15">
      <c r="A26" s="31" t="s">
        <v>166</v>
      </c>
      <c r="B26" s="32">
        <f>B25*6</f>
        <v>625.26518999999985</v>
      </c>
      <c r="C26" s="32">
        <f>C25*6</f>
        <v>605.44967999999994</v>
      </c>
      <c r="D26" s="32">
        <f>D25*6</f>
        <v>645.09719999999993</v>
      </c>
      <c r="E26" s="40"/>
      <c r="F26" s="40"/>
      <c r="G26" s="40"/>
      <c r="H26" s="40"/>
      <c r="I26" s="40"/>
      <c r="J26" s="40"/>
      <c r="K26" s="40"/>
    </row>
    <row r="28" spans="1:11" x14ac:dyDescent="0.15">
      <c r="A28" s="27" t="s">
        <v>29</v>
      </c>
      <c r="B28" s="29" t="s">
        <v>138</v>
      </c>
      <c r="C28" s="29" t="s">
        <v>109</v>
      </c>
    </row>
    <row r="29" spans="1:11" x14ac:dyDescent="0.15">
      <c r="A29" s="24" t="s">
        <v>208</v>
      </c>
      <c r="B29" s="30">
        <f>IF($E5&gt;'Jul''09 Origin'!E9,('Jul''09 Origin'!E9*'Jul''09 Origin'!E10/100),('Bills Jul''09'!$E5*'Jul''09 Origin'!E10/100))</f>
        <v>44.268000000000001</v>
      </c>
      <c r="C29" s="30">
        <f>$E5*'Jul''09 Origin'!F10/100</f>
        <v>77.48</v>
      </c>
    </row>
    <row r="30" spans="1:11" x14ac:dyDescent="0.15">
      <c r="A30" s="24" t="s">
        <v>78</v>
      </c>
      <c r="B30" s="30">
        <f>IF($E5&gt;'Jul''09 Origin'!E9,('Bills Jul''09'!$E5-'Jul''09 Origin'!E9)*'Jul''09 Origin'!E11/100,0)</f>
        <v>0</v>
      </c>
      <c r="C30" s="30">
        <v>0</v>
      </c>
    </row>
    <row r="31" spans="1:11" x14ac:dyDescent="0.15">
      <c r="A31" s="24" t="s">
        <v>79</v>
      </c>
      <c r="B31" s="30">
        <f>IF($E5&gt;'Jul''09 Origin'!E9,'Jul''09 Origin'!E9*'Jul''09 Origin'!E12/100,'Bills Jul''09'!$E5*'Jul''09 Origin'!E12/100)</f>
        <v>41.431999999999995</v>
      </c>
      <c r="C31" s="30">
        <v>0</v>
      </c>
    </row>
    <row r="32" spans="1:11" x14ac:dyDescent="0.15">
      <c r="A32" s="24" t="s">
        <v>4</v>
      </c>
      <c r="B32" s="30">
        <f>IF($E5&gt;'Jul''09 Origin'!E9,('Bills Jul''09'!E5-'Jul''09 Origin'!E9)*'Jul''09 Origin'!E13/100,0)</f>
        <v>0</v>
      </c>
      <c r="C32" s="30">
        <v>0</v>
      </c>
    </row>
    <row r="33" spans="1:11" x14ac:dyDescent="0.15">
      <c r="A33" s="24" t="s">
        <v>132</v>
      </c>
      <c r="B33" s="30">
        <f>'Jul''09 Origin'!E14*60/100</f>
        <v>22.68</v>
      </c>
      <c r="C33" s="30">
        <f>'Jul''09 Origin'!F14*60/100</f>
        <v>29.447999999999997</v>
      </c>
    </row>
    <row r="34" spans="1:11" x14ac:dyDescent="0.15">
      <c r="A34" s="24" t="s">
        <v>116</v>
      </c>
      <c r="B34" s="36" t="s">
        <v>167</v>
      </c>
      <c r="C34" s="30">
        <f>SUM(C29:C33)</f>
        <v>106.928</v>
      </c>
    </row>
    <row r="35" spans="1:11" x14ac:dyDescent="0.15">
      <c r="A35" s="31" t="s">
        <v>166</v>
      </c>
      <c r="B35" s="32">
        <f>(B29*2)+(B30*2)+(B31*4)+(B32*4)+(B33*6)</f>
        <v>390.34399999999994</v>
      </c>
      <c r="C35" s="32">
        <f>C34*6</f>
        <v>641.56799999999998</v>
      </c>
      <c r="D35" s="40"/>
      <c r="E35" s="40"/>
      <c r="F35" s="40"/>
      <c r="G35" s="40"/>
      <c r="H35" s="40"/>
      <c r="I35" s="40"/>
      <c r="J35" s="40"/>
      <c r="K35" s="40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F757E-FFA1-494F-AF99-9CB7091EAF8C}">
  <sheetPr codeName="Sheet52"/>
  <dimension ref="A1:AK39"/>
  <sheetViews>
    <sheetView zoomScale="140" zoomScaleNormal="140" workbookViewId="0">
      <pane xSplit="7" ySplit="1" topLeftCell="H2" activePane="bottomRight" state="frozen"/>
      <selection activeCell="E17" sqref="E17"/>
      <selection pane="topRight" activeCell="E17" sqref="E17"/>
      <selection pane="bottomLeft" activeCell="E17" sqref="E17"/>
      <selection pane="bottomRight" activeCell="H41" sqref="H41:I43"/>
    </sheetView>
  </sheetViews>
  <sheetFormatPr baseColWidth="10" defaultRowHeight="13" x14ac:dyDescent="0.15"/>
  <cols>
    <col min="1" max="1" width="6.1640625" customWidth="1"/>
    <col min="3" max="3" width="6.33203125" customWidth="1"/>
    <col min="4" max="4" width="24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7" ht="42" x14ac:dyDescent="0.15">
      <c r="A1" s="112" t="s">
        <v>234</v>
      </c>
      <c r="B1" s="112" t="s">
        <v>235</v>
      </c>
      <c r="C1" s="113" t="s">
        <v>236</v>
      </c>
      <c r="D1" s="114" t="s">
        <v>237</v>
      </c>
      <c r="E1" s="112" t="s">
        <v>192</v>
      </c>
      <c r="F1" s="113" t="s">
        <v>239</v>
      </c>
      <c r="G1" s="114" t="s">
        <v>240</v>
      </c>
      <c r="H1" s="115" t="s">
        <v>241</v>
      </c>
      <c r="I1" s="116" t="s">
        <v>242</v>
      </c>
      <c r="J1" s="116" t="s">
        <v>243</v>
      </c>
      <c r="K1" s="116" t="s">
        <v>244</v>
      </c>
      <c r="L1" s="116" t="s">
        <v>245</v>
      </c>
      <c r="M1" s="116" t="s">
        <v>246</v>
      </c>
      <c r="N1" s="117" t="s">
        <v>247</v>
      </c>
      <c r="O1" s="118" t="s">
        <v>248</v>
      </c>
      <c r="P1" s="118" t="s">
        <v>249</v>
      </c>
      <c r="Q1" s="118" t="s">
        <v>226</v>
      </c>
      <c r="R1" s="118" t="s">
        <v>285</v>
      </c>
      <c r="S1" s="118" t="s">
        <v>286</v>
      </c>
      <c r="T1" s="119" t="s">
        <v>287</v>
      </c>
      <c r="U1" s="120" t="s">
        <v>288</v>
      </c>
      <c r="V1" s="120" t="s">
        <v>289</v>
      </c>
      <c r="W1" s="120" t="s">
        <v>290</v>
      </c>
      <c r="X1" s="120" t="s">
        <v>148</v>
      </c>
      <c r="Y1" s="120" t="s">
        <v>149</v>
      </c>
      <c r="Z1" s="121" t="s">
        <v>150</v>
      </c>
      <c r="AA1" s="122" t="s">
        <v>151</v>
      </c>
      <c r="AB1" s="122" t="s">
        <v>152</v>
      </c>
      <c r="AC1" s="122" t="s">
        <v>153</v>
      </c>
      <c r="AD1" s="122" t="s">
        <v>154</v>
      </c>
      <c r="AE1" s="122" t="s">
        <v>267</v>
      </c>
      <c r="AF1" s="123" t="s">
        <v>268</v>
      </c>
      <c r="AG1" s="124" t="s">
        <v>269</v>
      </c>
      <c r="AH1" s="124" t="s">
        <v>270</v>
      </c>
      <c r="AI1" s="124" t="s">
        <v>271</v>
      </c>
      <c r="AJ1" s="125" t="s">
        <v>272</v>
      </c>
    </row>
    <row r="2" spans="1:37" x14ac:dyDescent="0.15">
      <c r="A2" s="213">
        <v>2095</v>
      </c>
      <c r="B2" s="214">
        <v>43656</v>
      </c>
      <c r="C2" s="212" t="s">
        <v>334</v>
      </c>
      <c r="D2" s="213" t="s">
        <v>355</v>
      </c>
      <c r="E2" s="214">
        <v>43648</v>
      </c>
      <c r="F2" s="212" t="s">
        <v>133</v>
      </c>
      <c r="G2" s="213" t="s">
        <v>380</v>
      </c>
      <c r="H2" s="218">
        <v>65.8</v>
      </c>
      <c r="I2" s="216" t="s">
        <v>323</v>
      </c>
      <c r="J2" s="217">
        <v>1200</v>
      </c>
      <c r="K2" s="217">
        <v>2400</v>
      </c>
      <c r="L2" s="217">
        <v>5400</v>
      </c>
      <c r="M2" s="217">
        <v>165400</v>
      </c>
      <c r="N2" s="217">
        <v>832000</v>
      </c>
      <c r="O2" s="218">
        <v>4.2818181818181813</v>
      </c>
      <c r="P2" s="218">
        <v>3.3181818181818179</v>
      </c>
      <c r="Q2" s="218">
        <v>3.2090909090909085</v>
      </c>
      <c r="R2" s="218">
        <v>3.1090909090909089</v>
      </c>
      <c r="S2" s="218">
        <v>2.8818181818181814</v>
      </c>
      <c r="T2" s="218">
        <v>2.5818181818181816</v>
      </c>
      <c r="U2" s="233" t="s">
        <v>370</v>
      </c>
      <c r="V2" s="233" t="s">
        <v>370</v>
      </c>
      <c r="W2" s="233" t="s">
        <v>370</v>
      </c>
      <c r="X2" s="233" t="s">
        <v>370</v>
      </c>
      <c r="Y2" s="233" t="s">
        <v>370</v>
      </c>
      <c r="Z2" s="233" t="s">
        <v>370</v>
      </c>
      <c r="AA2" s="233" t="s">
        <v>370</v>
      </c>
      <c r="AB2" s="233" t="s">
        <v>370</v>
      </c>
      <c r="AC2" s="233" t="s">
        <v>370</v>
      </c>
      <c r="AD2" s="233" t="s">
        <v>370</v>
      </c>
      <c r="AE2" s="233" t="s">
        <v>370</v>
      </c>
      <c r="AF2" s="233" t="s">
        <v>370</v>
      </c>
      <c r="AG2" s="219" t="s">
        <v>371</v>
      </c>
      <c r="AH2" s="219"/>
      <c r="AI2" s="219"/>
      <c r="AJ2" s="219"/>
      <c r="AK2" s="212" t="s">
        <v>506</v>
      </c>
    </row>
    <row r="3" spans="1:37" x14ac:dyDescent="0.15">
      <c r="A3" s="213">
        <v>1088</v>
      </c>
      <c r="B3" s="214">
        <v>43656</v>
      </c>
      <c r="C3" s="212" t="s">
        <v>334</v>
      </c>
      <c r="D3" s="213" t="s">
        <v>355</v>
      </c>
      <c r="E3" s="214">
        <v>43593</v>
      </c>
      <c r="F3" s="212" t="s">
        <v>328</v>
      </c>
      <c r="G3" s="213" t="s">
        <v>302</v>
      </c>
      <c r="H3" s="218">
        <v>67</v>
      </c>
      <c r="I3" s="216" t="s">
        <v>323</v>
      </c>
      <c r="J3" s="217">
        <v>1200</v>
      </c>
      <c r="K3" s="217">
        <v>2400</v>
      </c>
      <c r="L3" s="217">
        <v>5400</v>
      </c>
      <c r="M3" s="217">
        <v>165400</v>
      </c>
      <c r="N3" s="217">
        <v>832000</v>
      </c>
      <c r="O3" s="218">
        <v>5.5363636363636362</v>
      </c>
      <c r="P3" s="218">
        <v>4.4272727272727268</v>
      </c>
      <c r="Q3" s="218">
        <v>4.3</v>
      </c>
      <c r="R3" s="218">
        <v>4.2</v>
      </c>
      <c r="S3" s="218">
        <v>4</v>
      </c>
      <c r="T3" s="218">
        <v>3.8727272727272721</v>
      </c>
      <c r="U3" s="233" t="s">
        <v>370</v>
      </c>
      <c r="V3" s="233" t="s">
        <v>370</v>
      </c>
      <c r="W3" s="233" t="s">
        <v>370</v>
      </c>
      <c r="X3" s="233" t="s">
        <v>370</v>
      </c>
      <c r="Y3" s="233" t="s">
        <v>370</v>
      </c>
      <c r="Z3" s="233" t="s">
        <v>370</v>
      </c>
      <c r="AA3" s="233" t="s">
        <v>370</v>
      </c>
      <c r="AB3" s="233" t="s">
        <v>370</v>
      </c>
      <c r="AC3" s="233" t="s">
        <v>370</v>
      </c>
      <c r="AD3" s="233" t="s">
        <v>370</v>
      </c>
      <c r="AE3" s="233" t="s">
        <v>370</v>
      </c>
      <c r="AF3" s="233" t="s">
        <v>370</v>
      </c>
      <c r="AG3" s="219" t="s">
        <v>371</v>
      </c>
      <c r="AH3" s="213"/>
      <c r="AI3" s="213"/>
      <c r="AJ3" s="213"/>
      <c r="AK3" s="212" t="s">
        <v>507</v>
      </c>
    </row>
    <row r="4" spans="1:37" x14ac:dyDescent="0.15">
      <c r="A4" s="213">
        <v>2103</v>
      </c>
      <c r="B4" s="214">
        <v>43656</v>
      </c>
      <c r="C4" s="221" t="s">
        <v>334</v>
      </c>
      <c r="D4" s="213" t="s">
        <v>355</v>
      </c>
      <c r="E4" s="214">
        <v>43646</v>
      </c>
      <c r="F4" s="212" t="s">
        <v>372</v>
      </c>
      <c r="G4" s="213" t="s">
        <v>380</v>
      </c>
      <c r="H4" s="218">
        <v>61.081818181818171</v>
      </c>
      <c r="I4" s="216" t="s">
        <v>323</v>
      </c>
      <c r="J4" s="217">
        <v>1200</v>
      </c>
      <c r="K4" s="217">
        <v>2400</v>
      </c>
      <c r="L4" s="217">
        <v>5400</v>
      </c>
      <c r="M4" s="217">
        <v>165400</v>
      </c>
      <c r="N4" s="217">
        <v>832000</v>
      </c>
      <c r="O4" s="218">
        <v>5.4818181818181815</v>
      </c>
      <c r="P4" s="218">
        <v>3.627272727272727</v>
      </c>
      <c r="Q4" s="218">
        <v>3.3909090909090907</v>
      </c>
      <c r="R4" s="218">
        <v>3.3636363636363633</v>
      </c>
      <c r="S4" s="218">
        <v>3.2181818181818178</v>
      </c>
      <c r="T4" s="218">
        <v>2.6727272727272724</v>
      </c>
      <c r="U4" s="233" t="s">
        <v>370</v>
      </c>
      <c r="V4" s="233" t="s">
        <v>370</v>
      </c>
      <c r="W4" s="233" t="s">
        <v>370</v>
      </c>
      <c r="X4" s="233" t="s">
        <v>370</v>
      </c>
      <c r="Y4" s="233" t="s">
        <v>370</v>
      </c>
      <c r="Z4" s="233" t="s">
        <v>370</v>
      </c>
      <c r="AA4" s="233" t="s">
        <v>370</v>
      </c>
      <c r="AB4" s="233" t="s">
        <v>370</v>
      </c>
      <c r="AC4" s="233" t="s">
        <v>370</v>
      </c>
      <c r="AD4" s="233" t="s">
        <v>370</v>
      </c>
      <c r="AE4" s="233" t="s">
        <v>370</v>
      </c>
      <c r="AF4" s="233" t="s">
        <v>370</v>
      </c>
      <c r="AG4" s="219" t="s">
        <v>371</v>
      </c>
      <c r="AH4" s="219"/>
      <c r="AI4" s="219"/>
      <c r="AJ4" s="219"/>
      <c r="AK4" s="212" t="s">
        <v>508</v>
      </c>
    </row>
    <row r="5" spans="1:37" x14ac:dyDescent="0.15">
      <c r="A5" s="213">
        <v>2106</v>
      </c>
      <c r="B5" s="214">
        <v>43656</v>
      </c>
      <c r="C5" s="221" t="s">
        <v>334</v>
      </c>
      <c r="D5" s="213" t="s">
        <v>355</v>
      </c>
      <c r="E5" s="214">
        <v>43646</v>
      </c>
      <c r="F5" s="212" t="s">
        <v>373</v>
      </c>
      <c r="G5" s="213" t="s">
        <v>380</v>
      </c>
      <c r="H5" s="218">
        <v>73.900000000000006</v>
      </c>
      <c r="I5" s="216" t="s">
        <v>323</v>
      </c>
      <c r="J5" s="217">
        <v>1200</v>
      </c>
      <c r="K5" s="217">
        <v>2400</v>
      </c>
      <c r="L5" s="217">
        <v>5400</v>
      </c>
      <c r="M5" s="217">
        <v>165400</v>
      </c>
      <c r="N5" s="217">
        <v>832000</v>
      </c>
      <c r="O5" s="218">
        <v>4.9545454545454541</v>
      </c>
      <c r="P5" s="218">
        <v>3.5090909090909088</v>
      </c>
      <c r="Q5" s="218">
        <v>3.3909090909090907</v>
      </c>
      <c r="R5" s="218">
        <v>3.2454545454545451</v>
      </c>
      <c r="S5" s="218">
        <v>3.1727272727272728</v>
      </c>
      <c r="T5" s="218">
        <v>2.9272727272727272</v>
      </c>
      <c r="U5" s="233" t="s">
        <v>370</v>
      </c>
      <c r="V5" s="233" t="s">
        <v>370</v>
      </c>
      <c r="W5" s="233" t="s">
        <v>370</v>
      </c>
      <c r="X5" s="233" t="s">
        <v>370</v>
      </c>
      <c r="Y5" s="233" t="s">
        <v>370</v>
      </c>
      <c r="Z5" s="233" t="s">
        <v>370</v>
      </c>
      <c r="AA5" s="233" t="s">
        <v>370</v>
      </c>
      <c r="AB5" s="233" t="s">
        <v>370</v>
      </c>
      <c r="AC5" s="233" t="s">
        <v>370</v>
      </c>
      <c r="AD5" s="233" t="s">
        <v>370</v>
      </c>
      <c r="AE5" s="233" t="s">
        <v>370</v>
      </c>
      <c r="AF5" s="233" t="s">
        <v>370</v>
      </c>
      <c r="AG5" s="219" t="s">
        <v>371</v>
      </c>
      <c r="AH5" s="213"/>
      <c r="AI5" s="213"/>
      <c r="AJ5" s="213"/>
      <c r="AK5" s="212" t="s">
        <v>509</v>
      </c>
    </row>
    <row r="6" spans="1:37" x14ac:dyDescent="0.15">
      <c r="A6" s="213">
        <v>2149</v>
      </c>
      <c r="B6" s="214">
        <v>43656</v>
      </c>
      <c r="C6" s="221" t="s">
        <v>334</v>
      </c>
      <c r="D6" s="213" t="s">
        <v>355</v>
      </c>
      <c r="E6" s="214">
        <v>43646</v>
      </c>
      <c r="F6" s="212" t="s">
        <v>374</v>
      </c>
      <c r="G6" s="213" t="s">
        <v>380</v>
      </c>
      <c r="H6" s="218">
        <v>68.699999999999989</v>
      </c>
      <c r="I6" s="216" t="s">
        <v>323</v>
      </c>
      <c r="J6" s="217">
        <v>1200</v>
      </c>
      <c r="K6" s="217">
        <v>165400</v>
      </c>
      <c r="L6" s="217">
        <v>165400</v>
      </c>
      <c r="M6" s="217">
        <v>165400</v>
      </c>
      <c r="N6" s="217">
        <v>165400</v>
      </c>
      <c r="O6" s="218">
        <v>4.4727272727272727</v>
      </c>
      <c r="P6" s="218">
        <v>2.9454545454545453</v>
      </c>
      <c r="Q6" s="218">
        <v>2.6545454545454543</v>
      </c>
      <c r="R6" s="218">
        <v>2.6545454545454543</v>
      </c>
      <c r="S6" s="218">
        <v>2.6545454545454543</v>
      </c>
      <c r="T6" s="218">
        <v>2.6545454545454543</v>
      </c>
      <c r="U6" s="233" t="s">
        <v>370</v>
      </c>
      <c r="V6" s="233" t="s">
        <v>370</v>
      </c>
      <c r="W6" s="233" t="s">
        <v>370</v>
      </c>
      <c r="X6" s="233" t="s">
        <v>370</v>
      </c>
      <c r="Y6" s="233" t="s">
        <v>370</v>
      </c>
      <c r="Z6" s="233" t="s">
        <v>370</v>
      </c>
      <c r="AA6" s="233" t="s">
        <v>370</v>
      </c>
      <c r="AB6" s="233" t="s">
        <v>370</v>
      </c>
      <c r="AC6" s="233" t="s">
        <v>370</v>
      </c>
      <c r="AD6" s="233" t="s">
        <v>370</v>
      </c>
      <c r="AE6" s="233" t="s">
        <v>370</v>
      </c>
      <c r="AF6" s="233" t="s">
        <v>370</v>
      </c>
      <c r="AG6" s="219" t="s">
        <v>371</v>
      </c>
      <c r="AH6" s="219"/>
      <c r="AI6" s="219"/>
      <c r="AJ6" s="219"/>
      <c r="AK6" s="220" t="s">
        <v>510</v>
      </c>
    </row>
    <row r="7" spans="1:37" x14ac:dyDescent="0.15">
      <c r="A7" s="213">
        <v>876</v>
      </c>
      <c r="B7" s="214">
        <v>43656</v>
      </c>
      <c r="C7" s="221" t="s">
        <v>334</v>
      </c>
      <c r="D7" s="213" t="s">
        <v>355</v>
      </c>
      <c r="E7" s="214">
        <v>43646</v>
      </c>
      <c r="F7" s="212" t="s">
        <v>327</v>
      </c>
      <c r="G7" s="213" t="s">
        <v>380</v>
      </c>
      <c r="H7" s="218">
        <v>75</v>
      </c>
      <c r="I7" s="216" t="s">
        <v>323</v>
      </c>
      <c r="J7" s="217">
        <v>1200</v>
      </c>
      <c r="K7" s="217">
        <v>2400</v>
      </c>
      <c r="L7" s="217">
        <v>5400</v>
      </c>
      <c r="M7" s="217">
        <v>165400</v>
      </c>
      <c r="N7" s="217">
        <v>165400</v>
      </c>
      <c r="O7" s="218">
        <v>4.3818181818181818</v>
      </c>
      <c r="P7" s="218">
        <v>3.5545454545454542</v>
      </c>
      <c r="Q7" s="218">
        <v>2.7363636363636359</v>
      </c>
      <c r="R7" s="218">
        <v>2.6363636363636362</v>
      </c>
      <c r="S7" s="218">
        <v>2.5545454545454542</v>
      </c>
      <c r="T7" s="218">
        <v>2.5545454545454542</v>
      </c>
      <c r="U7" s="233" t="s">
        <v>370</v>
      </c>
      <c r="V7" s="233" t="s">
        <v>370</v>
      </c>
      <c r="W7" s="233" t="s">
        <v>370</v>
      </c>
      <c r="X7" s="233" t="s">
        <v>370</v>
      </c>
      <c r="Y7" s="233" t="s">
        <v>370</v>
      </c>
      <c r="Z7" s="233" t="s">
        <v>370</v>
      </c>
      <c r="AA7" s="233" t="s">
        <v>370</v>
      </c>
      <c r="AB7" s="233" t="s">
        <v>370</v>
      </c>
      <c r="AC7" s="233" t="s">
        <v>370</v>
      </c>
      <c r="AD7" s="233" t="s">
        <v>370</v>
      </c>
      <c r="AE7" s="233" t="s">
        <v>370</v>
      </c>
      <c r="AF7" s="233" t="s">
        <v>370</v>
      </c>
      <c r="AG7" s="219" t="s">
        <v>371</v>
      </c>
      <c r="AH7" s="213"/>
      <c r="AI7" s="213"/>
      <c r="AJ7" s="213"/>
      <c r="AK7" s="220" t="s">
        <v>511</v>
      </c>
    </row>
    <row r="8" spans="1:37" x14ac:dyDescent="0.15">
      <c r="A8" s="213">
        <v>1092</v>
      </c>
      <c r="B8" s="214">
        <v>43656</v>
      </c>
      <c r="C8" s="221" t="s">
        <v>334</v>
      </c>
      <c r="D8" s="213" t="s">
        <v>355</v>
      </c>
      <c r="E8" s="214">
        <v>43646</v>
      </c>
      <c r="F8" s="212" t="s">
        <v>376</v>
      </c>
      <c r="G8" s="213" t="s">
        <v>380</v>
      </c>
      <c r="H8" s="218">
        <v>56.318181818181813</v>
      </c>
      <c r="I8" s="216" t="s">
        <v>323</v>
      </c>
      <c r="J8" s="217">
        <v>1200</v>
      </c>
      <c r="K8" s="217">
        <v>2400</v>
      </c>
      <c r="L8" s="217">
        <v>5400</v>
      </c>
      <c r="M8" s="217">
        <v>165400</v>
      </c>
      <c r="N8" s="217">
        <v>832000</v>
      </c>
      <c r="O8" s="218">
        <v>5.8090909090909086</v>
      </c>
      <c r="P8" s="218">
        <v>3.8727272727272721</v>
      </c>
      <c r="Q8" s="218">
        <v>3.5818181818181816</v>
      </c>
      <c r="R8" s="218">
        <v>3.5545454545454542</v>
      </c>
      <c r="S8" s="218">
        <v>3.3727272727272726</v>
      </c>
      <c r="T8" s="218">
        <v>1.918181818181818</v>
      </c>
      <c r="U8" s="233" t="s">
        <v>370</v>
      </c>
      <c r="V8" s="233" t="s">
        <v>370</v>
      </c>
      <c r="W8" s="233" t="s">
        <v>370</v>
      </c>
      <c r="X8" s="233" t="s">
        <v>370</v>
      </c>
      <c r="Y8" s="233" t="s">
        <v>370</v>
      </c>
      <c r="Z8" s="233" t="s">
        <v>370</v>
      </c>
      <c r="AA8" s="233" t="s">
        <v>370</v>
      </c>
      <c r="AB8" s="233" t="s">
        <v>370</v>
      </c>
      <c r="AC8" s="233" t="s">
        <v>370</v>
      </c>
      <c r="AD8" s="233" t="s">
        <v>370</v>
      </c>
      <c r="AE8" s="233" t="s">
        <v>370</v>
      </c>
      <c r="AF8" s="233" t="s">
        <v>370</v>
      </c>
      <c r="AG8" s="219" t="s">
        <v>371</v>
      </c>
      <c r="AH8" s="219"/>
      <c r="AI8" s="219"/>
      <c r="AJ8" s="219"/>
      <c r="AK8" s="212" t="s">
        <v>512</v>
      </c>
    </row>
    <row r="9" spans="1:37" x14ac:dyDescent="0.15">
      <c r="A9" s="213"/>
      <c r="B9" s="214">
        <v>43656</v>
      </c>
      <c r="C9" s="221" t="s">
        <v>334</v>
      </c>
      <c r="D9" s="213" t="s">
        <v>355</v>
      </c>
      <c r="E9" s="214">
        <v>43646</v>
      </c>
      <c r="F9" s="212" t="s">
        <v>391</v>
      </c>
      <c r="G9" s="213" t="s">
        <v>380</v>
      </c>
      <c r="H9" s="218">
        <v>82.518181818181802</v>
      </c>
      <c r="I9" s="216" t="s">
        <v>323</v>
      </c>
      <c r="J9" s="217">
        <v>1200</v>
      </c>
      <c r="K9" s="217">
        <v>2400</v>
      </c>
      <c r="L9" s="217">
        <v>5400</v>
      </c>
      <c r="M9" s="217">
        <v>165400</v>
      </c>
      <c r="N9" s="217">
        <v>832000</v>
      </c>
      <c r="O9" s="218">
        <v>5.9363636363636365</v>
      </c>
      <c r="P9" s="218">
        <v>4</v>
      </c>
      <c r="Q9" s="218">
        <v>3.9363636363636361</v>
      </c>
      <c r="R9" s="218">
        <v>3.7272727272727266</v>
      </c>
      <c r="S9" s="218">
        <v>3.6727272727272724</v>
      </c>
      <c r="T9" s="218">
        <v>3.5272727272727269</v>
      </c>
      <c r="U9" s="233" t="s">
        <v>370</v>
      </c>
      <c r="V9" s="233" t="s">
        <v>370</v>
      </c>
      <c r="W9" s="233" t="s">
        <v>370</v>
      </c>
      <c r="X9" s="233" t="s">
        <v>370</v>
      </c>
      <c r="Y9" s="233" t="s">
        <v>370</v>
      </c>
      <c r="Z9" s="233" t="s">
        <v>370</v>
      </c>
      <c r="AA9" s="233" t="s">
        <v>370</v>
      </c>
      <c r="AB9" s="233" t="s">
        <v>370</v>
      </c>
      <c r="AC9" s="233" t="s">
        <v>370</v>
      </c>
      <c r="AD9" s="233" t="s">
        <v>370</v>
      </c>
      <c r="AE9" s="233" t="s">
        <v>370</v>
      </c>
      <c r="AF9" s="233" t="s">
        <v>370</v>
      </c>
      <c r="AG9" s="219" t="s">
        <v>371</v>
      </c>
      <c r="AH9" s="219"/>
      <c r="AI9" s="219"/>
      <c r="AJ9" s="219"/>
      <c r="AK9" s="212" t="s">
        <v>513</v>
      </c>
    </row>
    <row r="10" spans="1:37" x14ac:dyDescent="0.15">
      <c r="A10" s="213"/>
      <c r="B10" s="214">
        <v>43656</v>
      </c>
      <c r="C10" s="221" t="s">
        <v>334</v>
      </c>
      <c r="D10" s="213" t="s">
        <v>355</v>
      </c>
      <c r="E10" s="214">
        <v>43646</v>
      </c>
      <c r="F10" s="212" t="s">
        <v>393</v>
      </c>
      <c r="G10" s="213" t="s">
        <v>380</v>
      </c>
      <c r="H10" s="218">
        <v>150</v>
      </c>
      <c r="I10" s="216" t="s">
        <v>323</v>
      </c>
      <c r="J10" s="255">
        <v>1200</v>
      </c>
      <c r="K10" s="255">
        <v>3670</v>
      </c>
      <c r="L10" s="255">
        <v>9090</v>
      </c>
      <c r="M10" s="255">
        <v>173790</v>
      </c>
      <c r="N10" s="255">
        <v>173790</v>
      </c>
      <c r="O10" s="218">
        <v>5.6999999999999993</v>
      </c>
      <c r="P10" s="218">
        <v>5.4</v>
      </c>
      <c r="Q10" s="218">
        <v>5.3</v>
      </c>
      <c r="R10" s="218">
        <v>5</v>
      </c>
      <c r="S10" s="218">
        <v>4.6999999999999993</v>
      </c>
      <c r="T10" s="218">
        <v>4.6999999999999993</v>
      </c>
      <c r="U10" s="233" t="s">
        <v>370</v>
      </c>
      <c r="V10" s="233" t="s">
        <v>370</v>
      </c>
      <c r="W10" s="233" t="s">
        <v>370</v>
      </c>
      <c r="X10" s="233" t="s">
        <v>370</v>
      </c>
      <c r="Y10" s="233" t="s">
        <v>370</v>
      </c>
      <c r="Z10" s="233" t="s">
        <v>370</v>
      </c>
      <c r="AA10" s="233" t="s">
        <v>370</v>
      </c>
      <c r="AB10" s="233" t="s">
        <v>370</v>
      </c>
      <c r="AC10" s="233" t="s">
        <v>370</v>
      </c>
      <c r="AD10" s="233" t="s">
        <v>370</v>
      </c>
      <c r="AE10" s="233" t="s">
        <v>370</v>
      </c>
      <c r="AF10" s="233" t="s">
        <v>370</v>
      </c>
      <c r="AG10" s="219" t="s">
        <v>371</v>
      </c>
      <c r="AH10" s="219"/>
      <c r="AI10" s="219"/>
      <c r="AJ10" s="219"/>
      <c r="AK10" s="212" t="s">
        <v>514</v>
      </c>
    </row>
    <row r="11" spans="1:37" x14ac:dyDescent="0.15">
      <c r="A11" s="213"/>
      <c r="B11" s="214">
        <v>43656</v>
      </c>
      <c r="C11" s="221" t="s">
        <v>334</v>
      </c>
      <c r="D11" s="213" t="s">
        <v>355</v>
      </c>
      <c r="E11" s="214">
        <v>43646</v>
      </c>
      <c r="F11" s="212" t="s">
        <v>395</v>
      </c>
      <c r="G11" s="213" t="s">
        <v>380</v>
      </c>
      <c r="H11" s="218">
        <v>62</v>
      </c>
      <c r="I11" s="216" t="s">
        <v>323</v>
      </c>
      <c r="J11" s="217">
        <v>1258</v>
      </c>
      <c r="K11" s="217">
        <v>1258</v>
      </c>
      <c r="L11" s="217">
        <v>1258</v>
      </c>
      <c r="M11" s="217">
        <v>1258</v>
      </c>
      <c r="N11" s="217">
        <v>1258</v>
      </c>
      <c r="O11" s="218">
        <v>6.6</v>
      </c>
      <c r="P11" s="218">
        <v>5.9999999999999991</v>
      </c>
      <c r="Q11" s="218">
        <v>5.9999999999999991</v>
      </c>
      <c r="R11" s="218">
        <v>5.9999999999999991</v>
      </c>
      <c r="S11" s="218">
        <v>5.9999999999999991</v>
      </c>
      <c r="T11" s="218">
        <v>5.9999999999999991</v>
      </c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33"/>
      <c r="AF11" s="233"/>
      <c r="AG11" s="219" t="s">
        <v>371</v>
      </c>
      <c r="AH11" s="219"/>
      <c r="AI11" s="219"/>
      <c r="AJ11" s="219"/>
      <c r="AK11" s="212" t="s">
        <v>515</v>
      </c>
    </row>
    <row r="12" spans="1:37" x14ac:dyDescent="0.15">
      <c r="A12" s="213" t="s">
        <v>516</v>
      </c>
      <c r="B12" s="214">
        <v>43656</v>
      </c>
      <c r="C12" s="221" t="s">
        <v>334</v>
      </c>
      <c r="D12" s="213" t="s">
        <v>355</v>
      </c>
      <c r="E12" s="214">
        <v>43646</v>
      </c>
      <c r="F12" s="212" t="s">
        <v>517</v>
      </c>
      <c r="G12" s="213" t="s">
        <v>380</v>
      </c>
      <c r="H12" s="218">
        <v>85.872727272727261</v>
      </c>
      <c r="I12" s="216"/>
      <c r="J12" s="246"/>
      <c r="K12" s="246"/>
      <c r="L12" s="246"/>
      <c r="M12" s="246"/>
      <c r="N12" s="246"/>
      <c r="O12" s="218">
        <v>3.9454545454545449</v>
      </c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19" t="s">
        <v>371</v>
      </c>
      <c r="AH12" s="219"/>
      <c r="AI12" s="219"/>
      <c r="AJ12" s="219"/>
      <c r="AK12" s="212" t="s">
        <v>518</v>
      </c>
    </row>
    <row r="13" spans="1:37" x14ac:dyDescent="0.15">
      <c r="A13" s="213" t="s">
        <v>516</v>
      </c>
      <c r="B13" s="214">
        <v>43656</v>
      </c>
      <c r="C13" s="221" t="s">
        <v>334</v>
      </c>
      <c r="D13" s="213" t="s">
        <v>355</v>
      </c>
      <c r="E13" s="214">
        <v>43646</v>
      </c>
      <c r="F13" s="212" t="s">
        <v>519</v>
      </c>
      <c r="G13" s="213" t="s">
        <v>380</v>
      </c>
      <c r="H13" s="218">
        <v>85.872727272727261</v>
      </c>
      <c r="I13" s="216"/>
      <c r="J13" s="246"/>
      <c r="K13" s="246"/>
      <c r="L13" s="246"/>
      <c r="M13" s="246"/>
      <c r="N13" s="246"/>
      <c r="O13" s="218">
        <v>3.9454545454545449</v>
      </c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19" t="s">
        <v>371</v>
      </c>
      <c r="AH13" s="219"/>
      <c r="AI13" s="219"/>
      <c r="AJ13" s="219"/>
      <c r="AK13" s="212" t="s">
        <v>520</v>
      </c>
    </row>
    <row r="14" spans="1:37" x14ac:dyDescent="0.15">
      <c r="A14" s="213">
        <v>871</v>
      </c>
      <c r="B14" s="214">
        <v>43656</v>
      </c>
      <c r="C14" s="212" t="s">
        <v>334</v>
      </c>
      <c r="D14" s="213" t="s">
        <v>360</v>
      </c>
      <c r="E14" s="214">
        <v>43646</v>
      </c>
      <c r="F14" s="212" t="s">
        <v>397</v>
      </c>
      <c r="G14" s="213" t="s">
        <v>380</v>
      </c>
      <c r="H14" s="218">
        <v>62</v>
      </c>
      <c r="I14" s="216" t="s">
        <v>323</v>
      </c>
      <c r="J14" s="217">
        <v>1200</v>
      </c>
      <c r="K14" s="217">
        <v>2400</v>
      </c>
      <c r="L14" s="217">
        <v>5400</v>
      </c>
      <c r="M14" s="217">
        <v>165400</v>
      </c>
      <c r="N14" s="217">
        <v>832000</v>
      </c>
      <c r="O14" s="218">
        <v>4.4727272727272727</v>
      </c>
      <c r="P14" s="218">
        <v>3.1545454545454543</v>
      </c>
      <c r="Q14" s="218">
        <v>3.0545454545454542</v>
      </c>
      <c r="R14" s="218">
        <v>2.9545454545454541</v>
      </c>
      <c r="S14" s="218">
        <v>2.754545454545454</v>
      </c>
      <c r="T14" s="218">
        <v>2.5</v>
      </c>
      <c r="U14" s="233" t="s">
        <v>370</v>
      </c>
      <c r="V14" s="233" t="s">
        <v>370</v>
      </c>
      <c r="W14" s="233" t="s">
        <v>370</v>
      </c>
      <c r="X14" s="233" t="s">
        <v>370</v>
      </c>
      <c r="Y14" s="233" t="s">
        <v>370</v>
      </c>
      <c r="Z14" s="233" t="s">
        <v>370</v>
      </c>
      <c r="AA14" s="233" t="s">
        <v>370</v>
      </c>
      <c r="AB14" s="233" t="s">
        <v>370</v>
      </c>
      <c r="AC14" s="233" t="s">
        <v>370</v>
      </c>
      <c r="AD14" s="233" t="s">
        <v>370</v>
      </c>
      <c r="AE14" s="233" t="s">
        <v>370</v>
      </c>
      <c r="AF14" s="233" t="s">
        <v>370</v>
      </c>
      <c r="AG14" s="219" t="s">
        <v>371</v>
      </c>
      <c r="AH14" s="213"/>
      <c r="AI14" s="213"/>
      <c r="AJ14" s="213"/>
      <c r="AK14" s="247" t="s">
        <v>413</v>
      </c>
    </row>
    <row r="15" spans="1:37" x14ac:dyDescent="0.15">
      <c r="A15" s="213">
        <v>2108</v>
      </c>
      <c r="B15" s="214">
        <v>43656</v>
      </c>
      <c r="C15" s="212" t="s">
        <v>334</v>
      </c>
      <c r="D15" s="213" t="s">
        <v>360</v>
      </c>
      <c r="E15" s="214">
        <v>43646</v>
      </c>
      <c r="F15" s="212" t="s">
        <v>373</v>
      </c>
      <c r="G15" s="213" t="s">
        <v>380</v>
      </c>
      <c r="H15" s="218">
        <v>74.3</v>
      </c>
      <c r="I15" s="216" t="s">
        <v>323</v>
      </c>
      <c r="J15" s="217">
        <v>1200</v>
      </c>
      <c r="K15" s="217">
        <v>2400</v>
      </c>
      <c r="L15" s="217">
        <v>5400</v>
      </c>
      <c r="M15" s="217">
        <v>165400</v>
      </c>
      <c r="N15" s="217">
        <v>832000</v>
      </c>
      <c r="O15" s="218">
        <v>4.9818181818181815</v>
      </c>
      <c r="P15" s="218">
        <v>3.5090909090909088</v>
      </c>
      <c r="Q15" s="218">
        <v>3.3909090909090907</v>
      </c>
      <c r="R15" s="218">
        <v>3.2363636363636363</v>
      </c>
      <c r="S15" s="218">
        <v>3.1545454545454543</v>
      </c>
      <c r="T15" s="218">
        <v>2.918181818181818</v>
      </c>
      <c r="U15" s="233" t="s">
        <v>370</v>
      </c>
      <c r="V15" s="233" t="s">
        <v>370</v>
      </c>
      <c r="W15" s="233" t="s">
        <v>370</v>
      </c>
      <c r="X15" s="233" t="s">
        <v>370</v>
      </c>
      <c r="Y15" s="233" t="s">
        <v>370</v>
      </c>
      <c r="Z15" s="233" t="s">
        <v>370</v>
      </c>
      <c r="AA15" s="233" t="s">
        <v>370</v>
      </c>
      <c r="AB15" s="233" t="s">
        <v>370</v>
      </c>
      <c r="AC15" s="233" t="s">
        <v>370</v>
      </c>
      <c r="AD15" s="233" t="s">
        <v>370</v>
      </c>
      <c r="AE15" s="233" t="s">
        <v>370</v>
      </c>
      <c r="AF15" s="233" t="s">
        <v>370</v>
      </c>
      <c r="AG15" s="219" t="s">
        <v>371</v>
      </c>
      <c r="AH15" s="213"/>
      <c r="AI15" s="213"/>
      <c r="AJ15" s="213"/>
      <c r="AK15" s="212" t="s">
        <v>496</v>
      </c>
    </row>
    <row r="16" spans="1:37" x14ac:dyDescent="0.15">
      <c r="A16" s="213">
        <v>872</v>
      </c>
      <c r="B16" s="214">
        <v>43656</v>
      </c>
      <c r="C16" s="212" t="s">
        <v>334</v>
      </c>
      <c r="D16" s="213" t="s">
        <v>361</v>
      </c>
      <c r="E16" s="214">
        <v>43646</v>
      </c>
      <c r="F16" s="212" t="s">
        <v>397</v>
      </c>
      <c r="G16" s="213" t="s">
        <v>380</v>
      </c>
      <c r="H16" s="218">
        <v>75.999999999999986</v>
      </c>
      <c r="I16" s="216" t="s">
        <v>323</v>
      </c>
      <c r="J16" s="217">
        <v>2460</v>
      </c>
      <c r="K16" s="217">
        <v>28980</v>
      </c>
      <c r="L16" s="217">
        <v>118320</v>
      </c>
      <c r="M16" s="217">
        <v>118320</v>
      </c>
      <c r="N16" s="217">
        <v>118320</v>
      </c>
      <c r="O16" s="218">
        <v>3.7999999999999994</v>
      </c>
      <c r="P16" s="218">
        <v>3.4</v>
      </c>
      <c r="Q16" s="218">
        <v>2.8545454545454545</v>
      </c>
      <c r="R16" s="218">
        <v>2.754545454545454</v>
      </c>
      <c r="S16" s="218">
        <v>0</v>
      </c>
      <c r="T16" s="218">
        <v>0</v>
      </c>
      <c r="U16" s="233" t="s">
        <v>370</v>
      </c>
      <c r="V16" s="233" t="s">
        <v>370</v>
      </c>
      <c r="W16" s="233" t="s">
        <v>370</v>
      </c>
      <c r="X16" s="233" t="s">
        <v>370</v>
      </c>
      <c r="Y16" s="233" t="s">
        <v>370</v>
      </c>
      <c r="Z16" s="233" t="s">
        <v>370</v>
      </c>
      <c r="AA16" s="233" t="s">
        <v>370</v>
      </c>
      <c r="AB16" s="233" t="s">
        <v>370</v>
      </c>
      <c r="AC16" s="233" t="s">
        <v>370</v>
      </c>
      <c r="AD16" s="233" t="s">
        <v>370</v>
      </c>
      <c r="AE16" s="233" t="s">
        <v>370</v>
      </c>
      <c r="AF16" s="233" t="s">
        <v>370</v>
      </c>
      <c r="AG16" s="219" t="s">
        <v>371</v>
      </c>
      <c r="AH16" s="219"/>
      <c r="AI16" s="219"/>
      <c r="AJ16" s="219"/>
      <c r="AK16" s="212" t="s">
        <v>538</v>
      </c>
    </row>
    <row r="17" spans="1:37" x14ac:dyDescent="0.15">
      <c r="A17" s="213">
        <v>2109</v>
      </c>
      <c r="B17" s="214">
        <v>43656</v>
      </c>
      <c r="C17" s="212" t="s">
        <v>334</v>
      </c>
      <c r="D17" s="213" t="s">
        <v>361</v>
      </c>
      <c r="E17" s="214">
        <v>43646</v>
      </c>
      <c r="F17" s="212" t="s">
        <v>373</v>
      </c>
      <c r="G17" s="213" t="s">
        <v>380</v>
      </c>
      <c r="H17" s="218">
        <v>86.5</v>
      </c>
      <c r="I17" s="216" t="s">
        <v>323</v>
      </c>
      <c r="J17" s="217">
        <v>2460</v>
      </c>
      <c r="K17" s="246">
        <v>28980</v>
      </c>
      <c r="L17" s="246">
        <v>118320</v>
      </c>
      <c r="M17" s="246">
        <v>118320</v>
      </c>
      <c r="N17" s="246">
        <v>118320</v>
      </c>
      <c r="O17" s="218">
        <v>4.2</v>
      </c>
      <c r="P17" s="218">
        <v>3.7181818181818178</v>
      </c>
      <c r="Q17" s="218">
        <v>3.5999999999999996</v>
      </c>
      <c r="R17" s="218">
        <v>3.4363636363636361</v>
      </c>
      <c r="S17" s="218">
        <v>0</v>
      </c>
      <c r="T17" s="218">
        <v>0</v>
      </c>
      <c r="U17" s="233" t="s">
        <v>370</v>
      </c>
      <c r="V17" s="233" t="s">
        <v>370</v>
      </c>
      <c r="W17" s="233" t="s">
        <v>370</v>
      </c>
      <c r="X17" s="233" t="s">
        <v>370</v>
      </c>
      <c r="Y17" s="233" t="s">
        <v>370</v>
      </c>
      <c r="Z17" s="233" t="s">
        <v>370</v>
      </c>
      <c r="AA17" s="233" t="s">
        <v>370</v>
      </c>
      <c r="AB17" s="233" t="s">
        <v>370</v>
      </c>
      <c r="AC17" s="233" t="s">
        <v>370</v>
      </c>
      <c r="AD17" s="233" t="s">
        <v>370</v>
      </c>
      <c r="AE17" s="233" t="s">
        <v>370</v>
      </c>
      <c r="AF17" s="233" t="s">
        <v>370</v>
      </c>
      <c r="AG17" s="219" t="s">
        <v>371</v>
      </c>
      <c r="AH17" s="219"/>
      <c r="AI17" s="219"/>
      <c r="AJ17" s="219"/>
      <c r="AK17" s="212" t="s">
        <v>448</v>
      </c>
    </row>
    <row r="18" spans="1:37" x14ac:dyDescent="0.15">
      <c r="A18" s="213">
        <v>873</v>
      </c>
      <c r="B18" s="214">
        <v>43656</v>
      </c>
      <c r="C18" s="212" t="s">
        <v>334</v>
      </c>
      <c r="D18" s="213" t="s">
        <v>362</v>
      </c>
      <c r="E18" s="214">
        <v>43646</v>
      </c>
      <c r="F18" s="212" t="s">
        <v>397</v>
      </c>
      <c r="G18" s="213" t="s">
        <v>380</v>
      </c>
      <c r="H18" s="218">
        <v>92</v>
      </c>
      <c r="I18" s="216"/>
      <c r="J18" s="217"/>
      <c r="K18" s="217"/>
      <c r="L18" s="217"/>
      <c r="M18" s="217"/>
      <c r="N18" s="217"/>
      <c r="O18" s="218">
        <v>3.6545454545454539</v>
      </c>
      <c r="P18" s="233"/>
      <c r="Q18" s="233"/>
      <c r="R18" s="233"/>
      <c r="S18" s="233"/>
      <c r="T18" s="233"/>
      <c r="U18" s="233" t="s">
        <v>370</v>
      </c>
      <c r="V18" s="233" t="s">
        <v>370</v>
      </c>
      <c r="W18" s="233" t="s">
        <v>370</v>
      </c>
      <c r="X18" s="233" t="s">
        <v>370</v>
      </c>
      <c r="Y18" s="233" t="s">
        <v>370</v>
      </c>
      <c r="Z18" s="233" t="s">
        <v>370</v>
      </c>
      <c r="AA18" s="233" t="s">
        <v>370</v>
      </c>
      <c r="AB18" s="233" t="s">
        <v>370</v>
      </c>
      <c r="AC18" s="233" t="s">
        <v>370</v>
      </c>
      <c r="AD18" s="233" t="s">
        <v>370</v>
      </c>
      <c r="AE18" s="233" t="s">
        <v>370</v>
      </c>
      <c r="AF18" s="233" t="s">
        <v>370</v>
      </c>
      <c r="AG18" s="219" t="s">
        <v>371</v>
      </c>
      <c r="AH18" s="219"/>
      <c r="AI18" s="219"/>
      <c r="AJ18" s="219"/>
      <c r="AK18" s="212" t="s">
        <v>539</v>
      </c>
    </row>
    <row r="19" spans="1:37" x14ac:dyDescent="0.15">
      <c r="A19" s="213">
        <v>2110</v>
      </c>
      <c r="B19" s="214">
        <v>43656</v>
      </c>
      <c r="C19" s="212" t="s">
        <v>334</v>
      </c>
      <c r="D19" s="213" t="s">
        <v>363</v>
      </c>
      <c r="E19" s="214">
        <v>43646</v>
      </c>
      <c r="F19" s="212" t="s">
        <v>373</v>
      </c>
      <c r="G19" s="213" t="s">
        <v>380</v>
      </c>
      <c r="H19" s="218">
        <v>89.5</v>
      </c>
      <c r="I19" s="216" t="s">
        <v>323</v>
      </c>
      <c r="J19" s="246">
        <v>1650</v>
      </c>
      <c r="K19" s="246">
        <v>2960</v>
      </c>
      <c r="L19" s="246">
        <v>2960</v>
      </c>
      <c r="M19" s="246">
        <v>2960</v>
      </c>
      <c r="N19" s="246">
        <v>2960</v>
      </c>
      <c r="O19" s="218">
        <v>3.5545454545454542</v>
      </c>
      <c r="P19" s="218">
        <v>3.2545454545454544</v>
      </c>
      <c r="Q19" s="218">
        <v>3.0545454545454542</v>
      </c>
      <c r="R19" s="218">
        <v>0</v>
      </c>
      <c r="S19" s="218">
        <v>0</v>
      </c>
      <c r="T19" s="218">
        <v>0</v>
      </c>
      <c r="U19" s="233" t="s">
        <v>370</v>
      </c>
      <c r="V19" s="233" t="s">
        <v>370</v>
      </c>
      <c r="W19" s="233" t="s">
        <v>370</v>
      </c>
      <c r="X19" s="233" t="s">
        <v>370</v>
      </c>
      <c r="Y19" s="233" t="s">
        <v>370</v>
      </c>
      <c r="Z19" s="233" t="s">
        <v>370</v>
      </c>
      <c r="AA19" s="233" t="s">
        <v>370</v>
      </c>
      <c r="AB19" s="233" t="s">
        <v>370</v>
      </c>
      <c r="AC19" s="233" t="s">
        <v>370</v>
      </c>
      <c r="AD19" s="233" t="s">
        <v>370</v>
      </c>
      <c r="AE19" s="233" t="s">
        <v>370</v>
      </c>
      <c r="AF19" s="233" t="s">
        <v>370</v>
      </c>
      <c r="AG19" s="219" t="s">
        <v>371</v>
      </c>
      <c r="AH19" s="219"/>
      <c r="AI19" s="219"/>
      <c r="AJ19" s="219"/>
      <c r="AK19" s="212" t="s">
        <v>523</v>
      </c>
    </row>
    <row r="20" spans="1:37" x14ac:dyDescent="0.15">
      <c r="A20" s="213">
        <v>2153</v>
      </c>
      <c r="B20" s="214">
        <v>43656</v>
      </c>
      <c r="C20" s="212" t="s">
        <v>334</v>
      </c>
      <c r="D20" s="213" t="s">
        <v>363</v>
      </c>
      <c r="E20" s="214">
        <v>43646</v>
      </c>
      <c r="F20" s="212" t="s">
        <v>374</v>
      </c>
      <c r="G20" s="213" t="s">
        <v>380</v>
      </c>
      <c r="H20" s="218">
        <v>66.881818181818176</v>
      </c>
      <c r="I20" s="216" t="s">
        <v>348</v>
      </c>
      <c r="J20" s="217">
        <v>1650</v>
      </c>
      <c r="K20" s="217">
        <v>1650</v>
      </c>
      <c r="L20" s="217">
        <v>1650</v>
      </c>
      <c r="M20" s="217">
        <v>1650</v>
      </c>
      <c r="N20" s="217">
        <v>1650</v>
      </c>
      <c r="O20" s="218">
        <v>3.0090909090909088</v>
      </c>
      <c r="P20" s="218">
        <v>2.6454545454545455</v>
      </c>
      <c r="Q20" s="218">
        <v>2.6454545454545455</v>
      </c>
      <c r="R20" s="218">
        <v>2.6454545454545455</v>
      </c>
      <c r="S20" s="218">
        <v>2.6454545454545455</v>
      </c>
      <c r="T20" s="218">
        <v>2.6454545454545455</v>
      </c>
      <c r="U20" s="233" t="s">
        <v>370</v>
      </c>
      <c r="V20" s="233" t="s">
        <v>370</v>
      </c>
      <c r="W20" s="233" t="s">
        <v>370</v>
      </c>
      <c r="X20" s="233" t="s">
        <v>370</v>
      </c>
      <c r="Y20" s="233" t="s">
        <v>370</v>
      </c>
      <c r="Z20" s="233" t="s">
        <v>370</v>
      </c>
      <c r="AA20" s="233" t="s">
        <v>370</v>
      </c>
      <c r="AB20" s="233" t="s">
        <v>370</v>
      </c>
      <c r="AC20" s="233" t="s">
        <v>370</v>
      </c>
      <c r="AD20" s="233" t="s">
        <v>370</v>
      </c>
      <c r="AE20" s="233" t="s">
        <v>370</v>
      </c>
      <c r="AF20" s="233" t="s">
        <v>370</v>
      </c>
      <c r="AG20" s="219" t="s">
        <v>371</v>
      </c>
      <c r="AH20" s="219"/>
      <c r="AI20" s="219"/>
      <c r="AJ20" s="219"/>
      <c r="AK20" s="212" t="s">
        <v>522</v>
      </c>
    </row>
    <row r="21" spans="1:37" x14ac:dyDescent="0.15">
      <c r="A21" s="213">
        <v>2097</v>
      </c>
      <c r="B21" s="214">
        <v>43656</v>
      </c>
      <c r="C21" s="212" t="s">
        <v>334</v>
      </c>
      <c r="D21" s="213" t="s">
        <v>355</v>
      </c>
      <c r="E21" s="214">
        <v>43648</v>
      </c>
      <c r="F21" s="212" t="s">
        <v>133</v>
      </c>
      <c r="G21" s="213" t="s">
        <v>380</v>
      </c>
      <c r="H21" s="218">
        <v>69.881818181818176</v>
      </c>
      <c r="I21" s="216" t="s">
        <v>323</v>
      </c>
      <c r="J21" s="217">
        <v>1650</v>
      </c>
      <c r="K21" s="217">
        <v>2960</v>
      </c>
      <c r="L21" s="217">
        <v>2960</v>
      </c>
      <c r="M21" s="217">
        <v>2960</v>
      </c>
      <c r="N21" s="217">
        <v>2960</v>
      </c>
      <c r="O21" s="218">
        <v>2.709090909090909</v>
      </c>
      <c r="P21" s="218">
        <v>2.4454545454545453</v>
      </c>
      <c r="Q21" s="218">
        <v>2.3181818181818179</v>
      </c>
      <c r="R21" s="218">
        <v>0</v>
      </c>
      <c r="S21" s="218">
        <v>0</v>
      </c>
      <c r="T21" s="218">
        <v>0</v>
      </c>
      <c r="U21" s="233" t="s">
        <v>370</v>
      </c>
      <c r="V21" s="233" t="s">
        <v>370</v>
      </c>
      <c r="W21" s="233" t="s">
        <v>370</v>
      </c>
      <c r="X21" s="233" t="s">
        <v>370</v>
      </c>
      <c r="Y21" s="233" t="s">
        <v>370</v>
      </c>
      <c r="Z21" s="233" t="s">
        <v>370</v>
      </c>
      <c r="AA21" s="233" t="s">
        <v>370</v>
      </c>
      <c r="AB21" s="233" t="s">
        <v>370</v>
      </c>
      <c r="AC21" s="233" t="s">
        <v>370</v>
      </c>
      <c r="AD21" s="233" t="s">
        <v>370</v>
      </c>
      <c r="AE21" s="233" t="s">
        <v>370</v>
      </c>
      <c r="AF21" s="233" t="s">
        <v>370</v>
      </c>
      <c r="AG21" s="219" t="s">
        <v>371</v>
      </c>
      <c r="AH21" s="219"/>
      <c r="AI21" s="219"/>
      <c r="AJ21" s="219"/>
      <c r="AK21" s="212" t="s">
        <v>521</v>
      </c>
    </row>
    <row r="22" spans="1:37" x14ac:dyDescent="0.15">
      <c r="A22" s="213"/>
      <c r="B22" s="214">
        <v>43656</v>
      </c>
      <c r="C22" s="212" t="s">
        <v>334</v>
      </c>
      <c r="D22" s="213" t="s">
        <v>363</v>
      </c>
      <c r="E22" s="214">
        <v>43646</v>
      </c>
      <c r="F22" s="212" t="s">
        <v>327</v>
      </c>
      <c r="G22" s="213" t="s">
        <v>380</v>
      </c>
      <c r="H22" s="218">
        <v>88.98181818181817</v>
      </c>
      <c r="I22" s="216" t="s">
        <v>323</v>
      </c>
      <c r="J22" s="217">
        <v>1650</v>
      </c>
      <c r="K22" s="217">
        <v>2960</v>
      </c>
      <c r="L22" s="217">
        <v>2960</v>
      </c>
      <c r="M22" s="217">
        <v>2960</v>
      </c>
      <c r="N22" s="217">
        <v>2960</v>
      </c>
      <c r="O22" s="218">
        <v>2.6818181818181817</v>
      </c>
      <c r="P22" s="218">
        <v>2.3181818181818179</v>
      </c>
      <c r="Q22" s="218">
        <v>2.1181818181818182</v>
      </c>
      <c r="R22" s="218">
        <v>0</v>
      </c>
      <c r="S22" s="218">
        <v>0</v>
      </c>
      <c r="T22" s="218">
        <v>0</v>
      </c>
      <c r="U22" s="233" t="s">
        <v>370</v>
      </c>
      <c r="V22" s="233" t="s">
        <v>370</v>
      </c>
      <c r="W22" s="233" t="s">
        <v>370</v>
      </c>
      <c r="X22" s="233" t="s">
        <v>370</v>
      </c>
      <c r="Y22" s="233" t="s">
        <v>370</v>
      </c>
      <c r="Z22" s="233" t="s">
        <v>370</v>
      </c>
      <c r="AA22" s="233" t="s">
        <v>370</v>
      </c>
      <c r="AB22" s="233" t="s">
        <v>370</v>
      </c>
      <c r="AC22" s="233" t="s">
        <v>370</v>
      </c>
      <c r="AD22" s="233" t="s">
        <v>370</v>
      </c>
      <c r="AE22" s="233" t="s">
        <v>370</v>
      </c>
      <c r="AF22" s="233" t="s">
        <v>370</v>
      </c>
      <c r="AG22" s="219" t="s">
        <v>371</v>
      </c>
      <c r="AH22" s="219"/>
      <c r="AI22" s="219"/>
      <c r="AJ22" s="219"/>
      <c r="AK22" s="212" t="s">
        <v>524</v>
      </c>
    </row>
    <row r="23" spans="1:37" x14ac:dyDescent="0.15">
      <c r="A23" s="213">
        <v>2111</v>
      </c>
      <c r="B23" s="214">
        <v>43656</v>
      </c>
      <c r="C23" s="212" t="s">
        <v>334</v>
      </c>
      <c r="D23" s="213" t="s">
        <v>364</v>
      </c>
      <c r="E23" s="214">
        <v>43646</v>
      </c>
      <c r="F23" s="212" t="s">
        <v>373</v>
      </c>
      <c r="G23" s="213" t="s">
        <v>380</v>
      </c>
      <c r="H23" s="218">
        <v>88.59999999999998</v>
      </c>
      <c r="I23" s="216" t="s">
        <v>323</v>
      </c>
      <c r="J23" s="246">
        <v>1650</v>
      </c>
      <c r="K23" s="246">
        <v>2960</v>
      </c>
      <c r="L23" s="246">
        <v>2960</v>
      </c>
      <c r="M23" s="246">
        <v>2960</v>
      </c>
      <c r="N23" s="246">
        <v>2960</v>
      </c>
      <c r="O23" s="218">
        <v>4.9727272727272718</v>
      </c>
      <c r="P23" s="218">
        <v>4.5363636363636362</v>
      </c>
      <c r="Q23" s="218">
        <v>3.836363636363636</v>
      </c>
      <c r="R23" s="218">
        <v>0</v>
      </c>
      <c r="S23" s="218">
        <v>0</v>
      </c>
      <c r="T23" s="218">
        <v>0</v>
      </c>
      <c r="U23" s="233" t="s">
        <v>370</v>
      </c>
      <c r="V23" s="233" t="s">
        <v>370</v>
      </c>
      <c r="W23" s="233" t="s">
        <v>370</v>
      </c>
      <c r="X23" s="233" t="s">
        <v>370</v>
      </c>
      <c r="Y23" s="233" t="s">
        <v>370</v>
      </c>
      <c r="Z23" s="233" t="s">
        <v>370</v>
      </c>
      <c r="AA23" s="233" t="s">
        <v>370</v>
      </c>
      <c r="AB23" s="233" t="s">
        <v>370</v>
      </c>
      <c r="AC23" s="233" t="s">
        <v>370</v>
      </c>
      <c r="AD23" s="233" t="s">
        <v>370</v>
      </c>
      <c r="AE23" s="233" t="s">
        <v>370</v>
      </c>
      <c r="AF23" s="233" t="s">
        <v>370</v>
      </c>
      <c r="AG23" s="219" t="s">
        <v>371</v>
      </c>
      <c r="AH23" s="219"/>
      <c r="AI23" s="219"/>
      <c r="AJ23" s="219"/>
      <c r="AK23" s="212" t="s">
        <v>525</v>
      </c>
    </row>
    <row r="24" spans="1:37" x14ac:dyDescent="0.15">
      <c r="A24" s="213">
        <v>2157</v>
      </c>
      <c r="B24" s="214">
        <v>43656</v>
      </c>
      <c r="C24" s="212" t="s">
        <v>334</v>
      </c>
      <c r="D24" s="213" t="s">
        <v>364</v>
      </c>
      <c r="E24" s="214">
        <v>43646</v>
      </c>
      <c r="F24" s="212" t="s">
        <v>374</v>
      </c>
      <c r="G24" s="213" t="s">
        <v>380</v>
      </c>
      <c r="H24" s="218">
        <v>69.445454545454538</v>
      </c>
      <c r="I24" s="216" t="s">
        <v>348</v>
      </c>
      <c r="J24" s="217">
        <v>1650</v>
      </c>
      <c r="K24" s="217">
        <v>1650</v>
      </c>
      <c r="L24" s="217">
        <v>1650</v>
      </c>
      <c r="M24" s="217">
        <v>1650</v>
      </c>
      <c r="N24" s="217">
        <v>1650</v>
      </c>
      <c r="O24" s="218">
        <v>4.3</v>
      </c>
      <c r="P24" s="218">
        <v>3.3818181818181818</v>
      </c>
      <c r="Q24" s="218">
        <v>3.3818181818181818</v>
      </c>
      <c r="R24" s="218">
        <v>3.3818181818181818</v>
      </c>
      <c r="S24" s="218">
        <v>3.3818181818181818</v>
      </c>
      <c r="T24" s="218">
        <v>3.3818181818181818</v>
      </c>
      <c r="U24" s="233" t="s">
        <v>370</v>
      </c>
      <c r="V24" s="233" t="s">
        <v>370</v>
      </c>
      <c r="W24" s="233" t="s">
        <v>370</v>
      </c>
      <c r="X24" s="233" t="s">
        <v>370</v>
      </c>
      <c r="Y24" s="233" t="s">
        <v>370</v>
      </c>
      <c r="Z24" s="233" t="s">
        <v>370</v>
      </c>
      <c r="AA24" s="233" t="s">
        <v>370</v>
      </c>
      <c r="AB24" s="233" t="s">
        <v>370</v>
      </c>
      <c r="AC24" s="233" t="s">
        <v>370</v>
      </c>
      <c r="AD24" s="233" t="s">
        <v>370</v>
      </c>
      <c r="AE24" s="233" t="s">
        <v>370</v>
      </c>
      <c r="AF24" s="233" t="s">
        <v>370</v>
      </c>
      <c r="AG24" s="219" t="s">
        <v>371</v>
      </c>
      <c r="AH24" s="219"/>
      <c r="AI24" s="219"/>
      <c r="AJ24" s="219"/>
      <c r="AK24" s="212" t="s">
        <v>526</v>
      </c>
    </row>
    <row r="25" spans="1:37" x14ac:dyDescent="0.15">
      <c r="A25" s="213">
        <v>2098</v>
      </c>
      <c r="B25" s="214">
        <v>43656</v>
      </c>
      <c r="C25" s="212" t="s">
        <v>334</v>
      </c>
      <c r="D25" s="213" t="s">
        <v>364</v>
      </c>
      <c r="E25" s="214">
        <v>43648</v>
      </c>
      <c r="F25" s="212" t="s">
        <v>133</v>
      </c>
      <c r="G25" s="213" t="s">
        <v>380</v>
      </c>
      <c r="H25" s="218">
        <v>80.027272727272717</v>
      </c>
      <c r="I25" s="216" t="s">
        <v>323</v>
      </c>
      <c r="J25" s="217">
        <v>1650</v>
      </c>
      <c r="K25" s="217">
        <v>2960</v>
      </c>
      <c r="L25" s="217">
        <v>2960</v>
      </c>
      <c r="M25" s="217">
        <v>2960</v>
      </c>
      <c r="N25" s="217">
        <v>2960</v>
      </c>
      <c r="O25" s="218">
        <v>4.254545454545454</v>
      </c>
      <c r="P25" s="218">
        <v>3.8727272727272721</v>
      </c>
      <c r="Q25" s="218">
        <v>3.0909090909090904</v>
      </c>
      <c r="R25" s="218">
        <v>0</v>
      </c>
      <c r="S25" s="218">
        <v>0</v>
      </c>
      <c r="T25" s="218">
        <v>0</v>
      </c>
      <c r="U25" s="233" t="s">
        <v>370</v>
      </c>
      <c r="V25" s="233" t="s">
        <v>370</v>
      </c>
      <c r="W25" s="233" t="s">
        <v>370</v>
      </c>
      <c r="X25" s="233" t="s">
        <v>370</v>
      </c>
      <c r="Y25" s="233" t="s">
        <v>370</v>
      </c>
      <c r="Z25" s="233" t="s">
        <v>370</v>
      </c>
      <c r="AA25" s="233" t="s">
        <v>370</v>
      </c>
      <c r="AB25" s="233" t="s">
        <v>370</v>
      </c>
      <c r="AC25" s="233" t="s">
        <v>370</v>
      </c>
      <c r="AD25" s="233" t="s">
        <v>370</v>
      </c>
      <c r="AE25" s="233" t="s">
        <v>370</v>
      </c>
      <c r="AF25" s="233" t="s">
        <v>370</v>
      </c>
      <c r="AG25" s="219" t="s">
        <v>371</v>
      </c>
      <c r="AH25" s="219"/>
      <c r="AI25" s="219"/>
      <c r="AJ25" s="219"/>
      <c r="AK25" s="212" t="s">
        <v>527</v>
      </c>
    </row>
    <row r="26" spans="1:37" x14ac:dyDescent="0.15">
      <c r="A26" s="213"/>
      <c r="B26" s="214">
        <v>43656</v>
      </c>
      <c r="C26" s="212" t="s">
        <v>334</v>
      </c>
      <c r="D26" s="213" t="s">
        <v>364</v>
      </c>
      <c r="E26" s="214">
        <v>43646</v>
      </c>
      <c r="F26" s="212" t="s">
        <v>327</v>
      </c>
      <c r="G26" s="213" t="s">
        <v>380</v>
      </c>
      <c r="H26" s="218">
        <v>94.999999999999986</v>
      </c>
      <c r="I26" s="216" t="s">
        <v>323</v>
      </c>
      <c r="J26" s="217">
        <v>1650</v>
      </c>
      <c r="K26" s="217">
        <v>2960</v>
      </c>
      <c r="L26" s="217">
        <v>2960</v>
      </c>
      <c r="M26" s="217">
        <v>2960</v>
      </c>
      <c r="N26" s="217">
        <v>2960</v>
      </c>
      <c r="O26" s="218">
        <v>3.7181818181818178</v>
      </c>
      <c r="P26" s="218">
        <v>3.3818181818181818</v>
      </c>
      <c r="Q26" s="218">
        <v>2.8181818181818179</v>
      </c>
      <c r="R26" s="218">
        <v>0</v>
      </c>
      <c r="S26" s="218">
        <v>0</v>
      </c>
      <c r="T26" s="218">
        <v>0</v>
      </c>
      <c r="U26" s="233" t="s">
        <v>370</v>
      </c>
      <c r="V26" s="233" t="s">
        <v>370</v>
      </c>
      <c r="W26" s="233" t="s">
        <v>370</v>
      </c>
      <c r="X26" s="233" t="s">
        <v>370</v>
      </c>
      <c r="Y26" s="233" t="s">
        <v>370</v>
      </c>
      <c r="Z26" s="233" t="s">
        <v>370</v>
      </c>
      <c r="AA26" s="233" t="s">
        <v>370</v>
      </c>
      <c r="AB26" s="233" t="s">
        <v>370</v>
      </c>
      <c r="AC26" s="233" t="s">
        <v>370</v>
      </c>
      <c r="AD26" s="233" t="s">
        <v>370</v>
      </c>
      <c r="AE26" s="233" t="s">
        <v>370</v>
      </c>
      <c r="AF26" s="233" t="s">
        <v>370</v>
      </c>
      <c r="AG26" s="219" t="s">
        <v>371</v>
      </c>
      <c r="AH26" s="219"/>
      <c r="AI26" s="219"/>
      <c r="AJ26" s="219"/>
      <c r="AK26" s="212" t="s">
        <v>528</v>
      </c>
    </row>
    <row r="27" spans="1:37" x14ac:dyDescent="0.15">
      <c r="A27" s="213">
        <v>2161</v>
      </c>
      <c r="B27" s="214">
        <v>43656</v>
      </c>
      <c r="C27" s="212" t="s">
        <v>334</v>
      </c>
      <c r="D27" s="213" t="s">
        <v>365</v>
      </c>
      <c r="E27" s="214">
        <v>43646</v>
      </c>
      <c r="F27" s="212" t="s">
        <v>374</v>
      </c>
      <c r="G27" s="213" t="s">
        <v>380</v>
      </c>
      <c r="H27" s="218">
        <v>78.74545454545455</v>
      </c>
      <c r="I27" s="216"/>
      <c r="J27" s="213"/>
      <c r="K27" s="213"/>
      <c r="L27" s="213"/>
      <c r="M27" s="213"/>
      <c r="N27" s="213"/>
      <c r="O27" s="218">
        <v>3.6909090909090905</v>
      </c>
      <c r="P27" s="233" t="s">
        <v>370</v>
      </c>
      <c r="Q27" s="233"/>
      <c r="R27" s="233"/>
      <c r="S27" s="233"/>
      <c r="T27" s="233"/>
      <c r="U27" s="233" t="s">
        <v>370</v>
      </c>
      <c r="V27" s="233" t="s">
        <v>370</v>
      </c>
      <c r="W27" s="233" t="s">
        <v>370</v>
      </c>
      <c r="X27" s="233" t="s">
        <v>370</v>
      </c>
      <c r="Y27" s="233" t="s">
        <v>370</v>
      </c>
      <c r="Z27" s="233" t="s">
        <v>370</v>
      </c>
      <c r="AA27" s="233" t="s">
        <v>370</v>
      </c>
      <c r="AB27" s="233" t="s">
        <v>370</v>
      </c>
      <c r="AC27" s="233" t="s">
        <v>370</v>
      </c>
      <c r="AD27" s="233" t="s">
        <v>370</v>
      </c>
      <c r="AE27" s="233" t="s">
        <v>370</v>
      </c>
      <c r="AF27" s="233" t="s">
        <v>370</v>
      </c>
      <c r="AG27" s="219" t="s">
        <v>371</v>
      </c>
      <c r="AH27" s="219"/>
      <c r="AI27" s="219"/>
      <c r="AJ27" s="219"/>
      <c r="AK27" s="212" t="s">
        <v>529</v>
      </c>
    </row>
    <row r="28" spans="1:37" x14ac:dyDescent="0.15">
      <c r="A28" s="213">
        <v>874</v>
      </c>
      <c r="B28" s="214">
        <v>43656</v>
      </c>
      <c r="C28" s="212" t="s">
        <v>334</v>
      </c>
      <c r="D28" s="213" t="s">
        <v>365</v>
      </c>
      <c r="E28" s="214">
        <v>43646</v>
      </c>
      <c r="F28" s="212" t="s">
        <v>327</v>
      </c>
      <c r="G28" s="213" t="s">
        <v>380</v>
      </c>
      <c r="H28" s="218">
        <v>88.98181818181817</v>
      </c>
      <c r="I28" s="216"/>
      <c r="J28" s="217"/>
      <c r="K28" s="217"/>
      <c r="L28" s="217"/>
      <c r="M28" s="217"/>
      <c r="N28" s="217"/>
      <c r="O28" s="218">
        <v>3.4818181818181815</v>
      </c>
      <c r="P28" s="233" t="s">
        <v>370</v>
      </c>
      <c r="Q28" s="233"/>
      <c r="R28" s="233"/>
      <c r="S28" s="233"/>
      <c r="T28" s="233"/>
      <c r="U28" s="233" t="s">
        <v>370</v>
      </c>
      <c r="V28" s="233" t="s">
        <v>370</v>
      </c>
      <c r="W28" s="233" t="s">
        <v>370</v>
      </c>
      <c r="X28" s="233" t="s">
        <v>370</v>
      </c>
      <c r="Y28" s="233" t="s">
        <v>370</v>
      </c>
      <c r="Z28" s="233" t="s">
        <v>370</v>
      </c>
      <c r="AA28" s="233" t="s">
        <v>370</v>
      </c>
      <c r="AB28" s="233" t="s">
        <v>370</v>
      </c>
      <c r="AC28" s="233" t="s">
        <v>370</v>
      </c>
      <c r="AD28" s="233" t="s">
        <v>370</v>
      </c>
      <c r="AE28" s="233" t="s">
        <v>370</v>
      </c>
      <c r="AF28" s="233" t="s">
        <v>370</v>
      </c>
      <c r="AG28" s="219" t="s">
        <v>371</v>
      </c>
      <c r="AH28" s="213"/>
      <c r="AI28" s="213"/>
      <c r="AJ28" s="213"/>
      <c r="AK28" s="212" t="s">
        <v>530</v>
      </c>
    </row>
    <row r="29" spans="1:37" x14ac:dyDescent="0.15">
      <c r="A29" s="213">
        <v>2173</v>
      </c>
      <c r="B29" s="214">
        <v>43656</v>
      </c>
      <c r="C29" s="212" t="s">
        <v>334</v>
      </c>
      <c r="D29" s="213" t="s">
        <v>366</v>
      </c>
      <c r="E29" s="214">
        <v>43646</v>
      </c>
      <c r="F29" s="212" t="s">
        <v>374</v>
      </c>
      <c r="G29" s="213" t="s">
        <v>380</v>
      </c>
      <c r="H29" s="218">
        <v>83.190909090909088</v>
      </c>
      <c r="I29" s="216"/>
      <c r="J29" s="213"/>
      <c r="K29" s="213"/>
      <c r="L29" s="213"/>
      <c r="M29" s="213"/>
      <c r="N29" s="213"/>
      <c r="O29" s="218">
        <v>3.7</v>
      </c>
      <c r="P29" s="233" t="s">
        <v>370</v>
      </c>
      <c r="Q29" s="233"/>
      <c r="R29" s="233"/>
      <c r="S29" s="233"/>
      <c r="T29" s="233"/>
      <c r="U29" s="233" t="s">
        <v>370</v>
      </c>
      <c r="V29" s="233" t="s">
        <v>370</v>
      </c>
      <c r="W29" s="233" t="s">
        <v>370</v>
      </c>
      <c r="X29" s="233" t="s">
        <v>370</v>
      </c>
      <c r="Y29" s="233" t="s">
        <v>370</v>
      </c>
      <c r="Z29" s="233" t="s">
        <v>370</v>
      </c>
      <c r="AA29" s="233" t="s">
        <v>370</v>
      </c>
      <c r="AB29" s="233" t="s">
        <v>370</v>
      </c>
      <c r="AC29" s="233" t="s">
        <v>370</v>
      </c>
      <c r="AD29" s="233" t="s">
        <v>370</v>
      </c>
      <c r="AE29" s="233" t="s">
        <v>370</v>
      </c>
      <c r="AF29" s="233" t="s">
        <v>370</v>
      </c>
      <c r="AG29" s="219" t="s">
        <v>371</v>
      </c>
      <c r="AH29" s="219"/>
      <c r="AI29" s="219"/>
      <c r="AJ29" s="219"/>
      <c r="AK29" s="212" t="s">
        <v>531</v>
      </c>
    </row>
    <row r="30" spans="1:37" x14ac:dyDescent="0.15">
      <c r="A30" s="213">
        <v>2096</v>
      </c>
      <c r="B30" s="214">
        <v>43656</v>
      </c>
      <c r="C30" s="212" t="s">
        <v>334</v>
      </c>
      <c r="D30" s="213" t="s">
        <v>366</v>
      </c>
      <c r="E30" s="214">
        <v>43648</v>
      </c>
      <c r="F30" s="212" t="s">
        <v>133</v>
      </c>
      <c r="G30" s="213" t="s">
        <v>380</v>
      </c>
      <c r="H30" s="218">
        <v>95.809090909090898</v>
      </c>
      <c r="I30" s="216"/>
      <c r="J30" s="213"/>
      <c r="K30" s="213"/>
      <c r="L30" s="213"/>
      <c r="M30" s="213"/>
      <c r="N30" s="213"/>
      <c r="O30" s="218">
        <v>3.6090909090909089</v>
      </c>
      <c r="P30" s="233" t="s">
        <v>370</v>
      </c>
      <c r="Q30" s="233"/>
      <c r="R30" s="233"/>
      <c r="S30" s="233"/>
      <c r="T30" s="233"/>
      <c r="U30" s="233" t="s">
        <v>370</v>
      </c>
      <c r="V30" s="233" t="s">
        <v>370</v>
      </c>
      <c r="W30" s="233" t="s">
        <v>370</v>
      </c>
      <c r="X30" s="233" t="s">
        <v>370</v>
      </c>
      <c r="Y30" s="233" t="s">
        <v>370</v>
      </c>
      <c r="Z30" s="233" t="s">
        <v>370</v>
      </c>
      <c r="AA30" s="233" t="s">
        <v>370</v>
      </c>
      <c r="AB30" s="233" t="s">
        <v>370</v>
      </c>
      <c r="AC30" s="233" t="s">
        <v>370</v>
      </c>
      <c r="AD30" s="233" t="s">
        <v>370</v>
      </c>
      <c r="AE30" s="233" t="s">
        <v>370</v>
      </c>
      <c r="AF30" s="233" t="s">
        <v>370</v>
      </c>
      <c r="AG30" s="219" t="s">
        <v>371</v>
      </c>
      <c r="AH30" s="219"/>
      <c r="AI30" s="219"/>
      <c r="AJ30" s="219"/>
      <c r="AK30" s="212" t="s">
        <v>532</v>
      </c>
    </row>
    <row r="31" spans="1:37" x14ac:dyDescent="0.15">
      <c r="A31" s="213"/>
      <c r="B31" s="214">
        <v>43656</v>
      </c>
      <c r="C31" s="212" t="s">
        <v>334</v>
      </c>
      <c r="D31" s="213" t="s">
        <v>366</v>
      </c>
      <c r="E31" s="214">
        <v>43646</v>
      </c>
      <c r="F31" s="212" t="s">
        <v>327</v>
      </c>
      <c r="G31" s="213" t="s">
        <v>380</v>
      </c>
      <c r="H31" s="218">
        <v>88.98181818181817</v>
      </c>
      <c r="I31" s="216"/>
      <c r="J31" s="213"/>
      <c r="K31" s="213"/>
      <c r="L31" s="213"/>
      <c r="M31" s="213"/>
      <c r="N31" s="213"/>
      <c r="O31" s="218">
        <v>3.6181818181818177</v>
      </c>
      <c r="P31" s="233" t="s">
        <v>370</v>
      </c>
      <c r="Q31" s="233"/>
      <c r="R31" s="233"/>
      <c r="S31" s="233"/>
      <c r="T31" s="233"/>
      <c r="U31" s="233" t="s">
        <v>370</v>
      </c>
      <c r="V31" s="233" t="s">
        <v>370</v>
      </c>
      <c r="W31" s="233" t="s">
        <v>370</v>
      </c>
      <c r="X31" s="233" t="s">
        <v>370</v>
      </c>
      <c r="Y31" s="233" t="s">
        <v>370</v>
      </c>
      <c r="Z31" s="233" t="s">
        <v>370</v>
      </c>
      <c r="AA31" s="233" t="s">
        <v>370</v>
      </c>
      <c r="AB31" s="233" t="s">
        <v>370</v>
      </c>
      <c r="AC31" s="233" t="s">
        <v>370</v>
      </c>
      <c r="AD31" s="233" t="s">
        <v>370</v>
      </c>
      <c r="AE31" s="233" t="s">
        <v>370</v>
      </c>
      <c r="AF31" s="233" t="s">
        <v>370</v>
      </c>
      <c r="AG31" s="219" t="s">
        <v>371</v>
      </c>
      <c r="AH31" s="219"/>
      <c r="AI31" s="219"/>
      <c r="AJ31" s="219"/>
      <c r="AK31" s="212" t="s">
        <v>533</v>
      </c>
    </row>
    <row r="32" spans="1:37" x14ac:dyDescent="0.15">
      <c r="A32" s="213">
        <v>2177</v>
      </c>
      <c r="B32" s="214">
        <v>43656</v>
      </c>
      <c r="C32" s="212" t="s">
        <v>334</v>
      </c>
      <c r="D32" s="213" t="s">
        <v>367</v>
      </c>
      <c r="E32" s="214">
        <v>43646</v>
      </c>
      <c r="F32" s="212" t="s">
        <v>374</v>
      </c>
      <c r="G32" s="213" t="s">
        <v>380</v>
      </c>
      <c r="H32" s="218">
        <v>85.427272727272722</v>
      </c>
      <c r="I32" s="216"/>
      <c r="J32" s="213"/>
      <c r="K32" s="213"/>
      <c r="L32" s="213"/>
      <c r="M32" s="213"/>
      <c r="N32" s="213"/>
      <c r="O32" s="218">
        <v>3.6636363636363636</v>
      </c>
      <c r="P32" s="233" t="s">
        <v>370</v>
      </c>
      <c r="Q32" s="233"/>
      <c r="R32" s="233"/>
      <c r="S32" s="233"/>
      <c r="T32" s="233"/>
      <c r="U32" s="233" t="s">
        <v>370</v>
      </c>
      <c r="V32" s="233" t="s">
        <v>370</v>
      </c>
      <c r="W32" s="233" t="s">
        <v>370</v>
      </c>
      <c r="X32" s="233" t="s">
        <v>370</v>
      </c>
      <c r="Y32" s="233" t="s">
        <v>370</v>
      </c>
      <c r="Z32" s="233" t="s">
        <v>370</v>
      </c>
      <c r="AA32" s="233" t="s">
        <v>370</v>
      </c>
      <c r="AB32" s="233" t="s">
        <v>370</v>
      </c>
      <c r="AC32" s="233" t="s">
        <v>370</v>
      </c>
      <c r="AD32" s="233" t="s">
        <v>370</v>
      </c>
      <c r="AE32" s="233" t="s">
        <v>370</v>
      </c>
      <c r="AF32" s="233" t="s">
        <v>370</v>
      </c>
      <c r="AG32" s="219" t="s">
        <v>371</v>
      </c>
      <c r="AH32" s="219"/>
      <c r="AI32" s="219"/>
      <c r="AJ32" s="219"/>
      <c r="AK32" s="212" t="s">
        <v>534</v>
      </c>
    </row>
    <row r="33" spans="1:37" x14ac:dyDescent="0.15">
      <c r="A33" s="213">
        <v>875</v>
      </c>
      <c r="B33" s="214">
        <v>43656</v>
      </c>
      <c r="C33" s="212" t="s">
        <v>334</v>
      </c>
      <c r="D33" s="213" t="s">
        <v>367</v>
      </c>
      <c r="E33" s="214">
        <v>43646</v>
      </c>
      <c r="F33" s="212" t="s">
        <v>327</v>
      </c>
      <c r="G33" s="213" t="s">
        <v>380</v>
      </c>
      <c r="H33" s="218">
        <v>97.999999999999986</v>
      </c>
      <c r="I33" s="216"/>
      <c r="J33" s="217"/>
      <c r="K33" s="217"/>
      <c r="L33" s="217"/>
      <c r="M33" s="217"/>
      <c r="N33" s="217"/>
      <c r="O33" s="218">
        <v>3.6818181818181812</v>
      </c>
      <c r="P33" s="233" t="s">
        <v>370</v>
      </c>
      <c r="Q33" s="233"/>
      <c r="R33" s="233"/>
      <c r="S33" s="233"/>
      <c r="T33" s="233"/>
      <c r="U33" s="233" t="s">
        <v>370</v>
      </c>
      <c r="V33" s="233" t="s">
        <v>370</v>
      </c>
      <c r="W33" s="233" t="s">
        <v>370</v>
      </c>
      <c r="X33" s="233" t="s">
        <v>370</v>
      </c>
      <c r="Y33" s="233" t="s">
        <v>370</v>
      </c>
      <c r="Z33" s="233" t="s">
        <v>370</v>
      </c>
      <c r="AA33" s="233" t="s">
        <v>370</v>
      </c>
      <c r="AB33" s="233" t="s">
        <v>370</v>
      </c>
      <c r="AC33" s="233" t="s">
        <v>370</v>
      </c>
      <c r="AD33" s="233" t="s">
        <v>370</v>
      </c>
      <c r="AE33" s="233" t="s">
        <v>370</v>
      </c>
      <c r="AF33" s="233" t="s">
        <v>370</v>
      </c>
      <c r="AG33" s="219" t="s">
        <v>371</v>
      </c>
      <c r="AH33" s="213"/>
      <c r="AI33" s="213"/>
      <c r="AJ33" s="213"/>
      <c r="AK33" s="212" t="s">
        <v>535</v>
      </c>
    </row>
    <row r="34" spans="1:37" x14ac:dyDescent="0.15">
      <c r="A34" s="213">
        <v>2165</v>
      </c>
      <c r="B34" s="214">
        <v>43656</v>
      </c>
      <c r="C34" s="212" t="s">
        <v>334</v>
      </c>
      <c r="D34" s="213" t="s">
        <v>368</v>
      </c>
      <c r="E34" s="214">
        <v>43646</v>
      </c>
      <c r="F34" s="212" t="s">
        <v>374</v>
      </c>
      <c r="G34" s="213" t="s">
        <v>380</v>
      </c>
      <c r="H34" s="218">
        <v>100.19090909090907</v>
      </c>
      <c r="I34" s="216"/>
      <c r="J34" s="213"/>
      <c r="K34" s="213"/>
      <c r="L34" s="213"/>
      <c r="M34" s="213"/>
      <c r="N34" s="213"/>
      <c r="O34" s="218">
        <v>3.2636363636363632</v>
      </c>
      <c r="P34" s="233" t="s">
        <v>370</v>
      </c>
      <c r="Q34" s="233"/>
      <c r="R34" s="233"/>
      <c r="S34" s="233"/>
      <c r="T34" s="233"/>
      <c r="U34" s="233" t="s">
        <v>370</v>
      </c>
      <c r="V34" s="233" t="s">
        <v>370</v>
      </c>
      <c r="W34" s="233" t="s">
        <v>370</v>
      </c>
      <c r="X34" s="233" t="s">
        <v>370</v>
      </c>
      <c r="Y34" s="233" t="s">
        <v>370</v>
      </c>
      <c r="Z34" s="233" t="s">
        <v>370</v>
      </c>
      <c r="AA34" s="233" t="s">
        <v>370</v>
      </c>
      <c r="AB34" s="233" t="s">
        <v>370</v>
      </c>
      <c r="AC34" s="233" t="s">
        <v>370</v>
      </c>
      <c r="AD34" s="233" t="s">
        <v>370</v>
      </c>
      <c r="AE34" s="233" t="s">
        <v>370</v>
      </c>
      <c r="AF34" s="233" t="s">
        <v>370</v>
      </c>
      <c r="AG34" s="219" t="s">
        <v>371</v>
      </c>
      <c r="AH34" s="219"/>
      <c r="AI34" s="219"/>
      <c r="AJ34" s="219"/>
      <c r="AK34" s="212" t="s">
        <v>398</v>
      </c>
    </row>
    <row r="35" spans="1:37" x14ac:dyDescent="0.15">
      <c r="A35" s="213">
        <v>2099</v>
      </c>
      <c r="B35" s="214">
        <v>43656</v>
      </c>
      <c r="C35" s="212" t="s">
        <v>334</v>
      </c>
      <c r="D35" s="213" t="s">
        <v>368</v>
      </c>
      <c r="E35" s="214">
        <v>43648</v>
      </c>
      <c r="F35" s="212" t="s">
        <v>133</v>
      </c>
      <c r="G35" s="213" t="s">
        <v>380</v>
      </c>
      <c r="H35" s="218">
        <v>108.19999999999999</v>
      </c>
      <c r="I35" s="216"/>
      <c r="J35" s="213"/>
      <c r="K35" s="213"/>
      <c r="L35" s="213"/>
      <c r="M35" s="213"/>
      <c r="N35" s="213"/>
      <c r="O35" s="218">
        <v>2.9636363636363634</v>
      </c>
      <c r="P35" s="233" t="s">
        <v>370</v>
      </c>
      <c r="Q35" s="233"/>
      <c r="R35" s="233"/>
      <c r="S35" s="233"/>
      <c r="T35" s="233"/>
      <c r="U35" s="233" t="s">
        <v>370</v>
      </c>
      <c r="V35" s="233" t="s">
        <v>370</v>
      </c>
      <c r="W35" s="233" t="s">
        <v>370</v>
      </c>
      <c r="X35" s="233" t="s">
        <v>370</v>
      </c>
      <c r="Y35" s="233" t="s">
        <v>370</v>
      </c>
      <c r="Z35" s="233" t="s">
        <v>370</v>
      </c>
      <c r="AA35" s="233" t="s">
        <v>370</v>
      </c>
      <c r="AB35" s="233" t="s">
        <v>370</v>
      </c>
      <c r="AC35" s="233" t="s">
        <v>370</v>
      </c>
      <c r="AD35" s="233" t="s">
        <v>370</v>
      </c>
      <c r="AE35" s="233" t="s">
        <v>370</v>
      </c>
      <c r="AF35" s="233" t="s">
        <v>370</v>
      </c>
      <c r="AG35" s="219" t="s">
        <v>371</v>
      </c>
      <c r="AH35" s="219"/>
      <c r="AI35" s="219"/>
      <c r="AJ35" s="219"/>
      <c r="AK35" s="212" t="s">
        <v>398</v>
      </c>
    </row>
    <row r="36" spans="1:37" x14ac:dyDescent="0.15">
      <c r="A36" s="213"/>
      <c r="B36" s="214">
        <v>43656</v>
      </c>
      <c r="C36" s="212" t="s">
        <v>334</v>
      </c>
      <c r="D36" s="213" t="s">
        <v>368</v>
      </c>
      <c r="E36" s="214">
        <v>43646</v>
      </c>
      <c r="F36" s="212" t="s">
        <v>373</v>
      </c>
      <c r="G36" s="213" t="s">
        <v>380</v>
      </c>
      <c r="H36" s="218">
        <v>107.1</v>
      </c>
      <c r="I36" s="216" t="s">
        <v>323</v>
      </c>
      <c r="J36" s="217">
        <v>1650</v>
      </c>
      <c r="K36" s="217">
        <v>2960</v>
      </c>
      <c r="L36" s="217">
        <v>2960</v>
      </c>
      <c r="M36" s="217">
        <v>2960</v>
      </c>
      <c r="N36" s="217">
        <v>2960</v>
      </c>
      <c r="O36" s="218">
        <v>4.545454545454545</v>
      </c>
      <c r="P36" s="218">
        <v>3.754545454545454</v>
      </c>
      <c r="Q36" s="218">
        <v>3.1181818181818182</v>
      </c>
      <c r="R36" s="218">
        <v>0</v>
      </c>
      <c r="S36" s="218">
        <v>0</v>
      </c>
      <c r="T36" s="218">
        <v>0</v>
      </c>
      <c r="U36" s="233" t="s">
        <v>370</v>
      </c>
      <c r="V36" s="233" t="s">
        <v>370</v>
      </c>
      <c r="W36" s="233" t="s">
        <v>370</v>
      </c>
      <c r="X36" s="233" t="s">
        <v>370</v>
      </c>
      <c r="Y36" s="233" t="s">
        <v>370</v>
      </c>
      <c r="Z36" s="233" t="s">
        <v>370</v>
      </c>
      <c r="AA36" s="233" t="s">
        <v>370</v>
      </c>
      <c r="AB36" s="233" t="s">
        <v>370</v>
      </c>
      <c r="AC36" s="233" t="s">
        <v>370</v>
      </c>
      <c r="AD36" s="233" t="s">
        <v>370</v>
      </c>
      <c r="AE36" s="233" t="s">
        <v>370</v>
      </c>
      <c r="AF36" s="233" t="s">
        <v>370</v>
      </c>
      <c r="AG36" s="219" t="s">
        <v>371</v>
      </c>
      <c r="AH36" s="219"/>
      <c r="AI36" s="219"/>
      <c r="AJ36" s="219"/>
      <c r="AK36" s="212" t="s">
        <v>398</v>
      </c>
    </row>
    <row r="37" spans="1:37" x14ac:dyDescent="0.15">
      <c r="A37" s="213"/>
      <c r="B37" s="214">
        <v>43656</v>
      </c>
      <c r="C37" s="212" t="s">
        <v>334</v>
      </c>
      <c r="D37" s="213" t="s">
        <v>368</v>
      </c>
      <c r="E37" s="214">
        <v>43646</v>
      </c>
      <c r="F37" s="212" t="s">
        <v>327</v>
      </c>
      <c r="G37" s="213" t="s">
        <v>380</v>
      </c>
      <c r="H37" s="218">
        <v>120.99999999999999</v>
      </c>
      <c r="I37" s="216"/>
      <c r="J37" s="213"/>
      <c r="K37" s="213"/>
      <c r="L37" s="213"/>
      <c r="M37" s="213"/>
      <c r="N37" s="213"/>
      <c r="O37" s="218">
        <v>2.9818181818181815</v>
      </c>
      <c r="P37" s="233" t="s">
        <v>370</v>
      </c>
      <c r="Q37" s="233"/>
      <c r="R37" s="233"/>
      <c r="S37" s="233"/>
      <c r="T37" s="233"/>
      <c r="U37" s="233" t="s">
        <v>370</v>
      </c>
      <c r="V37" s="233" t="s">
        <v>370</v>
      </c>
      <c r="W37" s="233" t="s">
        <v>370</v>
      </c>
      <c r="X37" s="233" t="s">
        <v>370</v>
      </c>
      <c r="Y37" s="233" t="s">
        <v>370</v>
      </c>
      <c r="Z37" s="233" t="s">
        <v>370</v>
      </c>
      <c r="AA37" s="233" t="s">
        <v>370</v>
      </c>
      <c r="AB37" s="233" t="s">
        <v>370</v>
      </c>
      <c r="AC37" s="233" t="s">
        <v>370</v>
      </c>
      <c r="AD37" s="233" t="s">
        <v>370</v>
      </c>
      <c r="AE37" s="233" t="s">
        <v>370</v>
      </c>
      <c r="AF37" s="233" t="s">
        <v>370</v>
      </c>
      <c r="AG37" s="219" t="s">
        <v>371</v>
      </c>
      <c r="AH37" s="219"/>
      <c r="AI37" s="219"/>
      <c r="AJ37" s="219"/>
      <c r="AK37" s="212" t="s">
        <v>398</v>
      </c>
    </row>
    <row r="38" spans="1:37" x14ac:dyDescent="0.15">
      <c r="A38" s="213">
        <v>2169</v>
      </c>
      <c r="B38" s="214">
        <v>43656</v>
      </c>
      <c r="C38" s="212" t="s">
        <v>334</v>
      </c>
      <c r="D38" s="213" t="s">
        <v>369</v>
      </c>
      <c r="E38" s="214">
        <v>43646</v>
      </c>
      <c r="F38" s="212" t="s">
        <v>374</v>
      </c>
      <c r="G38" s="213" t="s">
        <v>380</v>
      </c>
      <c r="H38" s="218">
        <v>66.849999999999994</v>
      </c>
      <c r="I38" s="216"/>
      <c r="J38" s="213"/>
      <c r="K38" s="213"/>
      <c r="L38" s="213"/>
      <c r="M38" s="213"/>
      <c r="N38" s="213"/>
      <c r="O38" s="218">
        <v>4.836363636363636</v>
      </c>
      <c r="P38" s="233" t="s">
        <v>370</v>
      </c>
      <c r="Q38" s="233"/>
      <c r="R38" s="233"/>
      <c r="S38" s="233"/>
      <c r="T38" s="233"/>
      <c r="U38" s="233" t="s">
        <v>370</v>
      </c>
      <c r="V38" s="233" t="s">
        <v>370</v>
      </c>
      <c r="W38" s="233" t="s">
        <v>370</v>
      </c>
      <c r="X38" s="233" t="s">
        <v>370</v>
      </c>
      <c r="Y38" s="233" t="s">
        <v>370</v>
      </c>
      <c r="Z38" s="233" t="s">
        <v>370</v>
      </c>
      <c r="AA38" s="233" t="s">
        <v>370</v>
      </c>
      <c r="AB38" s="233" t="s">
        <v>370</v>
      </c>
      <c r="AC38" s="233" t="s">
        <v>370</v>
      </c>
      <c r="AD38" s="233" t="s">
        <v>370</v>
      </c>
      <c r="AE38" s="233" t="s">
        <v>370</v>
      </c>
      <c r="AF38" s="233" t="s">
        <v>370</v>
      </c>
      <c r="AG38" s="219" t="s">
        <v>371</v>
      </c>
      <c r="AH38" s="219"/>
      <c r="AI38" s="219"/>
      <c r="AJ38" s="219"/>
      <c r="AK38" s="256" t="s">
        <v>536</v>
      </c>
    </row>
    <row r="39" spans="1:37" x14ac:dyDescent="0.15">
      <c r="A39" s="213" t="s">
        <v>516</v>
      </c>
      <c r="B39" s="214">
        <v>43656</v>
      </c>
      <c r="C39" s="212" t="s">
        <v>334</v>
      </c>
      <c r="D39" s="213" t="s">
        <v>369</v>
      </c>
      <c r="E39" s="214">
        <v>43646</v>
      </c>
      <c r="F39" s="212" t="s">
        <v>327</v>
      </c>
      <c r="G39" s="213" t="s">
        <v>380</v>
      </c>
      <c r="H39" s="218">
        <v>88.98181818181817</v>
      </c>
      <c r="I39" s="216"/>
      <c r="J39" s="213"/>
      <c r="K39" s="213"/>
      <c r="L39" s="213"/>
      <c r="M39" s="213"/>
      <c r="N39" s="213"/>
      <c r="O39" s="218">
        <v>4.4909090909090912</v>
      </c>
      <c r="P39" s="233" t="s">
        <v>370</v>
      </c>
      <c r="Q39" s="233"/>
      <c r="R39" s="233"/>
      <c r="S39" s="233"/>
      <c r="T39" s="233"/>
      <c r="U39" s="233" t="s">
        <v>370</v>
      </c>
      <c r="V39" s="233" t="s">
        <v>370</v>
      </c>
      <c r="W39" s="233" t="s">
        <v>370</v>
      </c>
      <c r="X39" s="233" t="s">
        <v>370</v>
      </c>
      <c r="Y39" s="233" t="s">
        <v>370</v>
      </c>
      <c r="Z39" s="233" t="s">
        <v>370</v>
      </c>
      <c r="AA39" s="233" t="s">
        <v>370</v>
      </c>
      <c r="AB39" s="233" t="s">
        <v>370</v>
      </c>
      <c r="AC39" s="233" t="s">
        <v>370</v>
      </c>
      <c r="AD39" s="233" t="s">
        <v>370</v>
      </c>
      <c r="AE39" s="233" t="s">
        <v>370</v>
      </c>
      <c r="AF39" s="233" t="s">
        <v>370</v>
      </c>
      <c r="AG39" s="219" t="s">
        <v>371</v>
      </c>
      <c r="AH39" s="219"/>
      <c r="AI39" s="219"/>
      <c r="AJ39" s="219"/>
      <c r="AK39" s="212" t="s">
        <v>537</v>
      </c>
    </row>
  </sheetData>
  <sheetProtection algorithmName="SHA-512" hashValue="mKCEM+Tu6CVbJ770AO9Bx9HhWce5mPdTHw+9IalLN9r0ZO+XdGxaM/ezqTOO14OYIHqeNM2/4A8MMyLBF059EA==" saltValue="rVJSevA8eYQfNJWW7eS+ZQ==" spinCount="100000" sheet="1" objects="1" scenarios="1"/>
  <hyperlinks>
    <hyperlink ref="AK6" r:id="rId1" xr:uid="{95CEB6EC-844F-654D-8C7C-1411A962CB2E}"/>
    <hyperlink ref="AK38" r:id="rId2" xr:uid="{B7BA9352-ADF7-8D4F-991E-CC56E9F6929A}"/>
  </hyperlinks>
  <pageMargins left="0.75" right="0.75" top="1" bottom="1" header="0.5" footer="0.5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B50A9-6D6A-BF44-ACCD-CB8CD9C2606D}">
  <sheetPr codeName="Sheet49"/>
  <dimension ref="A1:AK37"/>
  <sheetViews>
    <sheetView zoomScale="140" zoomScaleNormal="14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N29" sqref="N29"/>
    </sheetView>
  </sheetViews>
  <sheetFormatPr baseColWidth="10" defaultRowHeight="13" x14ac:dyDescent="0.15"/>
  <cols>
    <col min="1" max="1" width="6.1640625" customWidth="1"/>
    <col min="3" max="3" width="6.33203125" customWidth="1"/>
    <col min="4" max="4" width="24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7" ht="42" x14ac:dyDescent="0.15">
      <c r="A1" s="112" t="s">
        <v>234</v>
      </c>
      <c r="B1" s="112" t="s">
        <v>235</v>
      </c>
      <c r="C1" s="113" t="s">
        <v>236</v>
      </c>
      <c r="D1" s="114" t="s">
        <v>237</v>
      </c>
      <c r="E1" s="112" t="s">
        <v>192</v>
      </c>
      <c r="F1" s="113" t="s">
        <v>239</v>
      </c>
      <c r="G1" s="114" t="s">
        <v>240</v>
      </c>
      <c r="H1" s="115" t="s">
        <v>241</v>
      </c>
      <c r="I1" s="116" t="s">
        <v>242</v>
      </c>
      <c r="J1" s="116" t="s">
        <v>243</v>
      </c>
      <c r="K1" s="116" t="s">
        <v>244</v>
      </c>
      <c r="L1" s="116" t="s">
        <v>245</v>
      </c>
      <c r="M1" s="116" t="s">
        <v>246</v>
      </c>
      <c r="N1" s="117" t="s">
        <v>247</v>
      </c>
      <c r="O1" s="118" t="s">
        <v>248</v>
      </c>
      <c r="P1" s="118" t="s">
        <v>249</v>
      </c>
      <c r="Q1" s="118" t="s">
        <v>226</v>
      </c>
      <c r="R1" s="118" t="s">
        <v>285</v>
      </c>
      <c r="S1" s="118" t="s">
        <v>286</v>
      </c>
      <c r="T1" s="119" t="s">
        <v>287</v>
      </c>
      <c r="U1" s="120" t="s">
        <v>288</v>
      </c>
      <c r="V1" s="120" t="s">
        <v>289</v>
      </c>
      <c r="W1" s="120" t="s">
        <v>290</v>
      </c>
      <c r="X1" s="120" t="s">
        <v>148</v>
      </c>
      <c r="Y1" s="120" t="s">
        <v>149</v>
      </c>
      <c r="Z1" s="121" t="s">
        <v>150</v>
      </c>
      <c r="AA1" s="122" t="s">
        <v>151</v>
      </c>
      <c r="AB1" s="122" t="s">
        <v>152</v>
      </c>
      <c r="AC1" s="122" t="s">
        <v>153</v>
      </c>
      <c r="AD1" s="122" t="s">
        <v>154</v>
      </c>
      <c r="AE1" s="122" t="s">
        <v>267</v>
      </c>
      <c r="AF1" s="123" t="s">
        <v>268</v>
      </c>
      <c r="AG1" s="124" t="s">
        <v>269</v>
      </c>
      <c r="AH1" s="124" t="s">
        <v>270</v>
      </c>
      <c r="AI1" s="124" t="s">
        <v>271</v>
      </c>
      <c r="AJ1" s="125" t="s">
        <v>272</v>
      </c>
    </row>
    <row r="2" spans="1:37" x14ac:dyDescent="0.15">
      <c r="A2" s="213">
        <v>2095</v>
      </c>
      <c r="B2" s="234">
        <v>43306</v>
      </c>
      <c r="C2" s="212" t="s">
        <v>334</v>
      </c>
      <c r="D2" s="213" t="s">
        <v>355</v>
      </c>
      <c r="E2" s="214">
        <v>43284</v>
      </c>
      <c r="F2" s="212" t="s">
        <v>133</v>
      </c>
      <c r="G2" s="213" t="s">
        <v>380</v>
      </c>
      <c r="H2" s="218">
        <v>65.8</v>
      </c>
      <c r="I2" s="216" t="s">
        <v>323</v>
      </c>
      <c r="J2" s="217">
        <v>1200</v>
      </c>
      <c r="K2" s="217">
        <v>2400</v>
      </c>
      <c r="L2" s="217">
        <v>5400</v>
      </c>
      <c r="M2" s="217">
        <v>165400</v>
      </c>
      <c r="N2" s="217">
        <v>832000</v>
      </c>
      <c r="O2" s="218">
        <v>3.8090909090909091</v>
      </c>
      <c r="P2" s="218">
        <v>2.9545454545454541</v>
      </c>
      <c r="Q2" s="218">
        <v>2.8636363636363633</v>
      </c>
      <c r="R2" s="218">
        <v>2.7727272727272725</v>
      </c>
      <c r="S2" s="218">
        <v>2.5636363636363635</v>
      </c>
      <c r="T2" s="218">
        <v>2.2999999999999998</v>
      </c>
      <c r="U2" s="233" t="s">
        <v>370</v>
      </c>
      <c r="V2" s="233" t="s">
        <v>370</v>
      </c>
      <c r="W2" s="233" t="s">
        <v>370</v>
      </c>
      <c r="X2" s="233" t="s">
        <v>370</v>
      </c>
      <c r="Y2" s="233" t="s">
        <v>370</v>
      </c>
      <c r="Z2" s="233" t="s">
        <v>370</v>
      </c>
      <c r="AA2" s="233" t="s">
        <v>370</v>
      </c>
      <c r="AB2" s="233" t="s">
        <v>370</v>
      </c>
      <c r="AC2" s="233" t="s">
        <v>370</v>
      </c>
      <c r="AD2" s="233" t="s">
        <v>370</v>
      </c>
      <c r="AE2" s="233" t="s">
        <v>370</v>
      </c>
      <c r="AF2" s="233" t="s">
        <v>370</v>
      </c>
      <c r="AG2" s="219" t="s">
        <v>371</v>
      </c>
      <c r="AH2" s="219"/>
      <c r="AI2" s="219"/>
      <c r="AJ2" s="219"/>
      <c r="AK2" s="212" t="s">
        <v>464</v>
      </c>
    </row>
    <row r="3" spans="1:37" x14ac:dyDescent="0.15">
      <c r="A3" s="213">
        <v>1088</v>
      </c>
      <c r="B3" s="234">
        <v>43306</v>
      </c>
      <c r="C3" s="212" t="s">
        <v>334</v>
      </c>
      <c r="D3" s="213" t="s">
        <v>355</v>
      </c>
      <c r="E3" s="214">
        <v>43281</v>
      </c>
      <c r="F3" s="212" t="s">
        <v>328</v>
      </c>
      <c r="G3" s="213" t="s">
        <v>302</v>
      </c>
      <c r="H3" s="218">
        <v>67</v>
      </c>
      <c r="I3" s="216" t="s">
        <v>323</v>
      </c>
      <c r="J3" s="217">
        <v>1200</v>
      </c>
      <c r="K3" s="217">
        <v>2400</v>
      </c>
      <c r="L3" s="217">
        <v>5400</v>
      </c>
      <c r="M3" s="217">
        <v>165400</v>
      </c>
      <c r="N3" s="217">
        <v>832000</v>
      </c>
      <c r="O3" s="218">
        <v>5.5363636363636362</v>
      </c>
      <c r="P3" s="218">
        <v>4.4272727272727268</v>
      </c>
      <c r="Q3" s="218">
        <v>4.3</v>
      </c>
      <c r="R3" s="218">
        <v>4.2</v>
      </c>
      <c r="S3" s="218">
        <v>4</v>
      </c>
      <c r="T3" s="218">
        <v>3.8727272727272721</v>
      </c>
      <c r="U3" s="233" t="s">
        <v>370</v>
      </c>
      <c r="V3" s="233" t="s">
        <v>370</v>
      </c>
      <c r="W3" s="233" t="s">
        <v>370</v>
      </c>
      <c r="X3" s="233" t="s">
        <v>370</v>
      </c>
      <c r="Y3" s="233" t="s">
        <v>370</v>
      </c>
      <c r="Z3" s="233" t="s">
        <v>370</v>
      </c>
      <c r="AA3" s="233" t="s">
        <v>370</v>
      </c>
      <c r="AB3" s="233" t="s">
        <v>370</v>
      </c>
      <c r="AC3" s="233" t="s">
        <v>370</v>
      </c>
      <c r="AD3" s="233" t="s">
        <v>370</v>
      </c>
      <c r="AE3" s="233" t="s">
        <v>370</v>
      </c>
      <c r="AF3" s="233" t="s">
        <v>370</v>
      </c>
      <c r="AG3" s="219" t="s">
        <v>371</v>
      </c>
      <c r="AH3" s="213"/>
      <c r="AI3" s="213"/>
      <c r="AJ3" s="213"/>
      <c r="AK3" s="212" t="s">
        <v>465</v>
      </c>
    </row>
    <row r="4" spans="1:37" x14ac:dyDescent="0.15">
      <c r="A4" s="213">
        <v>2103</v>
      </c>
      <c r="B4" s="234">
        <v>43306</v>
      </c>
      <c r="C4" s="221" t="s">
        <v>334</v>
      </c>
      <c r="D4" s="213" t="s">
        <v>355</v>
      </c>
      <c r="E4" s="214">
        <v>43281</v>
      </c>
      <c r="F4" s="212" t="s">
        <v>372</v>
      </c>
      <c r="G4" s="213" t="s">
        <v>380</v>
      </c>
      <c r="H4" s="218">
        <v>59.1</v>
      </c>
      <c r="I4" s="216" t="s">
        <v>323</v>
      </c>
      <c r="J4" s="217">
        <v>1200</v>
      </c>
      <c r="K4" s="217">
        <v>2400</v>
      </c>
      <c r="L4" s="217">
        <v>5400</v>
      </c>
      <c r="M4" s="217">
        <v>165400</v>
      </c>
      <c r="N4" s="217">
        <v>832000</v>
      </c>
      <c r="O4" s="218">
        <v>4.4363636363636356</v>
      </c>
      <c r="P4" s="218">
        <v>2.9363636363636361</v>
      </c>
      <c r="Q4" s="218">
        <v>2.754545454545454</v>
      </c>
      <c r="R4" s="218">
        <v>2.7181818181818183</v>
      </c>
      <c r="S4" s="218">
        <v>2.6090909090909089</v>
      </c>
      <c r="T4" s="218">
        <v>2.1636363636363636</v>
      </c>
      <c r="U4" s="233" t="s">
        <v>370</v>
      </c>
      <c r="V4" s="233" t="s">
        <v>370</v>
      </c>
      <c r="W4" s="233" t="s">
        <v>370</v>
      </c>
      <c r="X4" s="233" t="s">
        <v>370</v>
      </c>
      <c r="Y4" s="233" t="s">
        <v>370</v>
      </c>
      <c r="Z4" s="233" t="s">
        <v>370</v>
      </c>
      <c r="AA4" s="233" t="s">
        <v>370</v>
      </c>
      <c r="AB4" s="233" t="s">
        <v>370</v>
      </c>
      <c r="AC4" s="233" t="s">
        <v>370</v>
      </c>
      <c r="AD4" s="233" t="s">
        <v>370</v>
      </c>
      <c r="AE4" s="233" t="s">
        <v>370</v>
      </c>
      <c r="AF4" s="233" t="s">
        <v>370</v>
      </c>
      <c r="AG4" s="219" t="s">
        <v>371</v>
      </c>
      <c r="AH4" s="219"/>
      <c r="AI4" s="219"/>
      <c r="AJ4" s="219"/>
      <c r="AK4" s="212" t="s">
        <v>466</v>
      </c>
    </row>
    <row r="5" spans="1:37" x14ac:dyDescent="0.15">
      <c r="A5" s="213">
        <v>2106</v>
      </c>
      <c r="B5" s="234">
        <v>43306</v>
      </c>
      <c r="C5" s="212" t="s">
        <v>334</v>
      </c>
      <c r="D5" s="213" t="s">
        <v>355</v>
      </c>
      <c r="E5" s="214">
        <v>43281</v>
      </c>
      <c r="F5" s="212" t="s">
        <v>373</v>
      </c>
      <c r="G5" s="213" t="s">
        <v>380</v>
      </c>
      <c r="H5" s="218">
        <v>66.772727272727266</v>
      </c>
      <c r="I5" s="216" t="s">
        <v>323</v>
      </c>
      <c r="J5" s="217">
        <v>1200</v>
      </c>
      <c r="K5" s="217">
        <v>2400</v>
      </c>
      <c r="L5" s="217">
        <v>5400</v>
      </c>
      <c r="M5" s="217">
        <v>165400</v>
      </c>
      <c r="N5" s="217">
        <v>832000</v>
      </c>
      <c r="O5" s="218">
        <v>4.0181818181818176</v>
      </c>
      <c r="P5" s="218">
        <v>2.8272727272727267</v>
      </c>
      <c r="Q5" s="218">
        <v>2.709090909090909</v>
      </c>
      <c r="R5" s="218">
        <v>2.5818181818181816</v>
      </c>
      <c r="S5" s="218">
        <v>2.5090909090909088</v>
      </c>
      <c r="T5" s="218">
        <v>2.2727272727272725</v>
      </c>
      <c r="U5" s="233" t="s">
        <v>370</v>
      </c>
      <c r="V5" s="233" t="s">
        <v>370</v>
      </c>
      <c r="W5" s="233" t="s">
        <v>370</v>
      </c>
      <c r="X5" s="233" t="s">
        <v>370</v>
      </c>
      <c r="Y5" s="233" t="s">
        <v>370</v>
      </c>
      <c r="Z5" s="233" t="s">
        <v>370</v>
      </c>
      <c r="AA5" s="233" t="s">
        <v>370</v>
      </c>
      <c r="AB5" s="233" t="s">
        <v>370</v>
      </c>
      <c r="AC5" s="233" t="s">
        <v>370</v>
      </c>
      <c r="AD5" s="233" t="s">
        <v>370</v>
      </c>
      <c r="AE5" s="233" t="s">
        <v>370</v>
      </c>
      <c r="AF5" s="233" t="s">
        <v>370</v>
      </c>
      <c r="AG5" s="219" t="s">
        <v>371</v>
      </c>
      <c r="AH5" s="213"/>
      <c r="AI5" s="213"/>
      <c r="AJ5" s="213"/>
      <c r="AK5" s="212" t="s">
        <v>470</v>
      </c>
    </row>
    <row r="6" spans="1:37" x14ac:dyDescent="0.15">
      <c r="A6" s="213">
        <v>2149</v>
      </c>
      <c r="B6" s="234">
        <v>43306</v>
      </c>
      <c r="C6" s="212" t="s">
        <v>334</v>
      </c>
      <c r="D6" s="213" t="s">
        <v>355</v>
      </c>
      <c r="E6" s="214">
        <v>43281</v>
      </c>
      <c r="F6" s="212" t="s">
        <v>374</v>
      </c>
      <c r="G6" s="213" t="s">
        <v>380</v>
      </c>
      <c r="H6" s="218">
        <v>67.354545454545459</v>
      </c>
      <c r="I6" s="216" t="s">
        <v>323</v>
      </c>
      <c r="J6" s="217">
        <v>1200</v>
      </c>
      <c r="K6" s="217">
        <v>165400</v>
      </c>
      <c r="L6" s="217">
        <v>165400</v>
      </c>
      <c r="M6" s="217">
        <v>165400</v>
      </c>
      <c r="N6" s="217">
        <v>165400</v>
      </c>
      <c r="O6" s="218">
        <v>4.0727272727272732</v>
      </c>
      <c r="P6" s="218">
        <v>2.6818181818181817</v>
      </c>
      <c r="Q6" s="218">
        <v>2.3909090909090907</v>
      </c>
      <c r="R6" s="218">
        <v>2.3909090909090907</v>
      </c>
      <c r="S6" s="218">
        <v>2.3909090909090907</v>
      </c>
      <c r="T6" s="218">
        <v>2.3909090909090907</v>
      </c>
      <c r="U6" s="233" t="s">
        <v>370</v>
      </c>
      <c r="V6" s="233" t="s">
        <v>370</v>
      </c>
      <c r="W6" s="233" t="s">
        <v>370</v>
      </c>
      <c r="X6" s="233" t="s">
        <v>370</v>
      </c>
      <c r="Y6" s="233" t="s">
        <v>370</v>
      </c>
      <c r="Z6" s="233" t="s">
        <v>370</v>
      </c>
      <c r="AA6" s="233" t="s">
        <v>370</v>
      </c>
      <c r="AB6" s="233" t="s">
        <v>370</v>
      </c>
      <c r="AC6" s="233" t="s">
        <v>370</v>
      </c>
      <c r="AD6" s="233" t="s">
        <v>370</v>
      </c>
      <c r="AE6" s="233" t="s">
        <v>370</v>
      </c>
      <c r="AF6" s="233" t="s">
        <v>370</v>
      </c>
      <c r="AG6" s="219" t="s">
        <v>371</v>
      </c>
      <c r="AH6" s="219"/>
      <c r="AI6" s="219"/>
      <c r="AJ6" s="219"/>
      <c r="AK6" s="220" t="s">
        <v>471</v>
      </c>
    </row>
    <row r="7" spans="1:37" x14ac:dyDescent="0.15">
      <c r="A7" s="213">
        <v>876</v>
      </c>
      <c r="B7" s="234">
        <v>43306</v>
      </c>
      <c r="C7" s="212" t="s">
        <v>334</v>
      </c>
      <c r="D7" s="213" t="s">
        <v>355</v>
      </c>
      <c r="E7" s="214">
        <v>43281</v>
      </c>
      <c r="F7" s="212" t="s">
        <v>327</v>
      </c>
      <c r="G7" s="213" t="s">
        <v>380</v>
      </c>
      <c r="H7" s="218">
        <v>67.999999999999986</v>
      </c>
      <c r="I7" s="216" t="s">
        <v>323</v>
      </c>
      <c r="J7" s="217">
        <v>1200</v>
      </c>
      <c r="K7" s="217">
        <v>2400</v>
      </c>
      <c r="L7" s="217">
        <v>5400</v>
      </c>
      <c r="M7" s="217">
        <v>165400</v>
      </c>
      <c r="N7" s="217">
        <v>165400</v>
      </c>
      <c r="O7" s="218">
        <v>4.2</v>
      </c>
      <c r="P7" s="218">
        <v>2.9999999999999996</v>
      </c>
      <c r="Q7" s="218">
        <v>2.7363636363636359</v>
      </c>
      <c r="R7" s="218">
        <v>2.6363636363636362</v>
      </c>
      <c r="S7" s="218">
        <v>2.5545454545454542</v>
      </c>
      <c r="T7" s="218">
        <v>2.5545454545454542</v>
      </c>
      <c r="U7" s="233" t="s">
        <v>370</v>
      </c>
      <c r="V7" s="233" t="s">
        <v>370</v>
      </c>
      <c r="W7" s="233" t="s">
        <v>370</v>
      </c>
      <c r="X7" s="233" t="s">
        <v>370</v>
      </c>
      <c r="Y7" s="233" t="s">
        <v>370</v>
      </c>
      <c r="Z7" s="233" t="s">
        <v>370</v>
      </c>
      <c r="AA7" s="233" t="s">
        <v>370</v>
      </c>
      <c r="AB7" s="233" t="s">
        <v>370</v>
      </c>
      <c r="AC7" s="233" t="s">
        <v>370</v>
      </c>
      <c r="AD7" s="233" t="s">
        <v>370</v>
      </c>
      <c r="AE7" s="233" t="s">
        <v>370</v>
      </c>
      <c r="AF7" s="233" t="s">
        <v>370</v>
      </c>
      <c r="AG7" s="219" t="s">
        <v>371</v>
      </c>
      <c r="AH7" s="213"/>
      <c r="AI7" s="213"/>
      <c r="AJ7" s="213"/>
      <c r="AK7" s="220" t="s">
        <v>472</v>
      </c>
    </row>
    <row r="8" spans="1:37" x14ac:dyDescent="0.15">
      <c r="A8" s="213">
        <v>1092</v>
      </c>
      <c r="B8" s="234">
        <v>43306</v>
      </c>
      <c r="C8" s="221" t="s">
        <v>334</v>
      </c>
      <c r="D8" s="213" t="s">
        <v>355</v>
      </c>
      <c r="E8" s="214">
        <v>43281</v>
      </c>
      <c r="F8" s="212" t="s">
        <v>376</v>
      </c>
      <c r="G8" s="213" t="s">
        <v>380</v>
      </c>
      <c r="H8" s="218">
        <v>52.999999999999993</v>
      </c>
      <c r="I8" s="216" t="s">
        <v>323</v>
      </c>
      <c r="J8" s="217">
        <v>1200</v>
      </c>
      <c r="K8" s="217">
        <v>2400</v>
      </c>
      <c r="L8" s="217">
        <v>5400</v>
      </c>
      <c r="M8" s="217">
        <v>165400</v>
      </c>
      <c r="N8" s="217">
        <v>832000</v>
      </c>
      <c r="O8" s="218">
        <v>5.0818181818181811</v>
      </c>
      <c r="P8" s="218">
        <v>3.3818181818181818</v>
      </c>
      <c r="Q8" s="218">
        <v>3.127272727272727</v>
      </c>
      <c r="R8" s="218">
        <v>3.1</v>
      </c>
      <c r="S8" s="218">
        <v>2.9545454545454541</v>
      </c>
      <c r="T8" s="218">
        <v>1.6818181818181817</v>
      </c>
      <c r="U8" s="233" t="s">
        <v>370</v>
      </c>
      <c r="V8" s="233" t="s">
        <v>370</v>
      </c>
      <c r="W8" s="233" t="s">
        <v>370</v>
      </c>
      <c r="X8" s="233" t="s">
        <v>370</v>
      </c>
      <c r="Y8" s="233" t="s">
        <v>370</v>
      </c>
      <c r="Z8" s="233" t="s">
        <v>370</v>
      </c>
      <c r="AA8" s="233" t="s">
        <v>370</v>
      </c>
      <c r="AB8" s="233" t="s">
        <v>370</v>
      </c>
      <c r="AC8" s="233" t="s">
        <v>370</v>
      </c>
      <c r="AD8" s="233" t="s">
        <v>370</v>
      </c>
      <c r="AE8" s="233" t="s">
        <v>370</v>
      </c>
      <c r="AF8" s="233" t="s">
        <v>370</v>
      </c>
      <c r="AG8" s="219" t="s">
        <v>371</v>
      </c>
      <c r="AH8" s="219"/>
      <c r="AI8" s="219"/>
      <c r="AJ8" s="219"/>
      <c r="AK8" s="212" t="s">
        <v>467</v>
      </c>
    </row>
    <row r="9" spans="1:37" x14ac:dyDescent="0.15">
      <c r="A9" s="213"/>
      <c r="B9" s="234">
        <v>43306</v>
      </c>
      <c r="C9" s="221" t="s">
        <v>334</v>
      </c>
      <c r="D9" s="213" t="s">
        <v>355</v>
      </c>
      <c r="E9" s="214">
        <v>43281</v>
      </c>
      <c r="F9" s="212" t="s">
        <v>389</v>
      </c>
      <c r="G9" s="213" t="s">
        <v>380</v>
      </c>
      <c r="H9" s="218">
        <v>53.636363636363633</v>
      </c>
      <c r="I9" s="216" t="s">
        <v>323</v>
      </c>
      <c r="J9" s="217">
        <v>1200</v>
      </c>
      <c r="K9" s="217">
        <v>2400</v>
      </c>
      <c r="L9" s="217">
        <v>5400</v>
      </c>
      <c r="M9" s="217">
        <v>165400</v>
      </c>
      <c r="N9" s="217">
        <v>832000</v>
      </c>
      <c r="O9" s="218">
        <v>7.1818181818181817</v>
      </c>
      <c r="P9" s="218">
        <v>5.9999999999999991</v>
      </c>
      <c r="Q9" s="218">
        <v>5.9727272727272727</v>
      </c>
      <c r="R9" s="218">
        <v>5.9727272727272727</v>
      </c>
      <c r="S9" s="218">
        <v>5.8636363636363633</v>
      </c>
      <c r="T9" s="218">
        <v>5.1909090909090905</v>
      </c>
      <c r="U9" s="233" t="s">
        <v>370</v>
      </c>
      <c r="V9" s="233" t="s">
        <v>370</v>
      </c>
      <c r="W9" s="233" t="s">
        <v>370</v>
      </c>
      <c r="X9" s="233" t="s">
        <v>370</v>
      </c>
      <c r="Y9" s="233" t="s">
        <v>370</v>
      </c>
      <c r="Z9" s="233" t="s">
        <v>370</v>
      </c>
      <c r="AA9" s="233" t="s">
        <v>370</v>
      </c>
      <c r="AB9" s="233" t="s">
        <v>370</v>
      </c>
      <c r="AC9" s="233" t="s">
        <v>370</v>
      </c>
      <c r="AD9" s="233" t="s">
        <v>370</v>
      </c>
      <c r="AE9" s="233" t="s">
        <v>370</v>
      </c>
      <c r="AF9" s="233" t="s">
        <v>370</v>
      </c>
      <c r="AG9" s="219" t="s">
        <v>371</v>
      </c>
      <c r="AH9" s="219"/>
      <c r="AI9" s="219"/>
      <c r="AJ9" s="219"/>
      <c r="AK9" s="212" t="s">
        <v>468</v>
      </c>
    </row>
    <row r="10" spans="1:37" x14ac:dyDescent="0.15">
      <c r="A10" s="213"/>
      <c r="B10" s="234">
        <v>43306</v>
      </c>
      <c r="C10" s="221" t="s">
        <v>334</v>
      </c>
      <c r="D10" s="213" t="s">
        <v>355</v>
      </c>
      <c r="E10" s="214">
        <v>43281</v>
      </c>
      <c r="F10" s="212" t="s">
        <v>391</v>
      </c>
      <c r="G10" s="213" t="s">
        <v>380</v>
      </c>
      <c r="H10" s="218">
        <v>63.25454545454545</v>
      </c>
      <c r="I10" s="216" t="s">
        <v>323</v>
      </c>
      <c r="J10" s="217">
        <v>1200</v>
      </c>
      <c r="K10" s="217">
        <v>2400</v>
      </c>
      <c r="L10" s="217">
        <v>5400</v>
      </c>
      <c r="M10" s="217">
        <v>165400</v>
      </c>
      <c r="N10" s="217">
        <v>832000</v>
      </c>
      <c r="O10" s="218">
        <v>4.836363636363636</v>
      </c>
      <c r="P10" s="218">
        <v>2.9727272727272727</v>
      </c>
      <c r="Q10" s="218">
        <v>2.918181818181818</v>
      </c>
      <c r="R10" s="218">
        <v>2.8636363636363633</v>
      </c>
      <c r="S10" s="218">
        <v>2.5909090909090908</v>
      </c>
      <c r="T10" s="218">
        <v>2.1999999999999997</v>
      </c>
      <c r="U10" s="233" t="s">
        <v>370</v>
      </c>
      <c r="V10" s="233" t="s">
        <v>370</v>
      </c>
      <c r="W10" s="233" t="s">
        <v>370</v>
      </c>
      <c r="X10" s="233" t="s">
        <v>370</v>
      </c>
      <c r="Y10" s="233" t="s">
        <v>370</v>
      </c>
      <c r="Z10" s="233" t="s">
        <v>370</v>
      </c>
      <c r="AA10" s="233" t="s">
        <v>370</v>
      </c>
      <c r="AB10" s="233" t="s">
        <v>370</v>
      </c>
      <c r="AC10" s="233" t="s">
        <v>370</v>
      </c>
      <c r="AD10" s="233" t="s">
        <v>370</v>
      </c>
      <c r="AE10" s="233" t="s">
        <v>370</v>
      </c>
      <c r="AF10" s="233" t="s">
        <v>370</v>
      </c>
      <c r="AG10" s="219" t="s">
        <v>371</v>
      </c>
      <c r="AH10" s="219"/>
      <c r="AI10" s="219"/>
      <c r="AJ10" s="219"/>
      <c r="AK10" s="212" t="s">
        <v>428</v>
      </c>
    </row>
    <row r="11" spans="1:37" x14ac:dyDescent="0.15">
      <c r="A11" s="213"/>
      <c r="B11" s="234">
        <v>43306</v>
      </c>
      <c r="C11" s="221" t="s">
        <v>334</v>
      </c>
      <c r="D11" s="213" t="s">
        <v>355</v>
      </c>
      <c r="E11" s="214">
        <v>43198</v>
      </c>
      <c r="F11" s="212" t="s">
        <v>393</v>
      </c>
      <c r="G11" s="213" t="s">
        <v>380</v>
      </c>
      <c r="H11" s="218">
        <v>80</v>
      </c>
      <c r="I11" s="216" t="s">
        <v>323</v>
      </c>
      <c r="J11" s="217">
        <v>1200</v>
      </c>
      <c r="K11" s="217">
        <v>2400</v>
      </c>
      <c r="L11" s="217">
        <v>5400</v>
      </c>
      <c r="M11" s="217">
        <v>165400</v>
      </c>
      <c r="N11" s="217">
        <v>832000</v>
      </c>
      <c r="O11" s="218">
        <v>4</v>
      </c>
      <c r="P11" s="218">
        <v>2.8</v>
      </c>
      <c r="Q11" s="218">
        <v>2.5999999999999996</v>
      </c>
      <c r="R11" s="218">
        <v>2.5</v>
      </c>
      <c r="S11" s="218">
        <v>2.4</v>
      </c>
      <c r="T11" s="218">
        <v>2.4</v>
      </c>
      <c r="U11" s="233" t="s">
        <v>370</v>
      </c>
      <c r="V11" s="233" t="s">
        <v>370</v>
      </c>
      <c r="W11" s="233" t="s">
        <v>370</v>
      </c>
      <c r="X11" s="233" t="s">
        <v>370</v>
      </c>
      <c r="Y11" s="233" t="s">
        <v>370</v>
      </c>
      <c r="Z11" s="233" t="s">
        <v>370</v>
      </c>
      <c r="AA11" s="233" t="s">
        <v>370</v>
      </c>
      <c r="AB11" s="233" t="s">
        <v>370</v>
      </c>
      <c r="AC11" s="233" t="s">
        <v>370</v>
      </c>
      <c r="AD11" s="233" t="s">
        <v>370</v>
      </c>
      <c r="AE11" s="233" t="s">
        <v>370</v>
      </c>
      <c r="AF11" s="233" t="s">
        <v>370</v>
      </c>
      <c r="AG11" s="219" t="s">
        <v>371</v>
      </c>
      <c r="AH11" s="219"/>
      <c r="AI11" s="219"/>
      <c r="AJ11" s="219"/>
      <c r="AK11" s="212" t="s">
        <v>394</v>
      </c>
    </row>
    <row r="12" spans="1:37" x14ac:dyDescent="0.15">
      <c r="A12" s="213"/>
      <c r="B12" s="234">
        <v>43306</v>
      </c>
      <c r="C12" s="221" t="s">
        <v>334</v>
      </c>
      <c r="D12" s="213" t="s">
        <v>355</v>
      </c>
      <c r="E12" s="214">
        <v>43281</v>
      </c>
      <c r="F12" s="212" t="s">
        <v>395</v>
      </c>
      <c r="G12" s="213" t="s">
        <v>380</v>
      </c>
      <c r="H12" s="218">
        <v>62</v>
      </c>
      <c r="I12" s="216" t="s">
        <v>323</v>
      </c>
      <c r="J12" s="245">
        <v>1258</v>
      </c>
      <c r="K12" s="217">
        <v>1258</v>
      </c>
      <c r="L12" s="217">
        <v>1258</v>
      </c>
      <c r="M12" s="217">
        <v>1258</v>
      </c>
      <c r="N12" s="217">
        <v>1258</v>
      </c>
      <c r="O12" s="218">
        <v>6.6</v>
      </c>
      <c r="P12" s="218">
        <v>5.9999999999999991</v>
      </c>
      <c r="Q12" s="218">
        <v>5.9999999999999991</v>
      </c>
      <c r="R12" s="218">
        <v>5.9999999999999991</v>
      </c>
      <c r="S12" s="218">
        <v>5.9999999999999991</v>
      </c>
      <c r="T12" s="218">
        <v>5.9999999999999991</v>
      </c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19" t="s">
        <v>371</v>
      </c>
      <c r="AH12" s="219"/>
      <c r="AI12" s="219"/>
      <c r="AJ12" s="219"/>
      <c r="AK12" s="212" t="s">
        <v>469</v>
      </c>
    </row>
    <row r="13" spans="1:37" x14ac:dyDescent="0.15">
      <c r="A13" s="213">
        <v>871</v>
      </c>
      <c r="B13" s="234">
        <v>43306</v>
      </c>
      <c r="C13" s="212" t="s">
        <v>334</v>
      </c>
      <c r="D13" s="213" t="s">
        <v>360</v>
      </c>
      <c r="E13" s="214">
        <v>43281</v>
      </c>
      <c r="F13" s="212" t="s">
        <v>397</v>
      </c>
      <c r="G13" s="213" t="s">
        <v>380</v>
      </c>
      <c r="H13" s="218">
        <v>58.754545454545443</v>
      </c>
      <c r="I13" s="216" t="s">
        <v>323</v>
      </c>
      <c r="J13" s="217">
        <v>1200</v>
      </c>
      <c r="K13" s="217">
        <v>2400</v>
      </c>
      <c r="L13" s="217">
        <v>5400</v>
      </c>
      <c r="M13" s="217">
        <v>165400</v>
      </c>
      <c r="N13" s="217">
        <v>832000</v>
      </c>
      <c r="O13" s="218">
        <v>3.8909090909090907</v>
      </c>
      <c r="P13" s="218">
        <v>2.7181818181818183</v>
      </c>
      <c r="Q13" s="218">
        <v>2.6818181818181817</v>
      </c>
      <c r="R13" s="218">
        <v>2.5818181818181816</v>
      </c>
      <c r="S13" s="218">
        <v>2.2909090909090906</v>
      </c>
      <c r="T13" s="218">
        <v>0.5</v>
      </c>
      <c r="U13" s="233" t="s">
        <v>370</v>
      </c>
      <c r="V13" s="233" t="s">
        <v>370</v>
      </c>
      <c r="W13" s="233" t="s">
        <v>370</v>
      </c>
      <c r="X13" s="233" t="s">
        <v>370</v>
      </c>
      <c r="Y13" s="233" t="s">
        <v>370</v>
      </c>
      <c r="Z13" s="233" t="s">
        <v>370</v>
      </c>
      <c r="AA13" s="233" t="s">
        <v>370</v>
      </c>
      <c r="AB13" s="233" t="s">
        <v>370</v>
      </c>
      <c r="AC13" s="233" t="s">
        <v>370</v>
      </c>
      <c r="AD13" s="233" t="s">
        <v>370</v>
      </c>
      <c r="AE13" s="233" t="s">
        <v>370</v>
      </c>
      <c r="AF13" s="233" t="s">
        <v>370</v>
      </c>
      <c r="AG13" s="219" t="s">
        <v>371</v>
      </c>
      <c r="AH13" s="213"/>
      <c r="AI13" s="213"/>
      <c r="AJ13" s="213"/>
      <c r="AK13" s="247" t="s">
        <v>473</v>
      </c>
    </row>
    <row r="14" spans="1:37" x14ac:dyDescent="0.15">
      <c r="A14" s="213">
        <v>2108</v>
      </c>
      <c r="B14" s="234">
        <v>43306</v>
      </c>
      <c r="C14" s="212" t="s">
        <v>334</v>
      </c>
      <c r="D14" s="213" t="s">
        <v>360</v>
      </c>
      <c r="E14" s="214">
        <v>43281</v>
      </c>
      <c r="F14" s="212" t="s">
        <v>373</v>
      </c>
      <c r="G14" s="213" t="s">
        <v>380</v>
      </c>
      <c r="H14" s="218">
        <v>66.772727272727266</v>
      </c>
      <c r="I14" s="216" t="s">
        <v>323</v>
      </c>
      <c r="J14" s="246">
        <v>1200</v>
      </c>
      <c r="K14" s="246">
        <v>2400</v>
      </c>
      <c r="L14" s="246">
        <v>5400</v>
      </c>
      <c r="M14" s="246">
        <v>165400</v>
      </c>
      <c r="N14" s="246">
        <v>832000</v>
      </c>
      <c r="O14" s="218">
        <v>4.0181818181818176</v>
      </c>
      <c r="P14" s="218">
        <v>2.8363636363636364</v>
      </c>
      <c r="Q14" s="218">
        <v>2.709090909090909</v>
      </c>
      <c r="R14" s="218">
        <v>2.5818181818181816</v>
      </c>
      <c r="S14" s="218">
        <v>2.5181818181818181</v>
      </c>
      <c r="T14" s="218">
        <v>2.2727272727272725</v>
      </c>
      <c r="U14" s="233" t="s">
        <v>370</v>
      </c>
      <c r="V14" s="233" t="s">
        <v>370</v>
      </c>
      <c r="W14" s="233" t="s">
        <v>370</v>
      </c>
      <c r="X14" s="233" t="s">
        <v>370</v>
      </c>
      <c r="Y14" s="233" t="s">
        <v>370</v>
      </c>
      <c r="Z14" s="233" t="s">
        <v>370</v>
      </c>
      <c r="AA14" s="233" t="s">
        <v>370</v>
      </c>
      <c r="AB14" s="233" t="s">
        <v>370</v>
      </c>
      <c r="AC14" s="233" t="s">
        <v>370</v>
      </c>
      <c r="AD14" s="233" t="s">
        <v>370</v>
      </c>
      <c r="AE14" s="233" t="s">
        <v>370</v>
      </c>
      <c r="AF14" s="233" t="s">
        <v>370</v>
      </c>
      <c r="AG14" s="219" t="s">
        <v>371</v>
      </c>
      <c r="AH14" s="213"/>
      <c r="AI14" s="213"/>
      <c r="AJ14" s="213"/>
      <c r="AK14" s="212" t="s">
        <v>496</v>
      </c>
    </row>
    <row r="15" spans="1:37" x14ac:dyDescent="0.15">
      <c r="A15" s="213">
        <v>872</v>
      </c>
      <c r="B15" s="234">
        <v>43306</v>
      </c>
      <c r="C15" s="212" t="s">
        <v>334</v>
      </c>
      <c r="D15" s="213" t="s">
        <v>361</v>
      </c>
      <c r="E15" s="214">
        <v>43281</v>
      </c>
      <c r="F15" s="212" t="s">
        <v>397</v>
      </c>
      <c r="G15" s="213" t="s">
        <v>380</v>
      </c>
      <c r="H15" s="218">
        <v>75.999999999999986</v>
      </c>
      <c r="I15" s="216" t="s">
        <v>323</v>
      </c>
      <c r="J15" s="217">
        <v>2460</v>
      </c>
      <c r="K15" s="217">
        <v>28980</v>
      </c>
      <c r="L15" s="217">
        <v>118320</v>
      </c>
      <c r="M15" s="217">
        <v>118320</v>
      </c>
      <c r="N15" s="217">
        <v>118320</v>
      </c>
      <c r="O15" s="218">
        <v>3.4545454545454541</v>
      </c>
      <c r="P15" s="218">
        <v>2.8</v>
      </c>
      <c r="Q15" s="218">
        <v>2.5818181818181816</v>
      </c>
      <c r="R15" s="218">
        <v>2.5</v>
      </c>
      <c r="S15" s="218">
        <v>0</v>
      </c>
      <c r="T15" s="218">
        <v>0</v>
      </c>
      <c r="U15" s="233" t="s">
        <v>370</v>
      </c>
      <c r="V15" s="233" t="s">
        <v>370</v>
      </c>
      <c r="W15" s="233" t="s">
        <v>370</v>
      </c>
      <c r="X15" s="233" t="s">
        <v>370</v>
      </c>
      <c r="Y15" s="233" t="s">
        <v>370</v>
      </c>
      <c r="Z15" s="233" t="s">
        <v>370</v>
      </c>
      <c r="AA15" s="233" t="s">
        <v>370</v>
      </c>
      <c r="AB15" s="233" t="s">
        <v>370</v>
      </c>
      <c r="AC15" s="233" t="s">
        <v>370</v>
      </c>
      <c r="AD15" s="233" t="s">
        <v>370</v>
      </c>
      <c r="AE15" s="233" t="s">
        <v>370</v>
      </c>
      <c r="AF15" s="233" t="s">
        <v>370</v>
      </c>
      <c r="AG15" s="219" t="s">
        <v>371</v>
      </c>
      <c r="AH15" s="219"/>
      <c r="AI15" s="219"/>
      <c r="AJ15" s="219"/>
      <c r="AK15" s="212" t="s">
        <v>474</v>
      </c>
    </row>
    <row r="16" spans="1:37" x14ac:dyDescent="0.15">
      <c r="A16" s="213">
        <v>2109</v>
      </c>
      <c r="B16" s="234">
        <v>43306</v>
      </c>
      <c r="C16" s="212" t="s">
        <v>334</v>
      </c>
      <c r="D16" s="213" t="s">
        <v>361</v>
      </c>
      <c r="E16" s="214">
        <v>43281</v>
      </c>
      <c r="F16" s="212" t="s">
        <v>373</v>
      </c>
      <c r="G16" s="213" t="s">
        <v>380</v>
      </c>
      <c r="H16" s="218">
        <v>81.172727272727272</v>
      </c>
      <c r="I16" s="216" t="s">
        <v>323</v>
      </c>
      <c r="J16" s="217">
        <v>2460</v>
      </c>
      <c r="K16" s="217">
        <v>164700</v>
      </c>
      <c r="L16" s="217">
        <v>822540</v>
      </c>
      <c r="M16" s="217">
        <v>822540</v>
      </c>
      <c r="N16" s="217">
        <v>822540</v>
      </c>
      <c r="O16" s="218">
        <v>3.3545454545454541</v>
      </c>
      <c r="P16" s="218">
        <v>3.0272727272727269</v>
      </c>
      <c r="Q16" s="218">
        <v>2.9272727272727272</v>
      </c>
      <c r="R16" s="218">
        <v>2.7</v>
      </c>
      <c r="S16" s="218">
        <v>0</v>
      </c>
      <c r="T16" s="218">
        <v>0</v>
      </c>
      <c r="U16" s="233" t="s">
        <v>370</v>
      </c>
      <c r="V16" s="233" t="s">
        <v>370</v>
      </c>
      <c r="W16" s="233" t="s">
        <v>370</v>
      </c>
      <c r="X16" s="233" t="s">
        <v>370</v>
      </c>
      <c r="Y16" s="233" t="s">
        <v>370</v>
      </c>
      <c r="Z16" s="233" t="s">
        <v>370</v>
      </c>
      <c r="AA16" s="233" t="s">
        <v>370</v>
      </c>
      <c r="AB16" s="233" t="s">
        <v>370</v>
      </c>
      <c r="AC16" s="233" t="s">
        <v>370</v>
      </c>
      <c r="AD16" s="233" t="s">
        <v>370</v>
      </c>
      <c r="AE16" s="233" t="s">
        <v>370</v>
      </c>
      <c r="AF16" s="233" t="s">
        <v>370</v>
      </c>
      <c r="AG16" s="219" t="s">
        <v>371</v>
      </c>
      <c r="AH16" s="219"/>
      <c r="AI16" s="219"/>
      <c r="AJ16" s="219"/>
      <c r="AK16" s="212" t="s">
        <v>475</v>
      </c>
    </row>
    <row r="17" spans="1:37" x14ac:dyDescent="0.15">
      <c r="A17" s="213">
        <v>873</v>
      </c>
      <c r="B17" s="234">
        <v>43306</v>
      </c>
      <c r="C17" s="212" t="s">
        <v>334</v>
      </c>
      <c r="D17" s="213" t="s">
        <v>362</v>
      </c>
      <c r="E17" s="214">
        <v>43281</v>
      </c>
      <c r="F17" s="212" t="s">
        <v>397</v>
      </c>
      <c r="G17" s="213" t="s">
        <v>380</v>
      </c>
      <c r="H17" s="218">
        <v>89.3</v>
      </c>
      <c r="I17" s="216"/>
      <c r="J17" s="217"/>
      <c r="K17" s="217"/>
      <c r="L17" s="217"/>
      <c r="M17" s="217"/>
      <c r="N17" s="217"/>
      <c r="O17" s="218">
        <v>3.1999999999999997</v>
      </c>
      <c r="P17" s="233"/>
      <c r="Q17" s="233"/>
      <c r="R17" s="233"/>
      <c r="S17" s="233"/>
      <c r="T17" s="233"/>
      <c r="U17" s="233" t="s">
        <v>370</v>
      </c>
      <c r="V17" s="233" t="s">
        <v>370</v>
      </c>
      <c r="W17" s="233" t="s">
        <v>370</v>
      </c>
      <c r="X17" s="233" t="s">
        <v>370</v>
      </c>
      <c r="Y17" s="233" t="s">
        <v>370</v>
      </c>
      <c r="Z17" s="233" t="s">
        <v>370</v>
      </c>
      <c r="AA17" s="233" t="s">
        <v>370</v>
      </c>
      <c r="AB17" s="233" t="s">
        <v>370</v>
      </c>
      <c r="AC17" s="233" t="s">
        <v>370</v>
      </c>
      <c r="AD17" s="233" t="s">
        <v>370</v>
      </c>
      <c r="AE17" s="233" t="s">
        <v>370</v>
      </c>
      <c r="AF17" s="233" t="s">
        <v>370</v>
      </c>
      <c r="AG17" s="219" t="s">
        <v>371</v>
      </c>
      <c r="AH17" s="219"/>
      <c r="AI17" s="219"/>
      <c r="AJ17" s="219"/>
      <c r="AK17" s="212" t="s">
        <v>476</v>
      </c>
    </row>
    <row r="18" spans="1:37" x14ac:dyDescent="0.15">
      <c r="A18" s="213">
        <v>2110</v>
      </c>
      <c r="B18" s="234">
        <v>43306</v>
      </c>
      <c r="C18" s="212" t="s">
        <v>334</v>
      </c>
      <c r="D18" s="213" t="s">
        <v>363</v>
      </c>
      <c r="E18" s="214">
        <v>43281</v>
      </c>
      <c r="F18" s="212" t="s">
        <v>373</v>
      </c>
      <c r="G18" s="213" t="s">
        <v>380</v>
      </c>
      <c r="H18" s="218">
        <v>82.472727272727269</v>
      </c>
      <c r="I18" s="216" t="s">
        <v>323</v>
      </c>
      <c r="J18" s="217">
        <v>6000</v>
      </c>
      <c r="K18" s="217">
        <v>12000</v>
      </c>
      <c r="L18" s="217">
        <v>84000</v>
      </c>
      <c r="M18" s="217">
        <v>84000</v>
      </c>
      <c r="N18" s="217">
        <v>84000</v>
      </c>
      <c r="O18" s="218">
        <v>2.6909090909090905</v>
      </c>
      <c r="P18" s="218">
        <v>2.4727272727272727</v>
      </c>
      <c r="Q18" s="218">
        <v>2.3636363636363633</v>
      </c>
      <c r="R18" s="218">
        <v>2.3636363636363633</v>
      </c>
      <c r="S18" s="218">
        <v>0</v>
      </c>
      <c r="T18" s="218">
        <v>0</v>
      </c>
      <c r="U18" s="233" t="s">
        <v>370</v>
      </c>
      <c r="V18" s="233" t="s">
        <v>370</v>
      </c>
      <c r="W18" s="233" t="s">
        <v>370</v>
      </c>
      <c r="X18" s="233" t="s">
        <v>370</v>
      </c>
      <c r="Y18" s="233" t="s">
        <v>370</v>
      </c>
      <c r="Z18" s="233" t="s">
        <v>370</v>
      </c>
      <c r="AA18" s="233" t="s">
        <v>370</v>
      </c>
      <c r="AB18" s="233" t="s">
        <v>370</v>
      </c>
      <c r="AC18" s="233" t="s">
        <v>370</v>
      </c>
      <c r="AD18" s="233" t="s">
        <v>370</v>
      </c>
      <c r="AE18" s="233" t="s">
        <v>370</v>
      </c>
      <c r="AF18" s="233" t="s">
        <v>370</v>
      </c>
      <c r="AG18" s="219" t="s">
        <v>371</v>
      </c>
      <c r="AH18" s="219"/>
      <c r="AI18" s="219"/>
      <c r="AJ18" s="219"/>
      <c r="AK18" s="212" t="s">
        <v>477</v>
      </c>
    </row>
    <row r="19" spans="1:37" x14ac:dyDescent="0.15">
      <c r="A19" s="213">
        <v>2153</v>
      </c>
      <c r="B19" s="234">
        <v>43306</v>
      </c>
      <c r="C19" s="212" t="s">
        <v>334</v>
      </c>
      <c r="D19" s="213" t="s">
        <v>363</v>
      </c>
      <c r="E19" s="214">
        <v>43281</v>
      </c>
      <c r="F19" s="212" t="s">
        <v>374</v>
      </c>
      <c r="G19" s="213" t="s">
        <v>380</v>
      </c>
      <c r="H19" s="218">
        <v>65.572727272727263</v>
      </c>
      <c r="I19" s="216" t="s">
        <v>348</v>
      </c>
      <c r="J19" s="217">
        <v>1650</v>
      </c>
      <c r="K19" s="217">
        <v>1650</v>
      </c>
      <c r="L19" s="217">
        <v>1650</v>
      </c>
      <c r="M19" s="217">
        <v>1650</v>
      </c>
      <c r="N19" s="217">
        <v>1650</v>
      </c>
      <c r="O19" s="218">
        <v>2.7</v>
      </c>
      <c r="P19" s="218">
        <v>2.3454545454545452</v>
      </c>
      <c r="Q19" s="218">
        <v>2.3454545454545452</v>
      </c>
      <c r="R19" s="218">
        <v>2.3454545454545452</v>
      </c>
      <c r="S19" s="218">
        <v>2.3454545454545452</v>
      </c>
      <c r="T19" s="218">
        <v>2.3454545454545452</v>
      </c>
      <c r="U19" s="233" t="s">
        <v>370</v>
      </c>
      <c r="V19" s="233" t="s">
        <v>370</v>
      </c>
      <c r="W19" s="233" t="s">
        <v>370</v>
      </c>
      <c r="X19" s="233" t="s">
        <v>370</v>
      </c>
      <c r="Y19" s="233" t="s">
        <v>370</v>
      </c>
      <c r="Z19" s="233" t="s">
        <v>370</v>
      </c>
      <c r="AA19" s="233" t="s">
        <v>370</v>
      </c>
      <c r="AB19" s="233" t="s">
        <v>370</v>
      </c>
      <c r="AC19" s="233" t="s">
        <v>370</v>
      </c>
      <c r="AD19" s="233" t="s">
        <v>370</v>
      </c>
      <c r="AE19" s="233" t="s">
        <v>370</v>
      </c>
      <c r="AF19" s="233" t="s">
        <v>370</v>
      </c>
      <c r="AG19" s="219" t="s">
        <v>371</v>
      </c>
      <c r="AH19" s="219"/>
      <c r="AI19" s="219"/>
      <c r="AJ19" s="219"/>
      <c r="AK19" s="212" t="s">
        <v>478</v>
      </c>
    </row>
    <row r="20" spans="1:37" x14ac:dyDescent="0.15">
      <c r="A20" s="213">
        <v>2097</v>
      </c>
      <c r="B20" s="234">
        <v>43306</v>
      </c>
      <c r="C20" s="212" t="s">
        <v>334</v>
      </c>
      <c r="D20" s="213" t="s">
        <v>363</v>
      </c>
      <c r="E20" s="214">
        <v>43284</v>
      </c>
      <c r="F20" s="212" t="s">
        <v>133</v>
      </c>
      <c r="G20" s="213" t="s">
        <v>380</v>
      </c>
      <c r="H20" s="218">
        <v>69.881818181818176</v>
      </c>
      <c r="I20" s="216" t="s">
        <v>323</v>
      </c>
      <c r="J20" s="217">
        <v>1650</v>
      </c>
      <c r="K20" s="217">
        <v>2960</v>
      </c>
      <c r="L20" s="217">
        <v>2960</v>
      </c>
      <c r="M20" s="217">
        <v>2960</v>
      </c>
      <c r="N20" s="217">
        <v>2960</v>
      </c>
      <c r="O20" s="218">
        <v>2.4090909090909087</v>
      </c>
      <c r="P20" s="218">
        <v>2.1727272727272728</v>
      </c>
      <c r="Q20" s="218">
        <v>2.0636363636363635</v>
      </c>
      <c r="R20" s="218">
        <v>0</v>
      </c>
      <c r="S20" s="218">
        <v>0</v>
      </c>
      <c r="T20" s="218">
        <v>0</v>
      </c>
      <c r="U20" s="233" t="s">
        <v>370</v>
      </c>
      <c r="V20" s="233" t="s">
        <v>370</v>
      </c>
      <c r="W20" s="233" t="s">
        <v>370</v>
      </c>
      <c r="X20" s="233" t="s">
        <v>370</v>
      </c>
      <c r="Y20" s="233" t="s">
        <v>370</v>
      </c>
      <c r="Z20" s="233" t="s">
        <v>370</v>
      </c>
      <c r="AA20" s="233" t="s">
        <v>370</v>
      </c>
      <c r="AB20" s="233" t="s">
        <v>370</v>
      </c>
      <c r="AC20" s="233" t="s">
        <v>370</v>
      </c>
      <c r="AD20" s="233" t="s">
        <v>370</v>
      </c>
      <c r="AE20" s="233" t="s">
        <v>370</v>
      </c>
      <c r="AF20" s="233" t="s">
        <v>370</v>
      </c>
      <c r="AG20" s="219" t="s">
        <v>371</v>
      </c>
      <c r="AH20" s="219"/>
      <c r="AI20" s="219"/>
      <c r="AJ20" s="219"/>
      <c r="AK20" s="212" t="s">
        <v>479</v>
      </c>
    </row>
    <row r="21" spans="1:37" x14ac:dyDescent="0.15">
      <c r="A21" s="213"/>
      <c r="B21" s="234">
        <v>43306</v>
      </c>
      <c r="C21" s="212" t="s">
        <v>334</v>
      </c>
      <c r="D21" s="213" t="s">
        <v>363</v>
      </c>
      <c r="E21" s="214">
        <v>43292</v>
      </c>
      <c r="F21" s="212" t="s">
        <v>327</v>
      </c>
      <c r="G21" s="213" t="s">
        <v>380</v>
      </c>
      <c r="H21" s="218">
        <v>72</v>
      </c>
      <c r="I21" s="216" t="s">
        <v>323</v>
      </c>
      <c r="J21" s="217">
        <v>1650</v>
      </c>
      <c r="K21" s="217">
        <v>2960</v>
      </c>
      <c r="L21" s="217">
        <v>2960</v>
      </c>
      <c r="M21" s="217">
        <v>2960</v>
      </c>
      <c r="N21" s="217">
        <v>2960</v>
      </c>
      <c r="O21" s="218">
        <v>2.4545454545454546</v>
      </c>
      <c r="P21" s="218">
        <v>2.1545454545454543</v>
      </c>
      <c r="Q21" s="218">
        <v>1.9818181818181817</v>
      </c>
      <c r="R21" s="218">
        <v>0</v>
      </c>
      <c r="S21" s="218">
        <v>0</v>
      </c>
      <c r="T21" s="218">
        <v>0</v>
      </c>
      <c r="U21" s="233" t="s">
        <v>370</v>
      </c>
      <c r="V21" s="233" t="s">
        <v>370</v>
      </c>
      <c r="W21" s="233" t="s">
        <v>370</v>
      </c>
      <c r="X21" s="233" t="s">
        <v>370</v>
      </c>
      <c r="Y21" s="233" t="s">
        <v>370</v>
      </c>
      <c r="Z21" s="233" t="s">
        <v>370</v>
      </c>
      <c r="AA21" s="233" t="s">
        <v>370</v>
      </c>
      <c r="AB21" s="233" t="s">
        <v>370</v>
      </c>
      <c r="AC21" s="233" t="s">
        <v>370</v>
      </c>
      <c r="AD21" s="233" t="s">
        <v>370</v>
      </c>
      <c r="AE21" s="233" t="s">
        <v>370</v>
      </c>
      <c r="AF21" s="233" t="s">
        <v>370</v>
      </c>
      <c r="AG21" s="219" t="s">
        <v>371</v>
      </c>
      <c r="AH21" s="219"/>
      <c r="AI21" s="219"/>
      <c r="AJ21" s="219"/>
      <c r="AK21" s="212" t="s">
        <v>480</v>
      </c>
    </row>
    <row r="22" spans="1:37" x14ac:dyDescent="0.15">
      <c r="A22" s="213">
        <v>2111</v>
      </c>
      <c r="B22" s="234">
        <v>43306</v>
      </c>
      <c r="C22" s="212" t="s">
        <v>334</v>
      </c>
      <c r="D22" s="213" t="s">
        <v>364</v>
      </c>
      <c r="E22" s="214">
        <v>43281</v>
      </c>
      <c r="F22" s="212" t="s">
        <v>373</v>
      </c>
      <c r="G22" s="213" t="s">
        <v>380</v>
      </c>
      <c r="H22" s="218">
        <v>80.818181818181813</v>
      </c>
      <c r="I22" s="216" t="s">
        <v>323</v>
      </c>
      <c r="J22" s="217">
        <v>6000</v>
      </c>
      <c r="K22" s="217">
        <v>12000</v>
      </c>
      <c r="L22" s="217">
        <v>84000</v>
      </c>
      <c r="M22" s="217">
        <v>84000</v>
      </c>
      <c r="N22" s="217">
        <v>84000</v>
      </c>
      <c r="O22" s="218">
        <v>3.8454545454545457</v>
      </c>
      <c r="P22" s="218">
        <v>3.4181818181818175</v>
      </c>
      <c r="Q22" s="218">
        <v>3.0272727272727269</v>
      </c>
      <c r="R22" s="218">
        <v>2.9999999999999996</v>
      </c>
      <c r="S22" s="218">
        <v>0</v>
      </c>
      <c r="T22" s="218">
        <v>0</v>
      </c>
      <c r="U22" s="233" t="s">
        <v>370</v>
      </c>
      <c r="V22" s="233" t="s">
        <v>370</v>
      </c>
      <c r="W22" s="233" t="s">
        <v>370</v>
      </c>
      <c r="X22" s="233" t="s">
        <v>370</v>
      </c>
      <c r="Y22" s="233" t="s">
        <v>370</v>
      </c>
      <c r="Z22" s="233" t="s">
        <v>370</v>
      </c>
      <c r="AA22" s="233" t="s">
        <v>370</v>
      </c>
      <c r="AB22" s="233" t="s">
        <v>370</v>
      </c>
      <c r="AC22" s="233" t="s">
        <v>370</v>
      </c>
      <c r="AD22" s="233" t="s">
        <v>370</v>
      </c>
      <c r="AE22" s="233" t="s">
        <v>370</v>
      </c>
      <c r="AF22" s="233" t="s">
        <v>370</v>
      </c>
      <c r="AG22" s="219" t="s">
        <v>371</v>
      </c>
      <c r="AH22" s="219"/>
      <c r="AI22" s="219"/>
      <c r="AJ22" s="219"/>
      <c r="AK22" s="212" t="s">
        <v>481</v>
      </c>
    </row>
    <row r="23" spans="1:37" x14ac:dyDescent="0.15">
      <c r="A23" s="213">
        <v>2157</v>
      </c>
      <c r="B23" s="234">
        <v>43306</v>
      </c>
      <c r="C23" s="212" t="s">
        <v>334</v>
      </c>
      <c r="D23" s="213" t="s">
        <v>364</v>
      </c>
      <c r="E23" s="214">
        <v>43281</v>
      </c>
      <c r="F23" s="212" t="s">
        <v>374</v>
      </c>
      <c r="G23" s="213" t="s">
        <v>380</v>
      </c>
      <c r="H23" s="218">
        <v>68.081818181818178</v>
      </c>
      <c r="I23" s="216" t="s">
        <v>348</v>
      </c>
      <c r="J23" s="217">
        <v>1650</v>
      </c>
      <c r="K23" s="217">
        <v>1650</v>
      </c>
      <c r="L23" s="217">
        <v>1650</v>
      </c>
      <c r="M23" s="217">
        <v>1650</v>
      </c>
      <c r="N23" s="217">
        <v>1650</v>
      </c>
      <c r="O23" s="218">
        <v>3.9727272727272727</v>
      </c>
      <c r="P23" s="218">
        <v>3.0636363636363635</v>
      </c>
      <c r="Q23" s="218">
        <v>3.0636363636363635</v>
      </c>
      <c r="R23" s="218">
        <v>3.0636363636363635</v>
      </c>
      <c r="S23" s="218">
        <v>3.0636363636363635</v>
      </c>
      <c r="T23" s="218">
        <v>3.0636363636363635</v>
      </c>
      <c r="U23" s="233" t="s">
        <v>370</v>
      </c>
      <c r="V23" s="233" t="s">
        <v>370</v>
      </c>
      <c r="W23" s="233" t="s">
        <v>370</v>
      </c>
      <c r="X23" s="233" t="s">
        <v>370</v>
      </c>
      <c r="Y23" s="233" t="s">
        <v>370</v>
      </c>
      <c r="Z23" s="233" t="s">
        <v>370</v>
      </c>
      <c r="AA23" s="233" t="s">
        <v>370</v>
      </c>
      <c r="AB23" s="233" t="s">
        <v>370</v>
      </c>
      <c r="AC23" s="233" t="s">
        <v>370</v>
      </c>
      <c r="AD23" s="233" t="s">
        <v>370</v>
      </c>
      <c r="AE23" s="233" t="s">
        <v>370</v>
      </c>
      <c r="AF23" s="233" t="s">
        <v>370</v>
      </c>
      <c r="AG23" s="219" t="s">
        <v>371</v>
      </c>
      <c r="AH23" s="219"/>
      <c r="AI23" s="219"/>
      <c r="AJ23" s="219"/>
      <c r="AK23" s="212" t="s">
        <v>482</v>
      </c>
    </row>
    <row r="24" spans="1:37" x14ac:dyDescent="0.15">
      <c r="A24" s="213">
        <v>2098</v>
      </c>
      <c r="B24" s="234">
        <v>43306</v>
      </c>
      <c r="C24" s="212" t="s">
        <v>334</v>
      </c>
      <c r="D24" s="213" t="s">
        <v>364</v>
      </c>
      <c r="E24" s="214">
        <v>43284</v>
      </c>
      <c r="F24" s="212" t="s">
        <v>133</v>
      </c>
      <c r="G24" s="213" t="s">
        <v>380</v>
      </c>
      <c r="H24" s="218">
        <v>80.027272727272717</v>
      </c>
      <c r="I24" s="216" t="s">
        <v>323</v>
      </c>
      <c r="J24" s="217">
        <v>1650</v>
      </c>
      <c r="K24" s="217">
        <v>2960</v>
      </c>
      <c r="L24" s="217">
        <v>2960</v>
      </c>
      <c r="M24" s="217">
        <v>2960</v>
      </c>
      <c r="N24" s="217">
        <v>2960</v>
      </c>
      <c r="O24" s="218">
        <v>3.7909090909090906</v>
      </c>
      <c r="P24" s="218">
        <v>3.4454545454545453</v>
      </c>
      <c r="Q24" s="218">
        <v>2.754545454545454</v>
      </c>
      <c r="R24" s="218">
        <v>0</v>
      </c>
      <c r="S24" s="218">
        <v>0</v>
      </c>
      <c r="T24" s="218">
        <v>0</v>
      </c>
      <c r="U24" s="233" t="s">
        <v>370</v>
      </c>
      <c r="V24" s="233" t="s">
        <v>370</v>
      </c>
      <c r="W24" s="233" t="s">
        <v>370</v>
      </c>
      <c r="X24" s="233" t="s">
        <v>370</v>
      </c>
      <c r="Y24" s="233" t="s">
        <v>370</v>
      </c>
      <c r="Z24" s="233" t="s">
        <v>370</v>
      </c>
      <c r="AA24" s="233" t="s">
        <v>370</v>
      </c>
      <c r="AB24" s="233" t="s">
        <v>370</v>
      </c>
      <c r="AC24" s="233" t="s">
        <v>370</v>
      </c>
      <c r="AD24" s="233" t="s">
        <v>370</v>
      </c>
      <c r="AE24" s="233" t="s">
        <v>370</v>
      </c>
      <c r="AF24" s="233" t="s">
        <v>370</v>
      </c>
      <c r="AG24" s="219" t="s">
        <v>371</v>
      </c>
      <c r="AH24" s="219"/>
      <c r="AI24" s="219"/>
      <c r="AJ24" s="219"/>
      <c r="AK24" s="212" t="s">
        <v>483</v>
      </c>
    </row>
    <row r="25" spans="1:37" x14ac:dyDescent="0.15">
      <c r="A25" s="213"/>
      <c r="B25" s="234">
        <v>43306</v>
      </c>
      <c r="C25" s="212" t="s">
        <v>334</v>
      </c>
      <c r="D25" s="213" t="s">
        <v>364</v>
      </c>
      <c r="E25" s="214">
        <v>43292</v>
      </c>
      <c r="F25" s="212" t="s">
        <v>327</v>
      </c>
      <c r="G25" s="213" t="s">
        <v>380</v>
      </c>
      <c r="H25" s="218">
        <v>82</v>
      </c>
      <c r="I25" s="216" t="s">
        <v>323</v>
      </c>
      <c r="J25" s="217">
        <v>1650</v>
      </c>
      <c r="K25" s="217">
        <v>2960</v>
      </c>
      <c r="L25" s="217">
        <v>2960</v>
      </c>
      <c r="M25" s="217">
        <v>2960</v>
      </c>
      <c r="N25" s="217">
        <v>2960</v>
      </c>
      <c r="O25" s="218">
        <v>3.4545454545454541</v>
      </c>
      <c r="P25" s="218">
        <v>3.1818181818181817</v>
      </c>
      <c r="Q25" s="218">
        <v>2.5545454545454542</v>
      </c>
      <c r="R25" s="218">
        <v>0</v>
      </c>
      <c r="S25" s="218">
        <v>0</v>
      </c>
      <c r="T25" s="218">
        <v>0</v>
      </c>
      <c r="U25" s="233" t="s">
        <v>370</v>
      </c>
      <c r="V25" s="233" t="s">
        <v>370</v>
      </c>
      <c r="W25" s="233" t="s">
        <v>370</v>
      </c>
      <c r="X25" s="233" t="s">
        <v>370</v>
      </c>
      <c r="Y25" s="233" t="s">
        <v>370</v>
      </c>
      <c r="Z25" s="233" t="s">
        <v>370</v>
      </c>
      <c r="AA25" s="233" t="s">
        <v>370</v>
      </c>
      <c r="AB25" s="233" t="s">
        <v>370</v>
      </c>
      <c r="AC25" s="233" t="s">
        <v>370</v>
      </c>
      <c r="AD25" s="233" t="s">
        <v>370</v>
      </c>
      <c r="AE25" s="233" t="s">
        <v>370</v>
      </c>
      <c r="AF25" s="233" t="s">
        <v>370</v>
      </c>
      <c r="AG25" s="219" t="s">
        <v>371</v>
      </c>
      <c r="AH25" s="219"/>
      <c r="AI25" s="219"/>
      <c r="AJ25" s="219"/>
      <c r="AK25" s="212" t="s">
        <v>484</v>
      </c>
    </row>
    <row r="26" spans="1:37" x14ac:dyDescent="0.15">
      <c r="A26" s="213">
        <v>2161</v>
      </c>
      <c r="B26" s="234">
        <v>43306</v>
      </c>
      <c r="C26" s="212" t="s">
        <v>334</v>
      </c>
      <c r="D26" s="213" t="s">
        <v>365</v>
      </c>
      <c r="E26" s="214">
        <v>43281</v>
      </c>
      <c r="F26" s="212" t="s">
        <v>374</v>
      </c>
      <c r="G26" s="213" t="s">
        <v>380</v>
      </c>
      <c r="H26" s="218">
        <v>77.199999999999989</v>
      </c>
      <c r="I26" s="216"/>
      <c r="J26" s="213"/>
      <c r="K26" s="213"/>
      <c r="L26" s="213"/>
      <c r="M26" s="213"/>
      <c r="N26" s="213"/>
      <c r="O26" s="218">
        <v>3.3545454545454541</v>
      </c>
      <c r="P26" s="233" t="s">
        <v>370</v>
      </c>
      <c r="Q26" s="233"/>
      <c r="R26" s="233"/>
      <c r="S26" s="233"/>
      <c r="T26" s="233"/>
      <c r="U26" s="233" t="s">
        <v>370</v>
      </c>
      <c r="V26" s="233" t="s">
        <v>370</v>
      </c>
      <c r="W26" s="233" t="s">
        <v>370</v>
      </c>
      <c r="X26" s="233" t="s">
        <v>370</v>
      </c>
      <c r="Y26" s="233" t="s">
        <v>370</v>
      </c>
      <c r="Z26" s="233" t="s">
        <v>370</v>
      </c>
      <c r="AA26" s="233" t="s">
        <v>370</v>
      </c>
      <c r="AB26" s="233" t="s">
        <v>370</v>
      </c>
      <c r="AC26" s="233" t="s">
        <v>370</v>
      </c>
      <c r="AD26" s="233" t="s">
        <v>370</v>
      </c>
      <c r="AE26" s="233" t="s">
        <v>370</v>
      </c>
      <c r="AF26" s="233" t="s">
        <v>370</v>
      </c>
      <c r="AG26" s="219" t="s">
        <v>371</v>
      </c>
      <c r="AH26" s="219"/>
      <c r="AI26" s="219"/>
      <c r="AJ26" s="219"/>
      <c r="AK26" s="212" t="s">
        <v>485</v>
      </c>
    </row>
    <row r="27" spans="1:37" x14ac:dyDescent="0.15">
      <c r="A27" s="213">
        <v>874</v>
      </c>
      <c r="B27" s="234">
        <v>43306</v>
      </c>
      <c r="C27" s="212" t="s">
        <v>334</v>
      </c>
      <c r="D27" s="213" t="s">
        <v>365</v>
      </c>
      <c r="E27" s="214">
        <v>43281</v>
      </c>
      <c r="F27" s="212" t="s">
        <v>327</v>
      </c>
      <c r="G27" s="213" t="s">
        <v>380</v>
      </c>
      <c r="H27" s="218">
        <v>78.209090909090904</v>
      </c>
      <c r="I27" s="216"/>
      <c r="J27" s="217"/>
      <c r="K27" s="217"/>
      <c r="L27" s="217"/>
      <c r="M27" s="217"/>
      <c r="N27" s="217"/>
      <c r="O27" s="218">
        <v>3.1999999999999997</v>
      </c>
      <c r="P27" s="233" t="s">
        <v>370</v>
      </c>
      <c r="Q27" s="233"/>
      <c r="R27" s="233"/>
      <c r="S27" s="233"/>
      <c r="T27" s="233"/>
      <c r="U27" s="233" t="s">
        <v>370</v>
      </c>
      <c r="V27" s="233" t="s">
        <v>370</v>
      </c>
      <c r="W27" s="233" t="s">
        <v>370</v>
      </c>
      <c r="X27" s="233" t="s">
        <v>370</v>
      </c>
      <c r="Y27" s="233" t="s">
        <v>370</v>
      </c>
      <c r="Z27" s="233" t="s">
        <v>370</v>
      </c>
      <c r="AA27" s="233" t="s">
        <v>370</v>
      </c>
      <c r="AB27" s="233" t="s">
        <v>370</v>
      </c>
      <c r="AC27" s="233" t="s">
        <v>370</v>
      </c>
      <c r="AD27" s="233" t="s">
        <v>370</v>
      </c>
      <c r="AE27" s="233" t="s">
        <v>370</v>
      </c>
      <c r="AF27" s="233" t="s">
        <v>370</v>
      </c>
      <c r="AG27" s="219" t="s">
        <v>371</v>
      </c>
      <c r="AH27" s="213"/>
      <c r="AI27" s="213"/>
      <c r="AJ27" s="213"/>
      <c r="AK27" s="212" t="s">
        <v>486</v>
      </c>
    </row>
    <row r="28" spans="1:37" x14ac:dyDescent="0.15">
      <c r="A28" s="213">
        <v>2173</v>
      </c>
      <c r="B28" s="234">
        <v>43306</v>
      </c>
      <c r="C28" s="212" t="s">
        <v>334</v>
      </c>
      <c r="D28" s="213" t="s">
        <v>366</v>
      </c>
      <c r="E28" s="214">
        <v>43281</v>
      </c>
      <c r="F28" s="212" t="s">
        <v>374</v>
      </c>
      <c r="G28" s="213" t="s">
        <v>380</v>
      </c>
      <c r="H28" s="218">
        <v>81.563636363636363</v>
      </c>
      <c r="I28" s="216"/>
      <c r="J28" s="213"/>
      <c r="K28" s="213"/>
      <c r="L28" s="213"/>
      <c r="M28" s="213"/>
      <c r="N28" s="213"/>
      <c r="O28" s="218">
        <v>3.3636363636363633</v>
      </c>
      <c r="P28" s="233" t="s">
        <v>370</v>
      </c>
      <c r="Q28" s="233"/>
      <c r="R28" s="233"/>
      <c r="S28" s="233"/>
      <c r="T28" s="233"/>
      <c r="U28" s="233" t="s">
        <v>370</v>
      </c>
      <c r="V28" s="233" t="s">
        <v>370</v>
      </c>
      <c r="W28" s="233" t="s">
        <v>370</v>
      </c>
      <c r="X28" s="233" t="s">
        <v>370</v>
      </c>
      <c r="Y28" s="233" t="s">
        <v>370</v>
      </c>
      <c r="Z28" s="233" t="s">
        <v>370</v>
      </c>
      <c r="AA28" s="233" t="s">
        <v>370</v>
      </c>
      <c r="AB28" s="233" t="s">
        <v>370</v>
      </c>
      <c r="AC28" s="233" t="s">
        <v>370</v>
      </c>
      <c r="AD28" s="233" t="s">
        <v>370</v>
      </c>
      <c r="AE28" s="233" t="s">
        <v>370</v>
      </c>
      <c r="AF28" s="233" t="s">
        <v>370</v>
      </c>
      <c r="AG28" s="219" t="s">
        <v>371</v>
      </c>
      <c r="AH28" s="219"/>
      <c r="AI28" s="219"/>
      <c r="AJ28" s="219"/>
      <c r="AK28" s="212" t="s">
        <v>487</v>
      </c>
    </row>
    <row r="29" spans="1:37" x14ac:dyDescent="0.15">
      <c r="A29" s="213">
        <v>2096</v>
      </c>
      <c r="B29" s="234">
        <v>43306</v>
      </c>
      <c r="C29" s="212" t="s">
        <v>334</v>
      </c>
      <c r="D29" s="213" t="s">
        <v>366</v>
      </c>
      <c r="E29" s="214">
        <v>43284</v>
      </c>
      <c r="F29" s="212" t="s">
        <v>133</v>
      </c>
      <c r="G29" s="213" t="s">
        <v>380</v>
      </c>
      <c r="H29" s="218">
        <v>95.809090909090898</v>
      </c>
      <c r="I29" s="216"/>
      <c r="J29" s="213"/>
      <c r="K29" s="213"/>
      <c r="L29" s="213"/>
      <c r="M29" s="213"/>
      <c r="N29" s="213"/>
      <c r="O29" s="218">
        <v>3.2090909090909085</v>
      </c>
      <c r="P29" s="233" t="s">
        <v>370</v>
      </c>
      <c r="Q29" s="233"/>
      <c r="R29" s="233"/>
      <c r="S29" s="233"/>
      <c r="T29" s="233"/>
      <c r="U29" s="233" t="s">
        <v>370</v>
      </c>
      <c r="V29" s="233" t="s">
        <v>370</v>
      </c>
      <c r="W29" s="233" t="s">
        <v>370</v>
      </c>
      <c r="X29" s="233" t="s">
        <v>370</v>
      </c>
      <c r="Y29" s="233" t="s">
        <v>370</v>
      </c>
      <c r="Z29" s="233" t="s">
        <v>370</v>
      </c>
      <c r="AA29" s="233" t="s">
        <v>370</v>
      </c>
      <c r="AB29" s="233" t="s">
        <v>370</v>
      </c>
      <c r="AC29" s="233" t="s">
        <v>370</v>
      </c>
      <c r="AD29" s="233" t="s">
        <v>370</v>
      </c>
      <c r="AE29" s="233" t="s">
        <v>370</v>
      </c>
      <c r="AF29" s="233" t="s">
        <v>370</v>
      </c>
      <c r="AG29" s="219" t="s">
        <v>371</v>
      </c>
      <c r="AH29" s="219"/>
      <c r="AI29" s="219"/>
      <c r="AJ29" s="219"/>
      <c r="AK29" s="212" t="s">
        <v>488</v>
      </c>
    </row>
    <row r="30" spans="1:37" x14ac:dyDescent="0.15">
      <c r="A30" s="213"/>
      <c r="B30" s="234">
        <v>43306</v>
      </c>
      <c r="C30" s="212" t="s">
        <v>334</v>
      </c>
      <c r="D30" s="213" t="s">
        <v>366</v>
      </c>
      <c r="E30" s="214">
        <v>43281</v>
      </c>
      <c r="F30" s="212" t="s">
        <v>327</v>
      </c>
      <c r="G30" s="213" t="s">
        <v>380</v>
      </c>
      <c r="H30" s="218">
        <v>78.881818181818176</v>
      </c>
      <c r="I30" s="216"/>
      <c r="J30" s="213"/>
      <c r="K30" s="213"/>
      <c r="L30" s="213"/>
      <c r="M30" s="213"/>
      <c r="N30" s="213"/>
      <c r="O30" s="218">
        <v>3.3545454545454541</v>
      </c>
      <c r="P30" s="233" t="s">
        <v>370</v>
      </c>
      <c r="Q30" s="233"/>
      <c r="R30" s="233"/>
      <c r="S30" s="233"/>
      <c r="T30" s="233"/>
      <c r="U30" s="233" t="s">
        <v>370</v>
      </c>
      <c r="V30" s="233" t="s">
        <v>370</v>
      </c>
      <c r="W30" s="233" t="s">
        <v>370</v>
      </c>
      <c r="X30" s="233" t="s">
        <v>370</v>
      </c>
      <c r="Y30" s="233" t="s">
        <v>370</v>
      </c>
      <c r="Z30" s="233" t="s">
        <v>370</v>
      </c>
      <c r="AA30" s="233" t="s">
        <v>370</v>
      </c>
      <c r="AB30" s="233" t="s">
        <v>370</v>
      </c>
      <c r="AC30" s="233" t="s">
        <v>370</v>
      </c>
      <c r="AD30" s="233" t="s">
        <v>370</v>
      </c>
      <c r="AE30" s="233" t="s">
        <v>370</v>
      </c>
      <c r="AF30" s="233" t="s">
        <v>370</v>
      </c>
      <c r="AG30" s="219" t="s">
        <v>371</v>
      </c>
      <c r="AH30" s="219"/>
      <c r="AI30" s="219"/>
      <c r="AJ30" s="219"/>
      <c r="AK30" s="212" t="s">
        <v>489</v>
      </c>
    </row>
    <row r="31" spans="1:37" x14ac:dyDescent="0.15">
      <c r="A31" s="213">
        <v>2177</v>
      </c>
      <c r="B31" s="234">
        <v>43306</v>
      </c>
      <c r="C31" s="212" t="s">
        <v>334</v>
      </c>
      <c r="D31" s="213" t="s">
        <v>367</v>
      </c>
      <c r="E31" s="214">
        <v>43281</v>
      </c>
      <c r="F31" s="212" t="s">
        <v>374</v>
      </c>
      <c r="G31" s="213" t="s">
        <v>380</v>
      </c>
      <c r="H31" s="218">
        <v>84.327272727272728</v>
      </c>
      <c r="I31" s="216"/>
      <c r="J31" s="213"/>
      <c r="K31" s="213"/>
      <c r="L31" s="213"/>
      <c r="M31" s="213"/>
      <c r="N31" s="213"/>
      <c r="O31" s="218">
        <v>3.3090909090909091</v>
      </c>
      <c r="P31" s="233" t="s">
        <v>370</v>
      </c>
      <c r="Q31" s="233"/>
      <c r="R31" s="233"/>
      <c r="S31" s="233"/>
      <c r="T31" s="233"/>
      <c r="U31" s="233" t="s">
        <v>370</v>
      </c>
      <c r="V31" s="233" t="s">
        <v>370</v>
      </c>
      <c r="W31" s="233" t="s">
        <v>370</v>
      </c>
      <c r="X31" s="233" t="s">
        <v>370</v>
      </c>
      <c r="Y31" s="233" t="s">
        <v>370</v>
      </c>
      <c r="Z31" s="233" t="s">
        <v>370</v>
      </c>
      <c r="AA31" s="233" t="s">
        <v>370</v>
      </c>
      <c r="AB31" s="233" t="s">
        <v>370</v>
      </c>
      <c r="AC31" s="233" t="s">
        <v>370</v>
      </c>
      <c r="AD31" s="233" t="s">
        <v>370</v>
      </c>
      <c r="AE31" s="233" t="s">
        <v>370</v>
      </c>
      <c r="AF31" s="233" t="s">
        <v>370</v>
      </c>
      <c r="AG31" s="219" t="s">
        <v>371</v>
      </c>
      <c r="AH31" s="219"/>
      <c r="AI31" s="219"/>
      <c r="AJ31" s="219"/>
      <c r="AK31" s="212" t="s">
        <v>490</v>
      </c>
    </row>
    <row r="32" spans="1:37" x14ac:dyDescent="0.15">
      <c r="A32" s="213">
        <v>875</v>
      </c>
      <c r="B32" s="234">
        <v>43306</v>
      </c>
      <c r="C32" s="212" t="s">
        <v>334</v>
      </c>
      <c r="D32" s="213" t="s">
        <v>367</v>
      </c>
      <c r="E32" s="214">
        <v>43281</v>
      </c>
      <c r="F32" s="212" t="s">
        <v>327</v>
      </c>
      <c r="G32" s="213" t="s">
        <v>380</v>
      </c>
      <c r="H32" s="218">
        <v>87.999999999999986</v>
      </c>
      <c r="I32" s="216"/>
      <c r="J32" s="217"/>
      <c r="K32" s="217"/>
      <c r="L32" s="217"/>
      <c r="M32" s="217"/>
      <c r="N32" s="217"/>
      <c r="O32" s="218">
        <v>3.3818181818181818</v>
      </c>
      <c r="P32" s="233" t="s">
        <v>370</v>
      </c>
      <c r="Q32" s="233"/>
      <c r="R32" s="233"/>
      <c r="S32" s="233"/>
      <c r="T32" s="233"/>
      <c r="U32" s="233" t="s">
        <v>370</v>
      </c>
      <c r="V32" s="233" t="s">
        <v>370</v>
      </c>
      <c r="W32" s="233" t="s">
        <v>370</v>
      </c>
      <c r="X32" s="233" t="s">
        <v>370</v>
      </c>
      <c r="Y32" s="233" t="s">
        <v>370</v>
      </c>
      <c r="Z32" s="233" t="s">
        <v>370</v>
      </c>
      <c r="AA32" s="233" t="s">
        <v>370</v>
      </c>
      <c r="AB32" s="233" t="s">
        <v>370</v>
      </c>
      <c r="AC32" s="233" t="s">
        <v>370</v>
      </c>
      <c r="AD32" s="233" t="s">
        <v>370</v>
      </c>
      <c r="AE32" s="233" t="s">
        <v>370</v>
      </c>
      <c r="AF32" s="233" t="s">
        <v>370</v>
      </c>
      <c r="AG32" s="219" t="s">
        <v>371</v>
      </c>
      <c r="AH32" s="213"/>
      <c r="AI32" s="213"/>
      <c r="AJ32" s="213"/>
      <c r="AK32" s="212" t="s">
        <v>491</v>
      </c>
    </row>
    <row r="33" spans="1:37" x14ac:dyDescent="0.15">
      <c r="A33" s="213">
        <v>2165</v>
      </c>
      <c r="B33" s="234">
        <v>43306</v>
      </c>
      <c r="C33" s="212" t="s">
        <v>334</v>
      </c>
      <c r="D33" s="213" t="s">
        <v>368</v>
      </c>
      <c r="E33" s="214">
        <v>43281</v>
      </c>
      <c r="F33" s="212" t="s">
        <v>374</v>
      </c>
      <c r="G33" s="213" t="s">
        <v>380</v>
      </c>
      <c r="H33" s="218">
        <v>98.22727272727272</v>
      </c>
      <c r="I33" s="216"/>
      <c r="J33" s="213"/>
      <c r="K33" s="213"/>
      <c r="L33" s="213"/>
      <c r="M33" s="213"/>
      <c r="N33" s="213"/>
      <c r="O33" s="218">
        <v>2.9454545454545453</v>
      </c>
      <c r="P33" s="233" t="s">
        <v>370</v>
      </c>
      <c r="Q33" s="233"/>
      <c r="R33" s="233"/>
      <c r="S33" s="233"/>
      <c r="T33" s="233"/>
      <c r="U33" s="233" t="s">
        <v>370</v>
      </c>
      <c r="V33" s="233" t="s">
        <v>370</v>
      </c>
      <c r="W33" s="233" t="s">
        <v>370</v>
      </c>
      <c r="X33" s="233" t="s">
        <v>370</v>
      </c>
      <c r="Y33" s="233" t="s">
        <v>370</v>
      </c>
      <c r="Z33" s="233" t="s">
        <v>370</v>
      </c>
      <c r="AA33" s="233" t="s">
        <v>370</v>
      </c>
      <c r="AB33" s="233" t="s">
        <v>370</v>
      </c>
      <c r="AC33" s="233" t="s">
        <v>370</v>
      </c>
      <c r="AD33" s="233" t="s">
        <v>370</v>
      </c>
      <c r="AE33" s="233" t="s">
        <v>370</v>
      </c>
      <c r="AF33" s="233" t="s">
        <v>370</v>
      </c>
      <c r="AG33" s="219" t="s">
        <v>371</v>
      </c>
      <c r="AH33" s="219"/>
      <c r="AI33" s="219"/>
      <c r="AJ33" s="219"/>
      <c r="AK33" s="212" t="s">
        <v>492</v>
      </c>
    </row>
    <row r="34" spans="1:37" x14ac:dyDescent="0.15">
      <c r="A34" s="213">
        <v>2099</v>
      </c>
      <c r="B34" s="234">
        <v>43306</v>
      </c>
      <c r="C34" s="212" t="s">
        <v>334</v>
      </c>
      <c r="D34" s="213" t="s">
        <v>368</v>
      </c>
      <c r="E34" s="214">
        <v>43284</v>
      </c>
      <c r="F34" s="212" t="s">
        <v>133</v>
      </c>
      <c r="G34" s="213" t="s">
        <v>380</v>
      </c>
      <c r="H34" s="218">
        <v>108.19999999999999</v>
      </c>
      <c r="I34" s="216"/>
      <c r="J34" s="213"/>
      <c r="K34" s="213"/>
      <c r="L34" s="213"/>
      <c r="M34" s="213"/>
      <c r="N34" s="213"/>
      <c r="O34" s="218">
        <v>2.6363636363636362</v>
      </c>
      <c r="P34" s="233" t="s">
        <v>370</v>
      </c>
      <c r="Q34" s="233"/>
      <c r="R34" s="233"/>
      <c r="S34" s="233"/>
      <c r="T34" s="233"/>
      <c r="U34" s="233" t="s">
        <v>370</v>
      </c>
      <c r="V34" s="233" t="s">
        <v>370</v>
      </c>
      <c r="W34" s="233" t="s">
        <v>370</v>
      </c>
      <c r="X34" s="233" t="s">
        <v>370</v>
      </c>
      <c r="Y34" s="233" t="s">
        <v>370</v>
      </c>
      <c r="Z34" s="233" t="s">
        <v>370</v>
      </c>
      <c r="AA34" s="233" t="s">
        <v>370</v>
      </c>
      <c r="AB34" s="233" t="s">
        <v>370</v>
      </c>
      <c r="AC34" s="233" t="s">
        <v>370</v>
      </c>
      <c r="AD34" s="233" t="s">
        <v>370</v>
      </c>
      <c r="AE34" s="233" t="s">
        <v>370</v>
      </c>
      <c r="AF34" s="233" t="s">
        <v>370</v>
      </c>
      <c r="AG34" s="219" t="s">
        <v>371</v>
      </c>
      <c r="AH34" s="219"/>
      <c r="AI34" s="219"/>
      <c r="AJ34" s="219"/>
      <c r="AK34" s="212" t="s">
        <v>493</v>
      </c>
    </row>
    <row r="35" spans="1:37" x14ac:dyDescent="0.15">
      <c r="A35" s="213"/>
      <c r="B35" s="234">
        <v>43306</v>
      </c>
      <c r="C35" s="212" t="s">
        <v>334</v>
      </c>
      <c r="D35" s="213" t="s">
        <v>368</v>
      </c>
      <c r="E35" s="214">
        <v>43281</v>
      </c>
      <c r="F35" s="212" t="s">
        <v>373</v>
      </c>
      <c r="G35" s="213" t="s">
        <v>380</v>
      </c>
      <c r="H35" s="218">
        <v>96.463636363636354</v>
      </c>
      <c r="I35" s="216" t="s">
        <v>323</v>
      </c>
      <c r="J35" s="248">
        <v>1650</v>
      </c>
      <c r="K35" s="248">
        <v>2960</v>
      </c>
      <c r="L35" s="248">
        <v>2960</v>
      </c>
      <c r="M35" s="248">
        <v>2960</v>
      </c>
      <c r="N35" s="248">
        <v>2960</v>
      </c>
      <c r="O35" s="218">
        <v>3.836363636363636</v>
      </c>
      <c r="P35" s="218">
        <v>3.0727272727272723</v>
      </c>
      <c r="Q35" s="218">
        <v>2.4545454545454546</v>
      </c>
      <c r="R35" s="218">
        <v>0</v>
      </c>
      <c r="S35" s="218">
        <v>0</v>
      </c>
      <c r="T35" s="218">
        <v>0</v>
      </c>
      <c r="U35" s="233" t="s">
        <v>370</v>
      </c>
      <c r="V35" s="233" t="s">
        <v>370</v>
      </c>
      <c r="W35" s="233" t="s">
        <v>370</v>
      </c>
      <c r="X35" s="233" t="s">
        <v>370</v>
      </c>
      <c r="Y35" s="233" t="s">
        <v>370</v>
      </c>
      <c r="Z35" s="233" t="s">
        <v>370</v>
      </c>
      <c r="AA35" s="233" t="s">
        <v>370</v>
      </c>
      <c r="AB35" s="233" t="s">
        <v>370</v>
      </c>
      <c r="AC35" s="233" t="s">
        <v>370</v>
      </c>
      <c r="AD35" s="233" t="s">
        <v>370</v>
      </c>
      <c r="AE35" s="233" t="s">
        <v>370</v>
      </c>
      <c r="AF35" s="233" t="s">
        <v>370</v>
      </c>
      <c r="AG35" s="219" t="s">
        <v>371</v>
      </c>
      <c r="AH35" s="219"/>
      <c r="AI35" s="219"/>
      <c r="AJ35" s="219"/>
      <c r="AK35" s="212" t="s">
        <v>451</v>
      </c>
    </row>
    <row r="36" spans="1:37" x14ac:dyDescent="0.15">
      <c r="A36" s="213"/>
      <c r="B36" s="234">
        <v>43306</v>
      </c>
      <c r="C36" s="212" t="s">
        <v>334</v>
      </c>
      <c r="D36" s="213" t="s">
        <v>368</v>
      </c>
      <c r="E36" s="214">
        <v>43281</v>
      </c>
      <c r="F36" s="212" t="s">
        <v>327</v>
      </c>
      <c r="G36" s="213" t="s">
        <v>380</v>
      </c>
      <c r="H36" s="218">
        <v>97.999999999999986</v>
      </c>
      <c r="I36" s="216"/>
      <c r="J36" s="213"/>
      <c r="K36" s="213"/>
      <c r="L36" s="213"/>
      <c r="M36" s="213"/>
      <c r="N36" s="213"/>
      <c r="O36" s="218">
        <v>2.8</v>
      </c>
      <c r="P36" s="233" t="s">
        <v>370</v>
      </c>
      <c r="Q36" s="233"/>
      <c r="R36" s="233"/>
      <c r="S36" s="233"/>
      <c r="T36" s="233"/>
      <c r="U36" s="233" t="s">
        <v>370</v>
      </c>
      <c r="V36" s="233" t="s">
        <v>370</v>
      </c>
      <c r="W36" s="233" t="s">
        <v>370</v>
      </c>
      <c r="X36" s="233" t="s">
        <v>370</v>
      </c>
      <c r="Y36" s="233" t="s">
        <v>370</v>
      </c>
      <c r="Z36" s="233" t="s">
        <v>370</v>
      </c>
      <c r="AA36" s="233" t="s">
        <v>370</v>
      </c>
      <c r="AB36" s="233" t="s">
        <v>370</v>
      </c>
      <c r="AC36" s="233" t="s">
        <v>370</v>
      </c>
      <c r="AD36" s="233" t="s">
        <v>370</v>
      </c>
      <c r="AE36" s="233" t="s">
        <v>370</v>
      </c>
      <c r="AF36" s="233" t="s">
        <v>370</v>
      </c>
      <c r="AG36" s="219" t="s">
        <v>371</v>
      </c>
      <c r="AH36" s="219"/>
      <c r="AI36" s="219"/>
      <c r="AJ36" s="219"/>
      <c r="AK36" s="212" t="s">
        <v>494</v>
      </c>
    </row>
    <row r="37" spans="1:37" x14ac:dyDescent="0.15">
      <c r="A37" s="213">
        <v>2169</v>
      </c>
      <c r="B37" s="234">
        <v>43306</v>
      </c>
      <c r="C37" s="212" t="s">
        <v>334</v>
      </c>
      <c r="D37" s="213" t="s">
        <v>369</v>
      </c>
      <c r="E37" s="214">
        <v>43281</v>
      </c>
      <c r="F37" s="212" t="s">
        <v>374</v>
      </c>
      <c r="G37" s="213" t="s">
        <v>380</v>
      </c>
      <c r="H37" s="218">
        <v>65.545454545454533</v>
      </c>
      <c r="I37" s="216"/>
      <c r="J37" s="213"/>
      <c r="K37" s="213"/>
      <c r="L37" s="213"/>
      <c r="M37" s="213"/>
      <c r="N37" s="213"/>
      <c r="O37" s="218">
        <v>4.5636363636363626</v>
      </c>
      <c r="P37" s="233" t="s">
        <v>370</v>
      </c>
      <c r="Q37" s="233"/>
      <c r="R37" s="233"/>
      <c r="S37" s="233"/>
      <c r="T37" s="233"/>
      <c r="U37" s="233" t="s">
        <v>370</v>
      </c>
      <c r="V37" s="233" t="s">
        <v>370</v>
      </c>
      <c r="W37" s="233" t="s">
        <v>370</v>
      </c>
      <c r="X37" s="233" t="s">
        <v>370</v>
      </c>
      <c r="Y37" s="233" t="s">
        <v>370</v>
      </c>
      <c r="Z37" s="233" t="s">
        <v>370</v>
      </c>
      <c r="AA37" s="233" t="s">
        <v>370</v>
      </c>
      <c r="AB37" s="233" t="s">
        <v>370</v>
      </c>
      <c r="AC37" s="233" t="s">
        <v>370</v>
      </c>
      <c r="AD37" s="233" t="s">
        <v>370</v>
      </c>
      <c r="AE37" s="233" t="s">
        <v>370</v>
      </c>
      <c r="AF37" s="233" t="s">
        <v>370</v>
      </c>
      <c r="AG37" s="219" t="s">
        <v>371</v>
      </c>
      <c r="AH37" s="219"/>
      <c r="AI37" s="219"/>
      <c r="AJ37" s="219"/>
      <c r="AK37" s="212" t="s">
        <v>495</v>
      </c>
    </row>
  </sheetData>
  <sheetProtection algorithmName="SHA-512" hashValue="UGZaDJ1e5g+d0thL28gkv3v1JE1zT/yyS1l0M8TWuO5IA0/2sqxdyXOUK21AF+osm0RWbAODQciN12d6wif+WA==" saltValue="zX+1S414YZyYXq0P98MLXg==" spinCount="100000" sheet="1" objects="1" scenarios="1"/>
  <hyperlinks>
    <hyperlink ref="AK13" r:id="rId1" xr:uid="{0FAD19CF-FCD8-DF48-8C50-9687470ED7A5}"/>
  </hyperlinks>
  <pageMargins left="0.75" right="0.75" top="1" bottom="1" header="0.5" footer="0.5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80F3E-85FD-E140-BBB8-027FC798686E}">
  <sheetPr codeName="Sheet48"/>
  <dimension ref="A1:AK37"/>
  <sheetViews>
    <sheetView zoomScale="120" zoomScaleNormal="120" workbookViewId="0">
      <selection activeCell="I21" sqref="I21"/>
    </sheetView>
  </sheetViews>
  <sheetFormatPr baseColWidth="10" defaultRowHeight="13" x14ac:dyDescent="0.15"/>
  <cols>
    <col min="1" max="1" width="6.1640625" customWidth="1"/>
    <col min="3" max="3" width="6.33203125" customWidth="1"/>
    <col min="4" max="4" width="24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7" ht="42" x14ac:dyDescent="0.15">
      <c r="A1" s="112" t="s">
        <v>234</v>
      </c>
      <c r="B1" s="112" t="s">
        <v>235</v>
      </c>
      <c r="C1" s="113" t="s">
        <v>236</v>
      </c>
      <c r="D1" s="114" t="s">
        <v>237</v>
      </c>
      <c r="E1" s="112" t="s">
        <v>192</v>
      </c>
      <c r="F1" s="113" t="s">
        <v>239</v>
      </c>
      <c r="G1" s="114" t="s">
        <v>240</v>
      </c>
      <c r="H1" s="115" t="s">
        <v>241</v>
      </c>
      <c r="I1" s="116" t="s">
        <v>242</v>
      </c>
      <c r="J1" s="116" t="s">
        <v>243</v>
      </c>
      <c r="K1" s="116" t="s">
        <v>244</v>
      </c>
      <c r="L1" s="116" t="s">
        <v>245</v>
      </c>
      <c r="M1" s="116" t="s">
        <v>246</v>
      </c>
      <c r="N1" s="117" t="s">
        <v>247</v>
      </c>
      <c r="O1" s="118" t="s">
        <v>248</v>
      </c>
      <c r="P1" s="118" t="s">
        <v>249</v>
      </c>
      <c r="Q1" s="118" t="s">
        <v>226</v>
      </c>
      <c r="R1" s="118" t="s">
        <v>285</v>
      </c>
      <c r="S1" s="118" t="s">
        <v>286</v>
      </c>
      <c r="T1" s="119" t="s">
        <v>287</v>
      </c>
      <c r="U1" s="120" t="s">
        <v>288</v>
      </c>
      <c r="V1" s="120" t="s">
        <v>289</v>
      </c>
      <c r="W1" s="120" t="s">
        <v>290</v>
      </c>
      <c r="X1" s="120" t="s">
        <v>148</v>
      </c>
      <c r="Y1" s="120" t="s">
        <v>149</v>
      </c>
      <c r="Z1" s="121" t="s">
        <v>150</v>
      </c>
      <c r="AA1" s="122" t="s">
        <v>151</v>
      </c>
      <c r="AB1" s="122" t="s">
        <v>152</v>
      </c>
      <c r="AC1" s="122" t="s">
        <v>153</v>
      </c>
      <c r="AD1" s="122" t="s">
        <v>154</v>
      </c>
      <c r="AE1" s="122" t="s">
        <v>267</v>
      </c>
      <c r="AF1" s="123" t="s">
        <v>268</v>
      </c>
      <c r="AG1" s="124" t="s">
        <v>269</v>
      </c>
      <c r="AH1" s="124" t="s">
        <v>270</v>
      </c>
      <c r="AI1" s="124" t="s">
        <v>271</v>
      </c>
      <c r="AJ1" s="125" t="s">
        <v>272</v>
      </c>
    </row>
    <row r="2" spans="1:37" x14ac:dyDescent="0.15">
      <c r="A2" s="213">
        <v>2095</v>
      </c>
      <c r="B2" s="234">
        <v>42946</v>
      </c>
      <c r="C2" s="212" t="s">
        <v>334</v>
      </c>
      <c r="D2" s="213" t="s">
        <v>355</v>
      </c>
      <c r="E2" s="214">
        <v>42928</v>
      </c>
      <c r="F2" s="212" t="s">
        <v>133</v>
      </c>
      <c r="G2" s="213" t="s">
        <v>380</v>
      </c>
      <c r="H2" s="215">
        <v>65.8</v>
      </c>
      <c r="I2" s="216" t="s">
        <v>323</v>
      </c>
      <c r="J2" s="217">
        <v>1200</v>
      </c>
      <c r="K2" s="217">
        <v>2400</v>
      </c>
      <c r="L2" s="217">
        <v>5400</v>
      </c>
      <c r="M2" s="217">
        <v>165400</v>
      </c>
      <c r="N2" s="217">
        <v>832000</v>
      </c>
      <c r="O2" s="215">
        <v>3.1545454545454543</v>
      </c>
      <c r="P2" s="215">
        <v>2.754545454545454</v>
      </c>
      <c r="Q2" s="215">
        <v>2.627272727272727</v>
      </c>
      <c r="R2" s="215">
        <v>2.5363636363636362</v>
      </c>
      <c r="S2" s="215">
        <v>2.3545454545454541</v>
      </c>
      <c r="T2" s="215">
        <v>2.1090909090909089</v>
      </c>
      <c r="U2" s="218" t="s">
        <v>370</v>
      </c>
      <c r="V2" s="218" t="s">
        <v>370</v>
      </c>
      <c r="W2" s="218" t="s">
        <v>370</v>
      </c>
      <c r="X2" s="218" t="s">
        <v>370</v>
      </c>
      <c r="Y2" s="218" t="s">
        <v>370</v>
      </c>
      <c r="Z2" s="218" t="s">
        <v>370</v>
      </c>
      <c r="AA2" s="218" t="s">
        <v>370</v>
      </c>
      <c r="AB2" s="218" t="s">
        <v>370</v>
      </c>
      <c r="AC2" s="218" t="s">
        <v>370</v>
      </c>
      <c r="AD2" s="218" t="s">
        <v>370</v>
      </c>
      <c r="AE2" s="218" t="s">
        <v>370</v>
      </c>
      <c r="AF2" s="218" t="s">
        <v>370</v>
      </c>
      <c r="AG2" s="219" t="s">
        <v>371</v>
      </c>
      <c r="AH2" s="219"/>
      <c r="AI2" s="219"/>
      <c r="AJ2" s="219"/>
      <c r="AK2" s="212" t="s">
        <v>381</v>
      </c>
    </row>
    <row r="3" spans="1:37" x14ac:dyDescent="0.15">
      <c r="A3" s="213">
        <v>1088</v>
      </c>
      <c r="B3" s="234">
        <v>42946</v>
      </c>
      <c r="C3" s="212" t="s">
        <v>334</v>
      </c>
      <c r="D3" s="213" t="s">
        <v>355</v>
      </c>
      <c r="E3" s="214">
        <v>42916</v>
      </c>
      <c r="F3" s="212" t="s">
        <v>328</v>
      </c>
      <c r="G3" s="213" t="s">
        <v>302</v>
      </c>
      <c r="H3" s="215">
        <v>44.999999999999993</v>
      </c>
      <c r="I3" s="216" t="s">
        <v>323</v>
      </c>
      <c r="J3" s="217">
        <v>1200</v>
      </c>
      <c r="K3" s="217">
        <v>2400</v>
      </c>
      <c r="L3" s="217">
        <v>5400</v>
      </c>
      <c r="M3" s="217">
        <v>165400</v>
      </c>
      <c r="N3" s="217">
        <v>832000</v>
      </c>
      <c r="O3" s="215">
        <v>3.7999999999999994</v>
      </c>
      <c r="P3" s="215">
        <v>2.8090909090909086</v>
      </c>
      <c r="Q3" s="215">
        <v>2.6818181818181817</v>
      </c>
      <c r="R3" s="215">
        <v>2.5818181818181816</v>
      </c>
      <c r="S3" s="215">
        <v>2.4</v>
      </c>
      <c r="T3" s="215">
        <v>2.1545454545454543</v>
      </c>
      <c r="U3" s="218" t="s">
        <v>370</v>
      </c>
      <c r="V3" s="218" t="s">
        <v>370</v>
      </c>
      <c r="W3" s="218" t="s">
        <v>370</v>
      </c>
      <c r="X3" s="218" t="s">
        <v>370</v>
      </c>
      <c r="Y3" s="218" t="s">
        <v>370</v>
      </c>
      <c r="Z3" s="218" t="s">
        <v>370</v>
      </c>
      <c r="AA3" s="218" t="s">
        <v>370</v>
      </c>
      <c r="AB3" s="218" t="s">
        <v>370</v>
      </c>
      <c r="AC3" s="218" t="s">
        <v>370</v>
      </c>
      <c r="AD3" s="218" t="s">
        <v>370</v>
      </c>
      <c r="AE3" s="218" t="s">
        <v>370</v>
      </c>
      <c r="AF3" s="218" t="s">
        <v>370</v>
      </c>
      <c r="AG3" s="219" t="s">
        <v>371</v>
      </c>
      <c r="AH3" s="213"/>
      <c r="AI3" s="213"/>
      <c r="AJ3" s="213"/>
      <c r="AK3" s="212" t="s">
        <v>445</v>
      </c>
    </row>
    <row r="4" spans="1:37" x14ac:dyDescent="0.15">
      <c r="A4" s="213">
        <v>2103</v>
      </c>
      <c r="B4" s="234">
        <v>42946</v>
      </c>
      <c r="C4" s="221" t="s">
        <v>334</v>
      </c>
      <c r="D4" s="213" t="s">
        <v>355</v>
      </c>
      <c r="E4" s="214">
        <v>42735</v>
      </c>
      <c r="F4" s="212" t="s">
        <v>372</v>
      </c>
      <c r="G4" s="213" t="s">
        <v>380</v>
      </c>
      <c r="H4" s="215">
        <v>59.1</v>
      </c>
      <c r="I4" s="216" t="s">
        <v>323</v>
      </c>
      <c r="J4" s="217">
        <v>1200</v>
      </c>
      <c r="K4" s="217">
        <v>2400</v>
      </c>
      <c r="L4" s="217">
        <v>5400</v>
      </c>
      <c r="M4" s="217">
        <v>165400</v>
      </c>
      <c r="N4" s="217">
        <v>832000</v>
      </c>
      <c r="O4" s="215">
        <v>3.9181818181818175</v>
      </c>
      <c r="P4" s="215">
        <v>2.5909090909090908</v>
      </c>
      <c r="Q4" s="215">
        <v>2.4272727272727268</v>
      </c>
      <c r="R4" s="215">
        <v>2.4</v>
      </c>
      <c r="S4" s="215">
        <v>2.2999999999999998</v>
      </c>
      <c r="T4" s="215">
        <v>1.9090909090909089</v>
      </c>
      <c r="U4" s="218" t="s">
        <v>370</v>
      </c>
      <c r="V4" s="218" t="s">
        <v>370</v>
      </c>
      <c r="W4" s="218" t="s">
        <v>370</v>
      </c>
      <c r="X4" s="218" t="s">
        <v>370</v>
      </c>
      <c r="Y4" s="218" t="s">
        <v>370</v>
      </c>
      <c r="Z4" s="218" t="s">
        <v>370</v>
      </c>
      <c r="AA4" s="218" t="s">
        <v>370</v>
      </c>
      <c r="AB4" s="218" t="s">
        <v>370</v>
      </c>
      <c r="AC4" s="218" t="s">
        <v>370</v>
      </c>
      <c r="AD4" s="218" t="s">
        <v>370</v>
      </c>
      <c r="AE4" s="218" t="s">
        <v>370</v>
      </c>
      <c r="AF4" s="218" t="s">
        <v>370</v>
      </c>
      <c r="AG4" s="219" t="s">
        <v>371</v>
      </c>
      <c r="AH4" s="219"/>
      <c r="AI4" s="219"/>
      <c r="AJ4" s="219"/>
      <c r="AK4" s="212" t="s">
        <v>427</v>
      </c>
    </row>
    <row r="5" spans="1:37" x14ac:dyDescent="0.15">
      <c r="A5" s="213">
        <v>2106</v>
      </c>
      <c r="B5" s="234">
        <v>42986</v>
      </c>
      <c r="C5" s="212" t="s">
        <v>334</v>
      </c>
      <c r="D5" s="213" t="s">
        <v>355</v>
      </c>
      <c r="E5" s="214">
        <v>42986</v>
      </c>
      <c r="F5" s="212" t="s">
        <v>373</v>
      </c>
      <c r="G5" s="213" t="s">
        <v>380</v>
      </c>
      <c r="H5" s="215">
        <v>60.399999999999991</v>
      </c>
      <c r="I5" s="216" t="s">
        <v>323</v>
      </c>
      <c r="J5" s="217">
        <v>1200</v>
      </c>
      <c r="K5" s="217">
        <v>2400</v>
      </c>
      <c r="L5" s="217">
        <v>5400</v>
      </c>
      <c r="M5" s="217">
        <v>165400</v>
      </c>
      <c r="N5" s="217">
        <v>832000</v>
      </c>
      <c r="O5" s="215">
        <v>3.7818181818181817</v>
      </c>
      <c r="P5" s="215">
        <v>2.6363636363636362</v>
      </c>
      <c r="Q5" s="215">
        <v>2.5181818181818181</v>
      </c>
      <c r="R5" s="215">
        <v>2.418181818181818</v>
      </c>
      <c r="S5" s="215">
        <v>2.3454545454545452</v>
      </c>
      <c r="T5" s="215">
        <v>2.0818181818181816</v>
      </c>
      <c r="U5" s="218" t="s">
        <v>370</v>
      </c>
      <c r="V5" s="218" t="s">
        <v>370</v>
      </c>
      <c r="W5" s="218" t="s">
        <v>370</v>
      </c>
      <c r="X5" s="218" t="s">
        <v>370</v>
      </c>
      <c r="Y5" s="218" t="s">
        <v>370</v>
      </c>
      <c r="Z5" s="218" t="s">
        <v>370</v>
      </c>
      <c r="AA5" s="218" t="s">
        <v>370</v>
      </c>
      <c r="AB5" s="218" t="s">
        <v>370</v>
      </c>
      <c r="AC5" s="218" t="s">
        <v>370</v>
      </c>
      <c r="AD5" s="218" t="s">
        <v>370</v>
      </c>
      <c r="AE5" s="218" t="s">
        <v>370</v>
      </c>
      <c r="AF5" s="218" t="s">
        <v>370</v>
      </c>
      <c r="AG5" s="219" t="s">
        <v>371</v>
      </c>
      <c r="AH5" s="213"/>
      <c r="AI5" s="213"/>
      <c r="AJ5" s="213"/>
      <c r="AK5" s="212" t="s">
        <v>429</v>
      </c>
    </row>
    <row r="6" spans="1:37" x14ac:dyDescent="0.15">
      <c r="A6" s="213">
        <v>2149</v>
      </c>
      <c r="B6" s="234">
        <v>42946</v>
      </c>
      <c r="C6" s="212" t="s">
        <v>334</v>
      </c>
      <c r="D6" s="213" t="s">
        <v>355</v>
      </c>
      <c r="E6" s="214">
        <v>42916</v>
      </c>
      <c r="F6" s="212" t="s">
        <v>374</v>
      </c>
      <c r="G6" s="213" t="s">
        <v>380</v>
      </c>
      <c r="H6" s="215">
        <v>62.04545454545454</v>
      </c>
      <c r="I6" s="216" t="s">
        <v>323</v>
      </c>
      <c r="J6" s="217">
        <v>1200</v>
      </c>
      <c r="K6" s="217">
        <v>165400</v>
      </c>
      <c r="L6" s="217">
        <v>165400</v>
      </c>
      <c r="M6" s="217">
        <v>165400</v>
      </c>
      <c r="N6" s="217">
        <v>165400</v>
      </c>
      <c r="O6" s="215">
        <v>3.754545454545454</v>
      </c>
      <c r="P6" s="215">
        <v>2.4727272727272727</v>
      </c>
      <c r="Q6" s="215">
        <v>2.1999999999999997</v>
      </c>
      <c r="R6" s="236">
        <v>2.1999999999999997</v>
      </c>
      <c r="S6" s="236">
        <v>2.1999999999999997</v>
      </c>
      <c r="T6" s="236">
        <v>2.1999999999999997</v>
      </c>
      <c r="U6" s="218" t="s">
        <v>370</v>
      </c>
      <c r="V6" s="218" t="s">
        <v>370</v>
      </c>
      <c r="W6" s="218" t="s">
        <v>370</v>
      </c>
      <c r="X6" s="218" t="s">
        <v>370</v>
      </c>
      <c r="Y6" s="218" t="s">
        <v>370</v>
      </c>
      <c r="Z6" s="218" t="s">
        <v>370</v>
      </c>
      <c r="AA6" s="218" t="s">
        <v>370</v>
      </c>
      <c r="AB6" s="218" t="s">
        <v>370</v>
      </c>
      <c r="AC6" s="218" t="s">
        <v>370</v>
      </c>
      <c r="AD6" s="218" t="s">
        <v>370</v>
      </c>
      <c r="AE6" s="218" t="s">
        <v>370</v>
      </c>
      <c r="AF6" s="218" t="s">
        <v>370</v>
      </c>
      <c r="AG6" s="219" t="s">
        <v>371</v>
      </c>
      <c r="AH6" s="219"/>
      <c r="AI6" s="219"/>
      <c r="AJ6" s="219"/>
      <c r="AK6" s="220" t="s">
        <v>415</v>
      </c>
    </row>
    <row r="7" spans="1:37" x14ac:dyDescent="0.15">
      <c r="A7" s="213">
        <v>876</v>
      </c>
      <c r="B7" s="234">
        <v>42946</v>
      </c>
      <c r="C7" s="212" t="s">
        <v>334</v>
      </c>
      <c r="D7" s="213" t="s">
        <v>355</v>
      </c>
      <c r="E7" s="214">
        <v>42916</v>
      </c>
      <c r="F7" s="212" t="s">
        <v>327</v>
      </c>
      <c r="G7" s="213" t="s">
        <v>380</v>
      </c>
      <c r="H7" s="215">
        <v>59.999999999999993</v>
      </c>
      <c r="I7" s="216" t="s">
        <v>323</v>
      </c>
      <c r="J7" s="217">
        <v>1200</v>
      </c>
      <c r="K7" s="217">
        <v>2400</v>
      </c>
      <c r="L7" s="217">
        <v>5400</v>
      </c>
      <c r="M7" s="217">
        <v>165400</v>
      </c>
      <c r="N7" s="217">
        <v>165400</v>
      </c>
      <c r="O7" s="215">
        <v>3.9</v>
      </c>
      <c r="P7" s="215">
        <v>2.6636363636363636</v>
      </c>
      <c r="Q7" s="215">
        <v>2.5272727272727269</v>
      </c>
      <c r="R7" s="215">
        <v>2.5090909090909088</v>
      </c>
      <c r="S7" s="215">
        <v>2.4090909090909087</v>
      </c>
      <c r="T7" s="236">
        <v>2.4090909090909087</v>
      </c>
      <c r="U7" s="218" t="s">
        <v>370</v>
      </c>
      <c r="V7" s="218" t="s">
        <v>370</v>
      </c>
      <c r="W7" s="218" t="s">
        <v>370</v>
      </c>
      <c r="X7" s="218" t="s">
        <v>370</v>
      </c>
      <c r="Y7" s="218" t="s">
        <v>370</v>
      </c>
      <c r="Z7" s="218" t="s">
        <v>370</v>
      </c>
      <c r="AA7" s="218" t="s">
        <v>370</v>
      </c>
      <c r="AB7" s="218" t="s">
        <v>370</v>
      </c>
      <c r="AC7" s="218" t="s">
        <v>370</v>
      </c>
      <c r="AD7" s="218" t="s">
        <v>370</v>
      </c>
      <c r="AE7" s="218" t="s">
        <v>370</v>
      </c>
      <c r="AF7" s="218" t="s">
        <v>370</v>
      </c>
      <c r="AG7" s="219" t="s">
        <v>371</v>
      </c>
      <c r="AH7" s="213"/>
      <c r="AI7" s="213"/>
      <c r="AJ7" s="213"/>
      <c r="AK7" s="220" t="s">
        <v>437</v>
      </c>
    </row>
    <row r="8" spans="1:37" x14ac:dyDescent="0.15">
      <c r="A8" s="213">
        <v>1092</v>
      </c>
      <c r="B8" s="234">
        <v>42946</v>
      </c>
      <c r="C8" s="221" t="s">
        <v>334</v>
      </c>
      <c r="D8" s="213" t="s">
        <v>355</v>
      </c>
      <c r="E8" s="214">
        <v>42916</v>
      </c>
      <c r="F8" s="212" t="s">
        <v>376</v>
      </c>
      <c r="G8" s="213" t="s">
        <v>380</v>
      </c>
      <c r="H8" s="215">
        <v>52.999999999999993</v>
      </c>
      <c r="I8" s="216" t="s">
        <v>323</v>
      </c>
      <c r="J8" s="217">
        <v>1200</v>
      </c>
      <c r="K8" s="217">
        <v>2400</v>
      </c>
      <c r="L8" s="217">
        <v>5400</v>
      </c>
      <c r="M8" s="217">
        <v>165400</v>
      </c>
      <c r="N8" s="217">
        <v>832000</v>
      </c>
      <c r="O8" s="215">
        <v>3.4090909090909087</v>
      </c>
      <c r="P8" s="215">
        <v>2.2727272727272725</v>
      </c>
      <c r="Q8" s="215">
        <v>2.1</v>
      </c>
      <c r="R8" s="215">
        <v>2.0818181818181816</v>
      </c>
      <c r="S8" s="215">
        <v>1.9818181818181817</v>
      </c>
      <c r="T8" s="215">
        <v>1.1272727272727272</v>
      </c>
      <c r="U8" s="218" t="s">
        <v>370</v>
      </c>
      <c r="V8" s="218" t="s">
        <v>370</v>
      </c>
      <c r="W8" s="218" t="s">
        <v>370</v>
      </c>
      <c r="X8" s="218" t="s">
        <v>370</v>
      </c>
      <c r="Y8" s="218" t="s">
        <v>370</v>
      </c>
      <c r="Z8" s="218" t="s">
        <v>370</v>
      </c>
      <c r="AA8" s="218" t="s">
        <v>370</v>
      </c>
      <c r="AB8" s="218" t="s">
        <v>370</v>
      </c>
      <c r="AC8" s="218" t="s">
        <v>370</v>
      </c>
      <c r="AD8" s="218" t="s">
        <v>370</v>
      </c>
      <c r="AE8" s="218" t="s">
        <v>370</v>
      </c>
      <c r="AF8" s="218" t="s">
        <v>370</v>
      </c>
      <c r="AG8" s="219" t="s">
        <v>371</v>
      </c>
      <c r="AH8" s="219"/>
      <c r="AI8" s="219"/>
      <c r="AJ8" s="219"/>
      <c r="AK8" s="212" t="s">
        <v>444</v>
      </c>
    </row>
    <row r="9" spans="1:37" x14ac:dyDescent="0.15">
      <c r="A9" s="213"/>
      <c r="B9" s="234">
        <v>42946</v>
      </c>
      <c r="C9" s="221" t="s">
        <v>334</v>
      </c>
      <c r="D9" s="213" t="s">
        <v>355</v>
      </c>
      <c r="E9" s="214">
        <v>42916</v>
      </c>
      <c r="F9" s="212" t="s">
        <v>389</v>
      </c>
      <c r="G9" s="213" t="s">
        <v>380</v>
      </c>
      <c r="H9" s="215">
        <v>54.454545454545446</v>
      </c>
      <c r="I9" s="216" t="s">
        <v>323</v>
      </c>
      <c r="J9" s="217">
        <v>1200</v>
      </c>
      <c r="K9" s="217">
        <v>2400</v>
      </c>
      <c r="L9" s="217">
        <v>5400</v>
      </c>
      <c r="M9" s="217">
        <v>165400</v>
      </c>
      <c r="N9" s="217">
        <v>832000</v>
      </c>
      <c r="O9" s="215">
        <v>3.9363636363636361</v>
      </c>
      <c r="P9" s="215">
        <v>2.7181818181818183</v>
      </c>
      <c r="Q9" s="215">
        <v>2.5545454545454542</v>
      </c>
      <c r="R9" s="215">
        <v>2.5545454545454542</v>
      </c>
      <c r="S9" s="215">
        <v>2.4545454545454546</v>
      </c>
      <c r="T9" s="215">
        <v>2.1999999999999997</v>
      </c>
      <c r="U9" s="218" t="s">
        <v>370</v>
      </c>
      <c r="V9" s="218" t="s">
        <v>370</v>
      </c>
      <c r="W9" s="218" t="s">
        <v>370</v>
      </c>
      <c r="X9" s="218" t="s">
        <v>370</v>
      </c>
      <c r="Y9" s="218" t="s">
        <v>370</v>
      </c>
      <c r="Z9" s="218" t="s">
        <v>370</v>
      </c>
      <c r="AA9" s="218" t="s">
        <v>370</v>
      </c>
      <c r="AB9" s="218" t="s">
        <v>370</v>
      </c>
      <c r="AC9" s="218" t="s">
        <v>370</v>
      </c>
      <c r="AD9" s="218" t="s">
        <v>370</v>
      </c>
      <c r="AE9" s="218" t="s">
        <v>370</v>
      </c>
      <c r="AF9" s="218" t="s">
        <v>370</v>
      </c>
      <c r="AG9" s="219" t="s">
        <v>371</v>
      </c>
      <c r="AH9" s="219"/>
      <c r="AI9" s="219"/>
      <c r="AJ9" s="219"/>
      <c r="AK9" s="212" t="s">
        <v>446</v>
      </c>
    </row>
    <row r="10" spans="1:37" x14ac:dyDescent="0.15">
      <c r="A10" s="213"/>
      <c r="B10" s="234">
        <v>42946</v>
      </c>
      <c r="C10" s="221" t="s">
        <v>334</v>
      </c>
      <c r="D10" s="213" t="s">
        <v>355</v>
      </c>
      <c r="E10" s="214">
        <v>42916</v>
      </c>
      <c r="F10" s="212" t="s">
        <v>391</v>
      </c>
      <c r="G10" s="213" t="s">
        <v>380</v>
      </c>
      <c r="H10" s="215">
        <v>63.25454545454545</v>
      </c>
      <c r="I10" s="216" t="s">
        <v>323</v>
      </c>
      <c r="J10" s="217">
        <v>1200</v>
      </c>
      <c r="K10" s="217">
        <v>2400</v>
      </c>
      <c r="L10" s="217">
        <v>5400</v>
      </c>
      <c r="M10" s="217">
        <v>165400</v>
      </c>
      <c r="N10" s="217">
        <v>832000</v>
      </c>
      <c r="O10" s="215">
        <v>4.836363636363636</v>
      </c>
      <c r="P10" s="215">
        <v>2.9727272727272727</v>
      </c>
      <c r="Q10" s="215">
        <v>2.918181818181818</v>
      </c>
      <c r="R10" s="215">
        <v>2.8636363636363633</v>
      </c>
      <c r="S10" s="215">
        <v>2.5909090909090908</v>
      </c>
      <c r="T10" s="215">
        <v>2.1999999999999997</v>
      </c>
      <c r="U10" s="218" t="s">
        <v>370</v>
      </c>
      <c r="V10" s="218" t="s">
        <v>370</v>
      </c>
      <c r="W10" s="218" t="s">
        <v>370</v>
      </c>
      <c r="X10" s="218" t="s">
        <v>370</v>
      </c>
      <c r="Y10" s="218" t="s">
        <v>370</v>
      </c>
      <c r="Z10" s="218" t="s">
        <v>370</v>
      </c>
      <c r="AA10" s="218" t="s">
        <v>370</v>
      </c>
      <c r="AB10" s="218" t="s">
        <v>370</v>
      </c>
      <c r="AC10" s="218" t="s">
        <v>370</v>
      </c>
      <c r="AD10" s="218" t="s">
        <v>370</v>
      </c>
      <c r="AE10" s="218" t="s">
        <v>370</v>
      </c>
      <c r="AF10" s="218" t="s">
        <v>370</v>
      </c>
      <c r="AG10" s="219" t="s">
        <v>371</v>
      </c>
      <c r="AH10" s="219"/>
      <c r="AI10" s="219"/>
      <c r="AJ10" s="219"/>
      <c r="AK10" s="212" t="s">
        <v>428</v>
      </c>
    </row>
    <row r="11" spans="1:37" x14ac:dyDescent="0.15">
      <c r="A11" s="213"/>
      <c r="B11" s="234">
        <v>42946</v>
      </c>
      <c r="C11" s="221" t="s">
        <v>334</v>
      </c>
      <c r="D11" s="213" t="s">
        <v>355</v>
      </c>
      <c r="E11" s="214">
        <v>42833</v>
      </c>
      <c r="F11" s="212" t="s">
        <v>393</v>
      </c>
      <c r="G11" s="213" t="s">
        <v>380</v>
      </c>
      <c r="H11" s="215">
        <v>72.72727272727272</v>
      </c>
      <c r="I11" s="216" t="s">
        <v>323</v>
      </c>
      <c r="J11" s="217">
        <v>1200</v>
      </c>
      <c r="K11" s="217">
        <v>2400</v>
      </c>
      <c r="L11" s="217">
        <v>5400</v>
      </c>
      <c r="M11" s="217">
        <v>165400</v>
      </c>
      <c r="N11" s="217">
        <v>832000</v>
      </c>
      <c r="O11" s="215">
        <v>3.6363636363636362</v>
      </c>
      <c r="P11" s="215">
        <v>2.545454545454545</v>
      </c>
      <c r="Q11" s="215">
        <v>2.3636363636363633</v>
      </c>
      <c r="R11" s="215">
        <v>2.2727272727272725</v>
      </c>
      <c r="S11" s="215">
        <v>2.1818181818181817</v>
      </c>
      <c r="T11" s="236">
        <v>2.1818181818181817</v>
      </c>
      <c r="U11" s="218" t="s">
        <v>370</v>
      </c>
      <c r="V11" s="218" t="s">
        <v>370</v>
      </c>
      <c r="W11" s="218" t="s">
        <v>370</v>
      </c>
      <c r="X11" s="218" t="s">
        <v>370</v>
      </c>
      <c r="Y11" s="218" t="s">
        <v>370</v>
      </c>
      <c r="Z11" s="218" t="s">
        <v>370</v>
      </c>
      <c r="AA11" s="218" t="s">
        <v>370</v>
      </c>
      <c r="AB11" s="218" t="s">
        <v>370</v>
      </c>
      <c r="AC11" s="218" t="s">
        <v>370</v>
      </c>
      <c r="AD11" s="218" t="s">
        <v>370</v>
      </c>
      <c r="AE11" s="218" t="s">
        <v>370</v>
      </c>
      <c r="AF11" s="218" t="s">
        <v>370</v>
      </c>
      <c r="AG11" s="219" t="s">
        <v>371</v>
      </c>
      <c r="AH11" s="219"/>
      <c r="AI11" s="219"/>
      <c r="AJ11" s="219"/>
      <c r="AK11" s="212"/>
    </row>
    <row r="12" spans="1:37" x14ac:dyDescent="0.15">
      <c r="A12" s="213"/>
      <c r="B12" s="234">
        <v>42946</v>
      </c>
      <c r="C12" s="221" t="s">
        <v>334</v>
      </c>
      <c r="D12" s="213" t="s">
        <v>355</v>
      </c>
      <c r="E12" s="214">
        <v>42916</v>
      </c>
      <c r="F12" s="212" t="s">
        <v>395</v>
      </c>
      <c r="G12" s="213" t="s">
        <v>380</v>
      </c>
      <c r="H12" s="215">
        <v>75</v>
      </c>
      <c r="I12" s="216" t="s">
        <v>323</v>
      </c>
      <c r="J12" s="217">
        <v>37260</v>
      </c>
      <c r="K12" s="217"/>
      <c r="L12" s="217"/>
      <c r="M12" s="217"/>
      <c r="N12" s="217"/>
      <c r="O12" s="215">
        <v>4</v>
      </c>
      <c r="P12" s="215">
        <v>2.5999999999999996</v>
      </c>
      <c r="Q12" s="233"/>
      <c r="R12" s="233"/>
      <c r="S12" s="233"/>
      <c r="T12" s="233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9" t="s">
        <v>371</v>
      </c>
      <c r="AH12" s="219"/>
      <c r="AI12" s="219"/>
      <c r="AJ12" s="219"/>
      <c r="AK12" s="212"/>
    </row>
    <row r="13" spans="1:37" x14ac:dyDescent="0.15">
      <c r="A13" s="213">
        <v>871</v>
      </c>
      <c r="B13" s="234">
        <v>42946</v>
      </c>
      <c r="C13" s="212" t="s">
        <v>334</v>
      </c>
      <c r="D13" s="213" t="s">
        <v>360</v>
      </c>
      <c r="E13" s="214">
        <v>42916</v>
      </c>
      <c r="F13" s="212" t="s">
        <v>397</v>
      </c>
      <c r="G13" s="213" t="s">
        <v>380</v>
      </c>
      <c r="H13" s="215">
        <v>58.754545454545443</v>
      </c>
      <c r="I13" s="216" t="s">
        <v>323</v>
      </c>
      <c r="J13" s="217">
        <v>1200</v>
      </c>
      <c r="K13" s="217">
        <v>2400</v>
      </c>
      <c r="L13" s="217">
        <v>5400</v>
      </c>
      <c r="M13" s="217">
        <v>165400</v>
      </c>
      <c r="N13" s="217">
        <v>832000</v>
      </c>
      <c r="O13" s="215">
        <v>3.8909090909090907</v>
      </c>
      <c r="P13" s="215">
        <v>2.5818181818181816</v>
      </c>
      <c r="Q13" s="215">
        <v>2.5545454545454542</v>
      </c>
      <c r="R13" s="215">
        <v>2.4727272727272727</v>
      </c>
      <c r="S13" s="215">
        <v>2.2909090909090906</v>
      </c>
      <c r="T13" s="215">
        <v>0.5</v>
      </c>
      <c r="U13" s="218" t="s">
        <v>370</v>
      </c>
      <c r="V13" s="218" t="s">
        <v>370</v>
      </c>
      <c r="W13" s="218" t="s">
        <v>370</v>
      </c>
      <c r="X13" s="218" t="s">
        <v>370</v>
      </c>
      <c r="Y13" s="218" t="s">
        <v>370</v>
      </c>
      <c r="Z13" s="218" t="s">
        <v>370</v>
      </c>
      <c r="AA13" s="218" t="s">
        <v>370</v>
      </c>
      <c r="AB13" s="218" t="s">
        <v>370</v>
      </c>
      <c r="AC13" s="218" t="s">
        <v>370</v>
      </c>
      <c r="AD13" s="218" t="s">
        <v>370</v>
      </c>
      <c r="AE13" s="218" t="s">
        <v>370</v>
      </c>
      <c r="AF13" s="218" t="s">
        <v>370</v>
      </c>
      <c r="AG13" s="219" t="s">
        <v>371</v>
      </c>
      <c r="AH13" s="213"/>
      <c r="AI13" s="213"/>
      <c r="AJ13" s="213"/>
      <c r="AK13" s="212" t="s">
        <v>413</v>
      </c>
    </row>
    <row r="14" spans="1:37" x14ac:dyDescent="0.15">
      <c r="A14" s="213">
        <v>2108</v>
      </c>
      <c r="B14" s="234">
        <v>42986</v>
      </c>
      <c r="C14" s="212" t="s">
        <v>334</v>
      </c>
      <c r="D14" s="213" t="s">
        <v>360</v>
      </c>
      <c r="E14" s="214">
        <v>42986</v>
      </c>
      <c r="F14" s="212" t="s">
        <v>373</v>
      </c>
      <c r="G14" s="213" t="s">
        <v>380</v>
      </c>
      <c r="H14" s="215">
        <v>70</v>
      </c>
      <c r="I14" s="216" t="s">
        <v>323</v>
      </c>
      <c r="J14" s="235">
        <v>2460</v>
      </c>
      <c r="K14" s="235">
        <v>164700</v>
      </c>
      <c r="L14" s="235">
        <v>657840</v>
      </c>
      <c r="M14" s="235">
        <v>657840</v>
      </c>
      <c r="N14" s="235">
        <v>657840</v>
      </c>
      <c r="O14" s="215">
        <v>3.5</v>
      </c>
      <c r="P14" s="215">
        <v>3.0454545454545454</v>
      </c>
      <c r="Q14" s="215">
        <v>2.9545454545454541</v>
      </c>
      <c r="R14" s="215">
        <v>2.7818181818181817</v>
      </c>
      <c r="S14" s="215">
        <v>0</v>
      </c>
      <c r="T14" s="215">
        <v>0</v>
      </c>
      <c r="U14" s="218" t="s">
        <v>370</v>
      </c>
      <c r="V14" s="218" t="s">
        <v>370</v>
      </c>
      <c r="W14" s="218" t="s">
        <v>370</v>
      </c>
      <c r="X14" s="218" t="s">
        <v>370</v>
      </c>
      <c r="Y14" s="218" t="s">
        <v>370</v>
      </c>
      <c r="Z14" s="218" t="s">
        <v>370</v>
      </c>
      <c r="AA14" s="218" t="s">
        <v>370</v>
      </c>
      <c r="AB14" s="218" t="s">
        <v>370</v>
      </c>
      <c r="AC14" s="218" t="s">
        <v>370</v>
      </c>
      <c r="AD14" s="218" t="s">
        <v>370</v>
      </c>
      <c r="AE14" s="218" t="s">
        <v>370</v>
      </c>
      <c r="AF14" s="218" t="s">
        <v>370</v>
      </c>
      <c r="AG14" s="219" t="s">
        <v>371</v>
      </c>
      <c r="AH14" s="213"/>
      <c r="AI14" s="213"/>
      <c r="AJ14" s="213"/>
      <c r="AK14" s="212" t="s">
        <v>447</v>
      </c>
    </row>
    <row r="15" spans="1:37" x14ac:dyDescent="0.15">
      <c r="A15" s="213">
        <v>872</v>
      </c>
      <c r="B15" s="234">
        <v>42946</v>
      </c>
      <c r="C15" s="212" t="s">
        <v>334</v>
      </c>
      <c r="D15" s="213" t="s">
        <v>361</v>
      </c>
      <c r="E15" s="214">
        <v>42916</v>
      </c>
      <c r="F15" s="212" t="s">
        <v>397</v>
      </c>
      <c r="G15" s="213" t="s">
        <v>380</v>
      </c>
      <c r="H15" s="215">
        <v>75.999999999999986</v>
      </c>
      <c r="I15" s="216" t="s">
        <v>323</v>
      </c>
      <c r="J15" s="217">
        <v>2460</v>
      </c>
      <c r="K15" s="217">
        <v>28980</v>
      </c>
      <c r="L15" s="217">
        <v>118320</v>
      </c>
      <c r="M15" s="217">
        <v>118320</v>
      </c>
      <c r="N15" s="217">
        <v>118320</v>
      </c>
      <c r="O15" s="215">
        <v>3.1818181818181817</v>
      </c>
      <c r="P15" s="215">
        <v>2.627272727272727</v>
      </c>
      <c r="Q15" s="215">
        <v>2.5181818181818181</v>
      </c>
      <c r="R15" s="215">
        <v>2.4545454545454546</v>
      </c>
      <c r="S15" s="215">
        <v>0</v>
      </c>
      <c r="T15" s="215">
        <v>0</v>
      </c>
      <c r="U15" s="218" t="s">
        <v>370</v>
      </c>
      <c r="V15" s="218" t="s">
        <v>370</v>
      </c>
      <c r="W15" s="218" t="s">
        <v>370</v>
      </c>
      <c r="X15" s="218" t="s">
        <v>370</v>
      </c>
      <c r="Y15" s="218" t="s">
        <v>370</v>
      </c>
      <c r="Z15" s="218" t="s">
        <v>370</v>
      </c>
      <c r="AA15" s="218" t="s">
        <v>370</v>
      </c>
      <c r="AB15" s="218" t="s">
        <v>370</v>
      </c>
      <c r="AC15" s="218" t="s">
        <v>370</v>
      </c>
      <c r="AD15" s="218" t="s">
        <v>370</v>
      </c>
      <c r="AE15" s="218" t="s">
        <v>370</v>
      </c>
      <c r="AF15" s="218" t="s">
        <v>370</v>
      </c>
      <c r="AG15" s="219" t="s">
        <v>371</v>
      </c>
      <c r="AH15" s="219"/>
      <c r="AI15" s="219"/>
      <c r="AJ15" s="219"/>
      <c r="AK15" s="212" t="s">
        <v>452</v>
      </c>
    </row>
    <row r="16" spans="1:37" x14ac:dyDescent="0.15">
      <c r="A16" s="213">
        <v>2109</v>
      </c>
      <c r="B16" s="234">
        <v>42986</v>
      </c>
      <c r="C16" s="212" t="s">
        <v>334</v>
      </c>
      <c r="D16" s="213" t="s">
        <v>361</v>
      </c>
      <c r="E16" s="214">
        <v>42986</v>
      </c>
      <c r="F16" s="212" t="s">
        <v>373</v>
      </c>
      <c r="G16" s="213" t="s">
        <v>380</v>
      </c>
      <c r="H16" s="215">
        <v>73.199999999999989</v>
      </c>
      <c r="I16" s="216" t="s">
        <v>323</v>
      </c>
      <c r="J16" s="217">
        <v>2460</v>
      </c>
      <c r="K16" s="217">
        <v>164700</v>
      </c>
      <c r="L16" s="217">
        <v>822540</v>
      </c>
      <c r="M16" s="217">
        <v>822540</v>
      </c>
      <c r="N16" s="217">
        <v>822540</v>
      </c>
      <c r="O16" s="215">
        <v>3.0363636363636362</v>
      </c>
      <c r="P16" s="215">
        <v>2.7636363636363632</v>
      </c>
      <c r="Q16" s="215">
        <v>2.6727272727272724</v>
      </c>
      <c r="R16" s="215">
        <v>2.4636363636363634</v>
      </c>
      <c r="S16" s="215">
        <v>0</v>
      </c>
      <c r="T16" s="215">
        <v>0</v>
      </c>
      <c r="U16" s="218" t="s">
        <v>370</v>
      </c>
      <c r="V16" s="218" t="s">
        <v>370</v>
      </c>
      <c r="W16" s="218" t="s">
        <v>370</v>
      </c>
      <c r="X16" s="218" t="s">
        <v>370</v>
      </c>
      <c r="Y16" s="218" t="s">
        <v>370</v>
      </c>
      <c r="Z16" s="218" t="s">
        <v>370</v>
      </c>
      <c r="AA16" s="218" t="s">
        <v>370</v>
      </c>
      <c r="AB16" s="218" t="s">
        <v>370</v>
      </c>
      <c r="AC16" s="218" t="s">
        <v>370</v>
      </c>
      <c r="AD16" s="218" t="s">
        <v>370</v>
      </c>
      <c r="AE16" s="218" t="s">
        <v>370</v>
      </c>
      <c r="AF16" s="218" t="s">
        <v>370</v>
      </c>
      <c r="AG16" s="219" t="s">
        <v>371</v>
      </c>
      <c r="AH16" s="219"/>
      <c r="AI16" s="219"/>
      <c r="AJ16" s="219"/>
      <c r="AK16" s="212" t="s">
        <v>448</v>
      </c>
    </row>
    <row r="17" spans="1:37" x14ac:dyDescent="0.15">
      <c r="A17" s="213">
        <v>873</v>
      </c>
      <c r="B17" s="234">
        <v>42946</v>
      </c>
      <c r="C17" s="212" t="s">
        <v>334</v>
      </c>
      <c r="D17" s="213" t="s">
        <v>362</v>
      </c>
      <c r="E17" s="214">
        <v>42916</v>
      </c>
      <c r="F17" s="212" t="s">
        <v>397</v>
      </c>
      <c r="G17" s="213" t="s">
        <v>380</v>
      </c>
      <c r="H17" s="215">
        <v>89.3</v>
      </c>
      <c r="I17" s="216"/>
      <c r="J17" s="217"/>
      <c r="K17" s="217"/>
      <c r="L17" s="217"/>
      <c r="M17" s="217"/>
      <c r="N17" s="217"/>
      <c r="O17" s="215">
        <v>2.9272727272727272</v>
      </c>
      <c r="P17" s="233"/>
      <c r="Q17" s="233"/>
      <c r="R17" s="233"/>
      <c r="S17" s="233"/>
      <c r="T17" s="233"/>
      <c r="U17" s="218" t="s">
        <v>370</v>
      </c>
      <c r="V17" s="218" t="s">
        <v>370</v>
      </c>
      <c r="W17" s="218" t="s">
        <v>370</v>
      </c>
      <c r="X17" s="218" t="s">
        <v>370</v>
      </c>
      <c r="Y17" s="218" t="s">
        <v>370</v>
      </c>
      <c r="Z17" s="218" t="s">
        <v>370</v>
      </c>
      <c r="AA17" s="218" t="s">
        <v>370</v>
      </c>
      <c r="AB17" s="218" t="s">
        <v>370</v>
      </c>
      <c r="AC17" s="218" t="s">
        <v>370</v>
      </c>
      <c r="AD17" s="218" t="s">
        <v>370</v>
      </c>
      <c r="AE17" s="218" t="s">
        <v>370</v>
      </c>
      <c r="AF17" s="218" t="s">
        <v>370</v>
      </c>
      <c r="AG17" s="219" t="s">
        <v>371</v>
      </c>
      <c r="AH17" s="219"/>
      <c r="AI17" s="219"/>
      <c r="AJ17" s="219"/>
      <c r="AK17" s="212"/>
    </row>
    <row r="18" spans="1:37" x14ac:dyDescent="0.15">
      <c r="A18" s="213">
        <v>2110</v>
      </c>
      <c r="B18" s="234">
        <v>42986</v>
      </c>
      <c r="C18" s="212" t="s">
        <v>334</v>
      </c>
      <c r="D18" s="213" t="s">
        <v>363</v>
      </c>
      <c r="E18" s="214">
        <v>42986</v>
      </c>
      <c r="F18" s="212" t="s">
        <v>373</v>
      </c>
      <c r="G18" s="213" t="s">
        <v>380</v>
      </c>
      <c r="H18" s="215">
        <v>79.599999999999994</v>
      </c>
      <c r="I18" s="216" t="s">
        <v>323</v>
      </c>
      <c r="J18" s="217">
        <v>6000</v>
      </c>
      <c r="K18" s="217">
        <v>12000</v>
      </c>
      <c r="L18" s="217">
        <v>84000</v>
      </c>
      <c r="M18" s="217">
        <v>84000</v>
      </c>
      <c r="N18" s="217">
        <v>84000</v>
      </c>
      <c r="O18" s="215">
        <v>2.5</v>
      </c>
      <c r="P18" s="215">
        <v>2.3181818181818179</v>
      </c>
      <c r="Q18" s="215">
        <v>2.2636363636363637</v>
      </c>
      <c r="R18" s="215">
        <v>2.2636363636363637</v>
      </c>
      <c r="S18" s="215">
        <v>0</v>
      </c>
      <c r="T18" s="215">
        <v>0</v>
      </c>
      <c r="U18" s="218" t="s">
        <v>370</v>
      </c>
      <c r="V18" s="218" t="s">
        <v>370</v>
      </c>
      <c r="W18" s="218" t="s">
        <v>370</v>
      </c>
      <c r="X18" s="218" t="s">
        <v>370</v>
      </c>
      <c r="Y18" s="218" t="s">
        <v>370</v>
      </c>
      <c r="Z18" s="218" t="s">
        <v>370</v>
      </c>
      <c r="AA18" s="218" t="s">
        <v>370</v>
      </c>
      <c r="AB18" s="218" t="s">
        <v>370</v>
      </c>
      <c r="AC18" s="218" t="s">
        <v>370</v>
      </c>
      <c r="AD18" s="218" t="s">
        <v>370</v>
      </c>
      <c r="AE18" s="218" t="s">
        <v>370</v>
      </c>
      <c r="AF18" s="218" t="s">
        <v>370</v>
      </c>
      <c r="AG18" s="219" t="s">
        <v>371</v>
      </c>
      <c r="AH18" s="219"/>
      <c r="AI18" s="219"/>
      <c r="AJ18" s="219"/>
      <c r="AK18" s="212" t="s">
        <v>449</v>
      </c>
    </row>
    <row r="19" spans="1:37" x14ac:dyDescent="0.15">
      <c r="A19" s="213">
        <v>2153</v>
      </c>
      <c r="B19" s="234">
        <v>42946</v>
      </c>
      <c r="C19" s="212" t="s">
        <v>334</v>
      </c>
      <c r="D19" s="213" t="s">
        <v>363</v>
      </c>
      <c r="E19" s="214">
        <v>42916</v>
      </c>
      <c r="F19" s="212" t="s">
        <v>374</v>
      </c>
      <c r="G19" s="213" t="s">
        <v>380</v>
      </c>
      <c r="H19" s="215">
        <v>58.809090909090905</v>
      </c>
      <c r="I19" s="216" t="s">
        <v>348</v>
      </c>
      <c r="J19" s="217">
        <v>1650</v>
      </c>
      <c r="K19" s="217">
        <v>1650</v>
      </c>
      <c r="L19" s="217">
        <v>1650</v>
      </c>
      <c r="M19" s="217">
        <v>1650</v>
      </c>
      <c r="N19" s="217">
        <v>1650</v>
      </c>
      <c r="O19" s="215">
        <v>2.418181818181818</v>
      </c>
      <c r="P19" s="215">
        <v>2.1</v>
      </c>
      <c r="Q19" s="215">
        <v>2.1</v>
      </c>
      <c r="R19" s="215">
        <v>2.1</v>
      </c>
      <c r="S19" s="215">
        <v>2.1</v>
      </c>
      <c r="T19" s="215">
        <v>2.1</v>
      </c>
      <c r="U19" s="218" t="s">
        <v>370</v>
      </c>
      <c r="V19" s="218" t="s">
        <v>370</v>
      </c>
      <c r="W19" s="218" t="s">
        <v>370</v>
      </c>
      <c r="X19" s="218" t="s">
        <v>370</v>
      </c>
      <c r="Y19" s="218" t="s">
        <v>370</v>
      </c>
      <c r="Z19" s="218" t="s">
        <v>370</v>
      </c>
      <c r="AA19" s="218" t="s">
        <v>370</v>
      </c>
      <c r="AB19" s="218" t="s">
        <v>370</v>
      </c>
      <c r="AC19" s="218" t="s">
        <v>370</v>
      </c>
      <c r="AD19" s="218" t="s">
        <v>370</v>
      </c>
      <c r="AE19" s="218" t="s">
        <v>370</v>
      </c>
      <c r="AF19" s="218" t="s">
        <v>370</v>
      </c>
      <c r="AG19" s="219" t="s">
        <v>371</v>
      </c>
      <c r="AH19" s="219"/>
      <c r="AI19" s="219"/>
      <c r="AJ19" s="219"/>
      <c r="AK19" s="212" t="s">
        <v>430</v>
      </c>
    </row>
    <row r="20" spans="1:37" x14ac:dyDescent="0.15">
      <c r="A20" s="213">
        <v>2097</v>
      </c>
      <c r="B20" s="234">
        <v>42946</v>
      </c>
      <c r="C20" s="212" t="s">
        <v>334</v>
      </c>
      <c r="D20" s="213" t="s">
        <v>363</v>
      </c>
      <c r="E20" s="214">
        <v>42928</v>
      </c>
      <c r="F20" s="212" t="s">
        <v>133</v>
      </c>
      <c r="G20" s="213" t="s">
        <v>380</v>
      </c>
      <c r="H20" s="215">
        <v>64.172727272727272</v>
      </c>
      <c r="I20" s="216" t="s">
        <v>323</v>
      </c>
      <c r="J20" s="217">
        <v>1650</v>
      </c>
      <c r="K20" s="217">
        <v>2960</v>
      </c>
      <c r="L20" s="217">
        <v>2960</v>
      </c>
      <c r="M20" s="217">
        <v>2960</v>
      </c>
      <c r="N20" s="217">
        <v>2960</v>
      </c>
      <c r="O20" s="215">
        <v>2.2181818181818178</v>
      </c>
      <c r="P20" s="215">
        <v>2</v>
      </c>
      <c r="Q20" s="215">
        <v>1.8909090909090909</v>
      </c>
      <c r="R20" s="215">
        <v>0</v>
      </c>
      <c r="S20" s="215">
        <v>0</v>
      </c>
      <c r="T20" s="215">
        <v>0</v>
      </c>
      <c r="U20" s="218" t="s">
        <v>370</v>
      </c>
      <c r="V20" s="218" t="s">
        <v>370</v>
      </c>
      <c r="W20" s="218" t="s">
        <v>370</v>
      </c>
      <c r="X20" s="218" t="s">
        <v>370</v>
      </c>
      <c r="Y20" s="218" t="s">
        <v>370</v>
      </c>
      <c r="Z20" s="218" t="s">
        <v>370</v>
      </c>
      <c r="AA20" s="218" t="s">
        <v>370</v>
      </c>
      <c r="AB20" s="218" t="s">
        <v>370</v>
      </c>
      <c r="AC20" s="218" t="s">
        <v>370</v>
      </c>
      <c r="AD20" s="218" t="s">
        <v>370</v>
      </c>
      <c r="AE20" s="218" t="s">
        <v>370</v>
      </c>
      <c r="AF20" s="218" t="s">
        <v>370</v>
      </c>
      <c r="AG20" s="219" t="s">
        <v>371</v>
      </c>
      <c r="AH20" s="219"/>
      <c r="AI20" s="219"/>
      <c r="AJ20" s="219"/>
      <c r="AK20" s="212" t="s">
        <v>423</v>
      </c>
    </row>
    <row r="21" spans="1:37" x14ac:dyDescent="0.15">
      <c r="A21" s="213"/>
      <c r="B21" s="234">
        <v>42946</v>
      </c>
      <c r="C21" s="212" t="s">
        <v>334</v>
      </c>
      <c r="D21" s="213" t="s">
        <v>363</v>
      </c>
      <c r="E21" s="214">
        <v>42916</v>
      </c>
      <c r="F21" s="212" t="s">
        <v>327</v>
      </c>
      <c r="G21" s="213" t="s">
        <v>380</v>
      </c>
      <c r="H21" s="215">
        <v>64.854545454545459</v>
      </c>
      <c r="I21" s="216" t="s">
        <v>323</v>
      </c>
      <c r="J21" s="217">
        <v>1650</v>
      </c>
      <c r="K21" s="217">
        <v>2960</v>
      </c>
      <c r="L21" s="217">
        <v>2960</v>
      </c>
      <c r="M21" s="217">
        <v>2960</v>
      </c>
      <c r="N21" s="217">
        <v>2960</v>
      </c>
      <c r="O21" s="215">
        <v>2.1363636363636362</v>
      </c>
      <c r="P21" s="215">
        <v>1.918181818181818</v>
      </c>
      <c r="Q21" s="215">
        <v>1.7999999999999998</v>
      </c>
      <c r="R21" s="215">
        <v>0</v>
      </c>
      <c r="S21" s="215">
        <v>0</v>
      </c>
      <c r="T21" s="215">
        <v>0</v>
      </c>
      <c r="U21" s="218" t="s">
        <v>370</v>
      </c>
      <c r="V21" s="218" t="s">
        <v>370</v>
      </c>
      <c r="W21" s="218" t="s">
        <v>370</v>
      </c>
      <c r="X21" s="218" t="s">
        <v>370</v>
      </c>
      <c r="Y21" s="218" t="s">
        <v>370</v>
      </c>
      <c r="Z21" s="218" t="s">
        <v>370</v>
      </c>
      <c r="AA21" s="218" t="s">
        <v>370</v>
      </c>
      <c r="AB21" s="218" t="s">
        <v>370</v>
      </c>
      <c r="AC21" s="218" t="s">
        <v>370</v>
      </c>
      <c r="AD21" s="218" t="s">
        <v>370</v>
      </c>
      <c r="AE21" s="218" t="s">
        <v>370</v>
      </c>
      <c r="AF21" s="218" t="s">
        <v>370</v>
      </c>
      <c r="AG21" s="219" t="s">
        <v>371</v>
      </c>
      <c r="AH21" s="219"/>
      <c r="AI21" s="219"/>
      <c r="AJ21" s="219"/>
      <c r="AK21" s="212" t="s">
        <v>438</v>
      </c>
    </row>
    <row r="22" spans="1:37" x14ac:dyDescent="0.15">
      <c r="A22" s="213">
        <v>2111</v>
      </c>
      <c r="B22" s="234">
        <v>42986</v>
      </c>
      <c r="C22" s="212" t="s">
        <v>334</v>
      </c>
      <c r="D22" s="213" t="s">
        <v>364</v>
      </c>
      <c r="E22" s="214">
        <v>42986</v>
      </c>
      <c r="F22" s="212" t="s">
        <v>373</v>
      </c>
      <c r="G22" s="213" t="s">
        <v>380</v>
      </c>
      <c r="H22" s="215">
        <v>76.400000000000006</v>
      </c>
      <c r="I22" s="216" t="s">
        <v>323</v>
      </c>
      <c r="J22" s="217">
        <v>6000</v>
      </c>
      <c r="K22" s="217">
        <v>12000</v>
      </c>
      <c r="L22" s="217">
        <v>84000</v>
      </c>
      <c r="M22" s="217">
        <v>84000</v>
      </c>
      <c r="N22" s="217">
        <v>84000</v>
      </c>
      <c r="O22" s="215">
        <v>3.6363636363636362</v>
      </c>
      <c r="P22" s="215">
        <v>3.2363636363636363</v>
      </c>
      <c r="Q22" s="215">
        <v>2.8818181818181814</v>
      </c>
      <c r="R22" s="215">
        <v>2.8818181818181814</v>
      </c>
      <c r="S22" s="215">
        <v>0</v>
      </c>
      <c r="T22" s="215">
        <v>0</v>
      </c>
      <c r="U22" s="218" t="s">
        <v>370</v>
      </c>
      <c r="V22" s="218" t="s">
        <v>370</v>
      </c>
      <c r="W22" s="218" t="s">
        <v>370</v>
      </c>
      <c r="X22" s="218" t="s">
        <v>370</v>
      </c>
      <c r="Y22" s="218" t="s">
        <v>370</v>
      </c>
      <c r="Z22" s="218" t="s">
        <v>370</v>
      </c>
      <c r="AA22" s="218" t="s">
        <v>370</v>
      </c>
      <c r="AB22" s="218" t="s">
        <v>370</v>
      </c>
      <c r="AC22" s="218" t="s">
        <v>370</v>
      </c>
      <c r="AD22" s="218" t="s">
        <v>370</v>
      </c>
      <c r="AE22" s="218" t="s">
        <v>370</v>
      </c>
      <c r="AF22" s="218" t="s">
        <v>370</v>
      </c>
      <c r="AG22" s="219" t="s">
        <v>371</v>
      </c>
      <c r="AH22" s="219"/>
      <c r="AI22" s="219"/>
      <c r="AJ22" s="219"/>
      <c r="AK22" s="212" t="s">
        <v>450</v>
      </c>
    </row>
    <row r="23" spans="1:37" x14ac:dyDescent="0.15">
      <c r="A23" s="213">
        <v>2157</v>
      </c>
      <c r="B23" s="234">
        <v>42946</v>
      </c>
      <c r="C23" s="212" t="s">
        <v>334</v>
      </c>
      <c r="D23" s="213" t="s">
        <v>364</v>
      </c>
      <c r="E23" s="214">
        <v>42916</v>
      </c>
      <c r="F23" s="212" t="s">
        <v>374</v>
      </c>
      <c r="G23" s="213" t="s">
        <v>380</v>
      </c>
      <c r="H23" s="215">
        <v>62.463636363636354</v>
      </c>
      <c r="I23" s="216" t="s">
        <v>348</v>
      </c>
      <c r="J23" s="217">
        <v>1650</v>
      </c>
      <c r="K23" s="217">
        <v>1650</v>
      </c>
      <c r="L23" s="217">
        <v>1650</v>
      </c>
      <c r="M23" s="217">
        <v>1650</v>
      </c>
      <c r="N23" s="217">
        <v>1650</v>
      </c>
      <c r="O23" s="215">
        <v>3.5818181818181816</v>
      </c>
      <c r="P23" s="215">
        <v>2.7454545454545451</v>
      </c>
      <c r="Q23" s="215">
        <v>2.7454545454545451</v>
      </c>
      <c r="R23" s="215">
        <v>2.7454545454545451</v>
      </c>
      <c r="S23" s="215">
        <v>2.7454545454545451</v>
      </c>
      <c r="T23" s="215">
        <v>2.7454545454545451</v>
      </c>
      <c r="U23" s="218" t="s">
        <v>370</v>
      </c>
      <c r="V23" s="218" t="s">
        <v>370</v>
      </c>
      <c r="W23" s="218" t="s">
        <v>370</v>
      </c>
      <c r="X23" s="218" t="s">
        <v>370</v>
      </c>
      <c r="Y23" s="218" t="s">
        <v>370</v>
      </c>
      <c r="Z23" s="218" t="s">
        <v>370</v>
      </c>
      <c r="AA23" s="218" t="s">
        <v>370</v>
      </c>
      <c r="AB23" s="218" t="s">
        <v>370</v>
      </c>
      <c r="AC23" s="218" t="s">
        <v>370</v>
      </c>
      <c r="AD23" s="218" t="s">
        <v>370</v>
      </c>
      <c r="AE23" s="218" t="s">
        <v>370</v>
      </c>
      <c r="AF23" s="218" t="s">
        <v>370</v>
      </c>
      <c r="AG23" s="219" t="s">
        <v>371</v>
      </c>
      <c r="AH23" s="219"/>
      <c r="AI23" s="219"/>
      <c r="AJ23" s="219"/>
      <c r="AK23" s="212" t="s">
        <v>431</v>
      </c>
    </row>
    <row r="24" spans="1:37" x14ac:dyDescent="0.15">
      <c r="A24" s="213">
        <v>2098</v>
      </c>
      <c r="B24" s="234">
        <v>42946</v>
      </c>
      <c r="C24" s="212" t="s">
        <v>334</v>
      </c>
      <c r="D24" s="213" t="s">
        <v>364</v>
      </c>
      <c r="E24" s="214">
        <v>42928</v>
      </c>
      <c r="F24" s="212" t="s">
        <v>133</v>
      </c>
      <c r="G24" s="213" t="s">
        <v>380</v>
      </c>
      <c r="H24" s="215">
        <v>73.490909090909085</v>
      </c>
      <c r="I24" s="216" t="s">
        <v>323</v>
      </c>
      <c r="J24" s="217">
        <v>1650</v>
      </c>
      <c r="K24" s="217">
        <v>2960</v>
      </c>
      <c r="L24" s="217">
        <v>2960</v>
      </c>
      <c r="M24" s="217">
        <v>2960</v>
      </c>
      <c r="N24" s="217">
        <v>2960</v>
      </c>
      <c r="O24" s="215">
        <v>3.4818181818181815</v>
      </c>
      <c r="P24" s="215">
        <v>3.1636363636363636</v>
      </c>
      <c r="Q24" s="215">
        <v>2.5272727272727269</v>
      </c>
      <c r="R24" s="215">
        <v>0</v>
      </c>
      <c r="S24" s="215">
        <v>0</v>
      </c>
      <c r="T24" s="215">
        <v>0</v>
      </c>
      <c r="U24" s="218" t="s">
        <v>370</v>
      </c>
      <c r="V24" s="218" t="s">
        <v>370</v>
      </c>
      <c r="W24" s="218" t="s">
        <v>370</v>
      </c>
      <c r="X24" s="218" t="s">
        <v>370</v>
      </c>
      <c r="Y24" s="218" t="s">
        <v>370</v>
      </c>
      <c r="Z24" s="218" t="s">
        <v>370</v>
      </c>
      <c r="AA24" s="218" t="s">
        <v>370</v>
      </c>
      <c r="AB24" s="218" t="s">
        <v>370</v>
      </c>
      <c r="AC24" s="218" t="s">
        <v>370</v>
      </c>
      <c r="AD24" s="218" t="s">
        <v>370</v>
      </c>
      <c r="AE24" s="218" t="s">
        <v>370</v>
      </c>
      <c r="AF24" s="218" t="s">
        <v>370</v>
      </c>
      <c r="AG24" s="219" t="s">
        <v>371</v>
      </c>
      <c r="AH24" s="219"/>
      <c r="AI24" s="219"/>
      <c r="AJ24" s="219"/>
      <c r="AK24" s="212" t="s">
        <v>424</v>
      </c>
    </row>
    <row r="25" spans="1:37" x14ac:dyDescent="0.15">
      <c r="A25" s="213"/>
      <c r="B25" s="234">
        <v>42946</v>
      </c>
      <c r="C25" s="212" t="s">
        <v>334</v>
      </c>
      <c r="D25" s="213" t="s">
        <v>364</v>
      </c>
      <c r="E25" s="214">
        <v>42916</v>
      </c>
      <c r="F25" s="212" t="s">
        <v>327</v>
      </c>
      <c r="G25" s="213" t="s">
        <v>380</v>
      </c>
      <c r="H25" s="215">
        <v>69.281818181818167</v>
      </c>
      <c r="I25" s="216" t="s">
        <v>323</v>
      </c>
      <c r="J25" s="217">
        <v>1650</v>
      </c>
      <c r="K25" s="217">
        <v>2960</v>
      </c>
      <c r="L25" s="217">
        <v>2960</v>
      </c>
      <c r="M25" s="217">
        <v>2960</v>
      </c>
      <c r="N25" s="217">
        <v>2960</v>
      </c>
      <c r="O25" s="215">
        <v>3.1818181818181817</v>
      </c>
      <c r="P25" s="215">
        <v>2.9454545454545453</v>
      </c>
      <c r="Q25" s="215">
        <v>2.3545454545454541</v>
      </c>
      <c r="R25" s="215">
        <v>0</v>
      </c>
      <c r="S25" s="215">
        <v>0</v>
      </c>
      <c r="T25" s="215">
        <v>0</v>
      </c>
      <c r="U25" s="218" t="s">
        <v>370</v>
      </c>
      <c r="V25" s="218" t="s">
        <v>370</v>
      </c>
      <c r="W25" s="218" t="s">
        <v>370</v>
      </c>
      <c r="X25" s="218" t="s">
        <v>370</v>
      </c>
      <c r="Y25" s="218" t="s">
        <v>370</v>
      </c>
      <c r="Z25" s="218" t="s">
        <v>370</v>
      </c>
      <c r="AA25" s="218" t="s">
        <v>370</v>
      </c>
      <c r="AB25" s="218" t="s">
        <v>370</v>
      </c>
      <c r="AC25" s="218" t="s">
        <v>370</v>
      </c>
      <c r="AD25" s="218" t="s">
        <v>370</v>
      </c>
      <c r="AE25" s="218" t="s">
        <v>370</v>
      </c>
      <c r="AF25" s="218" t="s">
        <v>370</v>
      </c>
      <c r="AG25" s="219" t="s">
        <v>371</v>
      </c>
      <c r="AH25" s="219"/>
      <c r="AI25" s="219"/>
      <c r="AJ25" s="219"/>
      <c r="AK25" s="212" t="s">
        <v>439</v>
      </c>
    </row>
    <row r="26" spans="1:37" x14ac:dyDescent="0.15">
      <c r="A26" s="213">
        <v>2161</v>
      </c>
      <c r="B26" s="234">
        <v>42946</v>
      </c>
      <c r="C26" s="212" t="s">
        <v>334</v>
      </c>
      <c r="D26" s="213" t="s">
        <v>365</v>
      </c>
      <c r="E26" s="214">
        <v>42916</v>
      </c>
      <c r="F26" s="212" t="s">
        <v>374</v>
      </c>
      <c r="G26" s="213" t="s">
        <v>380</v>
      </c>
      <c r="H26" s="215">
        <v>71.218181818181819</v>
      </c>
      <c r="I26" s="216"/>
      <c r="J26" s="213"/>
      <c r="K26" s="213"/>
      <c r="L26" s="213"/>
      <c r="M26" s="213"/>
      <c r="N26" s="213"/>
      <c r="O26" s="215">
        <v>3.0636363636363635</v>
      </c>
      <c r="P26" s="218" t="s">
        <v>370</v>
      </c>
      <c r="Q26" s="218"/>
      <c r="R26" s="218"/>
      <c r="S26" s="218"/>
      <c r="T26" s="218"/>
      <c r="U26" s="218" t="s">
        <v>370</v>
      </c>
      <c r="V26" s="218" t="s">
        <v>370</v>
      </c>
      <c r="W26" s="218" t="s">
        <v>370</v>
      </c>
      <c r="X26" s="218" t="s">
        <v>370</v>
      </c>
      <c r="Y26" s="218" t="s">
        <v>370</v>
      </c>
      <c r="Z26" s="218" t="s">
        <v>370</v>
      </c>
      <c r="AA26" s="218" t="s">
        <v>370</v>
      </c>
      <c r="AB26" s="218" t="s">
        <v>370</v>
      </c>
      <c r="AC26" s="218" t="s">
        <v>370</v>
      </c>
      <c r="AD26" s="218" t="s">
        <v>370</v>
      </c>
      <c r="AE26" s="218" t="s">
        <v>370</v>
      </c>
      <c r="AF26" s="218" t="s">
        <v>370</v>
      </c>
      <c r="AG26" s="219" t="s">
        <v>371</v>
      </c>
      <c r="AH26" s="219"/>
      <c r="AI26" s="219"/>
      <c r="AJ26" s="219"/>
      <c r="AK26" s="212" t="s">
        <v>432</v>
      </c>
    </row>
    <row r="27" spans="1:37" x14ac:dyDescent="0.15">
      <c r="A27" s="213">
        <v>874</v>
      </c>
      <c r="B27" s="234">
        <v>42946</v>
      </c>
      <c r="C27" s="212" t="s">
        <v>334</v>
      </c>
      <c r="D27" s="213" t="s">
        <v>365</v>
      </c>
      <c r="E27" s="214">
        <v>42916</v>
      </c>
      <c r="F27" s="212" t="s">
        <v>327</v>
      </c>
      <c r="G27" s="213" t="s">
        <v>380</v>
      </c>
      <c r="H27" s="215">
        <v>72.609090909090909</v>
      </c>
      <c r="I27" s="216"/>
      <c r="J27" s="217"/>
      <c r="K27" s="217"/>
      <c r="L27" s="217"/>
      <c r="M27" s="217"/>
      <c r="N27" s="217"/>
      <c r="O27" s="215">
        <v>3.1</v>
      </c>
      <c r="P27" s="218" t="s">
        <v>370</v>
      </c>
      <c r="Q27" s="218"/>
      <c r="R27" s="218"/>
      <c r="S27" s="218"/>
      <c r="T27" s="218"/>
      <c r="U27" s="218" t="s">
        <v>370</v>
      </c>
      <c r="V27" s="218" t="s">
        <v>370</v>
      </c>
      <c r="W27" s="218" t="s">
        <v>370</v>
      </c>
      <c r="X27" s="218" t="s">
        <v>370</v>
      </c>
      <c r="Y27" s="218" t="s">
        <v>370</v>
      </c>
      <c r="Z27" s="218" t="s">
        <v>370</v>
      </c>
      <c r="AA27" s="218" t="s">
        <v>370</v>
      </c>
      <c r="AB27" s="218" t="s">
        <v>370</v>
      </c>
      <c r="AC27" s="218" t="s">
        <v>370</v>
      </c>
      <c r="AD27" s="218" t="s">
        <v>370</v>
      </c>
      <c r="AE27" s="218" t="s">
        <v>370</v>
      </c>
      <c r="AF27" s="218" t="s">
        <v>370</v>
      </c>
      <c r="AG27" s="219" t="s">
        <v>371</v>
      </c>
      <c r="AH27" s="213"/>
      <c r="AI27" s="213"/>
      <c r="AJ27" s="213"/>
      <c r="AK27" s="212" t="s">
        <v>440</v>
      </c>
    </row>
    <row r="28" spans="1:37" x14ac:dyDescent="0.15">
      <c r="A28" s="213">
        <v>2173</v>
      </c>
      <c r="B28" s="234">
        <v>42946</v>
      </c>
      <c r="C28" s="212" t="s">
        <v>334</v>
      </c>
      <c r="D28" s="213" t="s">
        <v>366</v>
      </c>
      <c r="E28" s="214">
        <v>42916</v>
      </c>
      <c r="F28" s="212" t="s">
        <v>374</v>
      </c>
      <c r="G28" s="213" t="s">
        <v>380</v>
      </c>
      <c r="H28" s="215">
        <v>76.22727272727272</v>
      </c>
      <c r="I28" s="216"/>
      <c r="J28" s="213"/>
      <c r="K28" s="213"/>
      <c r="L28" s="213"/>
      <c r="M28" s="213"/>
      <c r="N28" s="213"/>
      <c r="O28" s="215">
        <v>3.0636363636363635</v>
      </c>
      <c r="P28" s="218" t="s">
        <v>370</v>
      </c>
      <c r="Q28" s="218"/>
      <c r="R28" s="218"/>
      <c r="S28" s="218"/>
      <c r="T28" s="218"/>
      <c r="U28" s="218" t="s">
        <v>370</v>
      </c>
      <c r="V28" s="218" t="s">
        <v>370</v>
      </c>
      <c r="W28" s="218" t="s">
        <v>370</v>
      </c>
      <c r="X28" s="218" t="s">
        <v>370</v>
      </c>
      <c r="Y28" s="218" t="s">
        <v>370</v>
      </c>
      <c r="Z28" s="218" t="s">
        <v>370</v>
      </c>
      <c r="AA28" s="218" t="s">
        <v>370</v>
      </c>
      <c r="AB28" s="218" t="s">
        <v>370</v>
      </c>
      <c r="AC28" s="218" t="s">
        <v>370</v>
      </c>
      <c r="AD28" s="218" t="s">
        <v>370</v>
      </c>
      <c r="AE28" s="218" t="s">
        <v>370</v>
      </c>
      <c r="AF28" s="218" t="s">
        <v>370</v>
      </c>
      <c r="AG28" s="219" t="s">
        <v>371</v>
      </c>
      <c r="AH28" s="219"/>
      <c r="AI28" s="219"/>
      <c r="AJ28" s="219"/>
      <c r="AK28" s="212" t="s">
        <v>433</v>
      </c>
    </row>
    <row r="29" spans="1:37" x14ac:dyDescent="0.15">
      <c r="A29" s="213">
        <v>2096</v>
      </c>
      <c r="B29" s="234">
        <v>42946</v>
      </c>
      <c r="C29" s="212" t="s">
        <v>334</v>
      </c>
      <c r="D29" s="213" t="s">
        <v>366</v>
      </c>
      <c r="E29" s="214">
        <v>42928</v>
      </c>
      <c r="F29" s="212" t="s">
        <v>133</v>
      </c>
      <c r="G29" s="213" t="s">
        <v>380</v>
      </c>
      <c r="H29" s="215">
        <v>87.98181818181817</v>
      </c>
      <c r="I29" s="216"/>
      <c r="J29" s="213"/>
      <c r="K29" s="213"/>
      <c r="L29" s="213"/>
      <c r="M29" s="213"/>
      <c r="N29" s="213"/>
      <c r="O29" s="215">
        <v>2.9545454545454541</v>
      </c>
      <c r="P29" s="218" t="s">
        <v>370</v>
      </c>
      <c r="Q29" s="218"/>
      <c r="R29" s="218"/>
      <c r="S29" s="218"/>
      <c r="T29" s="218"/>
      <c r="U29" s="218" t="s">
        <v>370</v>
      </c>
      <c r="V29" s="218" t="s">
        <v>370</v>
      </c>
      <c r="W29" s="218" t="s">
        <v>370</v>
      </c>
      <c r="X29" s="218" t="s">
        <v>370</v>
      </c>
      <c r="Y29" s="218" t="s">
        <v>370</v>
      </c>
      <c r="Z29" s="218" t="s">
        <v>370</v>
      </c>
      <c r="AA29" s="218" t="s">
        <v>370</v>
      </c>
      <c r="AB29" s="218" t="s">
        <v>370</v>
      </c>
      <c r="AC29" s="218" t="s">
        <v>370</v>
      </c>
      <c r="AD29" s="218" t="s">
        <v>370</v>
      </c>
      <c r="AE29" s="218" t="s">
        <v>370</v>
      </c>
      <c r="AF29" s="218" t="s">
        <v>370</v>
      </c>
      <c r="AG29" s="219" t="s">
        <v>371</v>
      </c>
      <c r="AH29" s="219"/>
      <c r="AI29" s="219"/>
      <c r="AJ29" s="219"/>
      <c r="AK29" s="212" t="s">
        <v>425</v>
      </c>
    </row>
    <row r="30" spans="1:37" x14ac:dyDescent="0.15">
      <c r="A30" s="213"/>
      <c r="B30" s="234">
        <v>42946</v>
      </c>
      <c r="C30" s="212" t="s">
        <v>334</v>
      </c>
      <c r="D30" s="213" t="s">
        <v>366</v>
      </c>
      <c r="E30" s="214">
        <v>42916</v>
      </c>
      <c r="F30" s="212" t="s">
        <v>327</v>
      </c>
      <c r="G30" s="213" t="s">
        <v>380</v>
      </c>
      <c r="H30" s="215">
        <v>72</v>
      </c>
      <c r="I30" s="216"/>
      <c r="J30" s="213"/>
      <c r="K30" s="213"/>
      <c r="L30" s="213"/>
      <c r="M30" s="213"/>
      <c r="N30" s="213"/>
      <c r="O30" s="215">
        <v>2.8818181818181814</v>
      </c>
      <c r="P30" s="218" t="s">
        <v>370</v>
      </c>
      <c r="Q30" s="218"/>
      <c r="R30" s="218"/>
      <c r="S30" s="218"/>
      <c r="T30" s="218"/>
      <c r="U30" s="218" t="s">
        <v>370</v>
      </c>
      <c r="V30" s="218" t="s">
        <v>370</v>
      </c>
      <c r="W30" s="218" t="s">
        <v>370</v>
      </c>
      <c r="X30" s="218" t="s">
        <v>370</v>
      </c>
      <c r="Y30" s="218" t="s">
        <v>370</v>
      </c>
      <c r="Z30" s="218" t="s">
        <v>370</v>
      </c>
      <c r="AA30" s="218" t="s">
        <v>370</v>
      </c>
      <c r="AB30" s="218" t="s">
        <v>370</v>
      </c>
      <c r="AC30" s="218" t="s">
        <v>370</v>
      </c>
      <c r="AD30" s="218" t="s">
        <v>370</v>
      </c>
      <c r="AE30" s="218" t="s">
        <v>370</v>
      </c>
      <c r="AF30" s="218" t="s">
        <v>370</v>
      </c>
      <c r="AG30" s="219" t="s">
        <v>371</v>
      </c>
      <c r="AH30" s="219"/>
      <c r="AI30" s="219"/>
      <c r="AJ30" s="219"/>
      <c r="AK30" s="212" t="s">
        <v>441</v>
      </c>
    </row>
    <row r="31" spans="1:37" x14ac:dyDescent="0.15">
      <c r="A31" s="213">
        <v>2177</v>
      </c>
      <c r="B31" s="234">
        <v>42946</v>
      </c>
      <c r="C31" s="212" t="s">
        <v>334</v>
      </c>
      <c r="D31" s="213" t="s">
        <v>367</v>
      </c>
      <c r="E31" s="214">
        <v>42916</v>
      </c>
      <c r="F31" s="212" t="s">
        <v>374</v>
      </c>
      <c r="G31" s="213" t="s">
        <v>380</v>
      </c>
      <c r="H31" s="215">
        <v>81.872727272727275</v>
      </c>
      <c r="I31" s="216"/>
      <c r="J31" s="213"/>
      <c r="K31" s="213"/>
      <c r="L31" s="213"/>
      <c r="M31" s="213"/>
      <c r="N31" s="213"/>
      <c r="O31" s="215">
        <v>3.0636363636363635</v>
      </c>
      <c r="P31" s="218" t="s">
        <v>370</v>
      </c>
      <c r="Q31" s="218"/>
      <c r="R31" s="218"/>
      <c r="S31" s="218"/>
      <c r="T31" s="218"/>
      <c r="U31" s="218" t="s">
        <v>370</v>
      </c>
      <c r="V31" s="218" t="s">
        <v>370</v>
      </c>
      <c r="W31" s="218" t="s">
        <v>370</v>
      </c>
      <c r="X31" s="218" t="s">
        <v>370</v>
      </c>
      <c r="Y31" s="218" t="s">
        <v>370</v>
      </c>
      <c r="Z31" s="218" t="s">
        <v>370</v>
      </c>
      <c r="AA31" s="218" t="s">
        <v>370</v>
      </c>
      <c r="AB31" s="218" t="s">
        <v>370</v>
      </c>
      <c r="AC31" s="218" t="s">
        <v>370</v>
      </c>
      <c r="AD31" s="218" t="s">
        <v>370</v>
      </c>
      <c r="AE31" s="218" t="s">
        <v>370</v>
      </c>
      <c r="AF31" s="218" t="s">
        <v>370</v>
      </c>
      <c r="AG31" s="219" t="s">
        <v>371</v>
      </c>
      <c r="AH31" s="219"/>
      <c r="AI31" s="219"/>
      <c r="AJ31" s="219"/>
      <c r="AK31" s="212" t="s">
        <v>434</v>
      </c>
    </row>
    <row r="32" spans="1:37" x14ac:dyDescent="0.15">
      <c r="A32" s="213">
        <v>875</v>
      </c>
      <c r="B32" s="234">
        <v>42946</v>
      </c>
      <c r="C32" s="212" t="s">
        <v>334</v>
      </c>
      <c r="D32" s="213" t="s">
        <v>367</v>
      </c>
      <c r="E32" s="214">
        <v>42916</v>
      </c>
      <c r="F32" s="212" t="s">
        <v>327</v>
      </c>
      <c r="G32" s="213" t="s">
        <v>380</v>
      </c>
      <c r="H32" s="215">
        <v>83.018181818181802</v>
      </c>
      <c r="I32" s="216"/>
      <c r="J32" s="217"/>
      <c r="K32" s="217"/>
      <c r="L32" s="217"/>
      <c r="M32" s="217"/>
      <c r="N32" s="217"/>
      <c r="O32" s="215">
        <v>3.1</v>
      </c>
      <c r="P32" s="218" t="s">
        <v>370</v>
      </c>
      <c r="Q32" s="218"/>
      <c r="R32" s="218"/>
      <c r="S32" s="218"/>
      <c r="T32" s="218"/>
      <c r="U32" s="218" t="s">
        <v>370</v>
      </c>
      <c r="V32" s="218" t="s">
        <v>370</v>
      </c>
      <c r="W32" s="218" t="s">
        <v>370</v>
      </c>
      <c r="X32" s="218" t="s">
        <v>370</v>
      </c>
      <c r="Y32" s="218" t="s">
        <v>370</v>
      </c>
      <c r="Z32" s="218" t="s">
        <v>370</v>
      </c>
      <c r="AA32" s="218" t="s">
        <v>370</v>
      </c>
      <c r="AB32" s="218" t="s">
        <v>370</v>
      </c>
      <c r="AC32" s="218" t="s">
        <v>370</v>
      </c>
      <c r="AD32" s="218" t="s">
        <v>370</v>
      </c>
      <c r="AE32" s="218" t="s">
        <v>370</v>
      </c>
      <c r="AF32" s="218" t="s">
        <v>370</v>
      </c>
      <c r="AG32" s="219" t="s">
        <v>371</v>
      </c>
      <c r="AH32" s="213"/>
      <c r="AI32" s="213"/>
      <c r="AJ32" s="213"/>
      <c r="AK32" s="212" t="s">
        <v>442</v>
      </c>
    </row>
    <row r="33" spans="1:37" x14ac:dyDescent="0.15">
      <c r="A33" s="213">
        <v>2165</v>
      </c>
      <c r="B33" s="234">
        <v>42946</v>
      </c>
      <c r="C33" s="212" t="s">
        <v>334</v>
      </c>
      <c r="D33" s="213" t="s">
        <v>368</v>
      </c>
      <c r="E33" s="214">
        <v>42916</v>
      </c>
      <c r="F33" s="212" t="s">
        <v>374</v>
      </c>
      <c r="G33" s="213" t="s">
        <v>380</v>
      </c>
      <c r="H33" s="215">
        <v>86.927272727272722</v>
      </c>
      <c r="I33" s="216"/>
      <c r="J33" s="213"/>
      <c r="K33" s="213"/>
      <c r="L33" s="213"/>
      <c r="M33" s="213"/>
      <c r="N33" s="213"/>
      <c r="O33" s="215">
        <v>2.5909090909090908</v>
      </c>
      <c r="P33" s="218" t="s">
        <v>370</v>
      </c>
      <c r="Q33" s="218"/>
      <c r="R33" s="218"/>
      <c r="S33" s="218"/>
      <c r="T33" s="218"/>
      <c r="U33" s="218" t="s">
        <v>370</v>
      </c>
      <c r="V33" s="218" t="s">
        <v>370</v>
      </c>
      <c r="W33" s="218" t="s">
        <v>370</v>
      </c>
      <c r="X33" s="218" t="s">
        <v>370</v>
      </c>
      <c r="Y33" s="218" t="s">
        <v>370</v>
      </c>
      <c r="Z33" s="218" t="s">
        <v>370</v>
      </c>
      <c r="AA33" s="218" t="s">
        <v>370</v>
      </c>
      <c r="AB33" s="218" t="s">
        <v>370</v>
      </c>
      <c r="AC33" s="218" t="s">
        <v>370</v>
      </c>
      <c r="AD33" s="218" t="s">
        <v>370</v>
      </c>
      <c r="AE33" s="218" t="s">
        <v>370</v>
      </c>
      <c r="AF33" s="218" t="s">
        <v>370</v>
      </c>
      <c r="AG33" s="219" t="s">
        <v>371</v>
      </c>
      <c r="AH33" s="219"/>
      <c r="AI33" s="219"/>
      <c r="AJ33" s="219"/>
      <c r="AK33" s="212" t="s">
        <v>435</v>
      </c>
    </row>
    <row r="34" spans="1:37" x14ac:dyDescent="0.15">
      <c r="A34" s="213">
        <v>2099</v>
      </c>
      <c r="B34" s="234">
        <v>42946</v>
      </c>
      <c r="C34" s="212" t="s">
        <v>334</v>
      </c>
      <c r="D34" s="213" t="s">
        <v>368</v>
      </c>
      <c r="E34" s="214">
        <v>42928</v>
      </c>
      <c r="F34" s="212" t="s">
        <v>133</v>
      </c>
      <c r="G34" s="213" t="s">
        <v>380</v>
      </c>
      <c r="H34" s="215">
        <v>99.36363636363636</v>
      </c>
      <c r="I34" s="216"/>
      <c r="J34" s="213"/>
      <c r="K34" s="213"/>
      <c r="L34" s="213"/>
      <c r="M34" s="213"/>
      <c r="N34" s="213"/>
      <c r="O34" s="215">
        <v>2.418181818181818</v>
      </c>
      <c r="P34" s="218" t="s">
        <v>370</v>
      </c>
      <c r="Q34" s="218"/>
      <c r="R34" s="218"/>
      <c r="S34" s="218"/>
      <c r="T34" s="218"/>
      <c r="U34" s="218" t="s">
        <v>370</v>
      </c>
      <c r="V34" s="218" t="s">
        <v>370</v>
      </c>
      <c r="W34" s="218" t="s">
        <v>370</v>
      </c>
      <c r="X34" s="218" t="s">
        <v>370</v>
      </c>
      <c r="Y34" s="218" t="s">
        <v>370</v>
      </c>
      <c r="Z34" s="218" t="s">
        <v>370</v>
      </c>
      <c r="AA34" s="218" t="s">
        <v>370</v>
      </c>
      <c r="AB34" s="218" t="s">
        <v>370</v>
      </c>
      <c r="AC34" s="218" t="s">
        <v>370</v>
      </c>
      <c r="AD34" s="218" t="s">
        <v>370</v>
      </c>
      <c r="AE34" s="218" t="s">
        <v>370</v>
      </c>
      <c r="AF34" s="218" t="s">
        <v>370</v>
      </c>
      <c r="AG34" s="219" t="s">
        <v>371</v>
      </c>
      <c r="AH34" s="219"/>
      <c r="AI34" s="219"/>
      <c r="AJ34" s="219"/>
      <c r="AK34" s="212" t="s">
        <v>426</v>
      </c>
    </row>
    <row r="35" spans="1:37" x14ac:dyDescent="0.15">
      <c r="A35" s="213"/>
      <c r="B35" s="234">
        <v>42986</v>
      </c>
      <c r="C35" s="212" t="s">
        <v>334</v>
      </c>
      <c r="D35" s="213" t="s">
        <v>368</v>
      </c>
      <c r="E35" s="214">
        <v>42986</v>
      </c>
      <c r="F35" s="212" t="s">
        <v>373</v>
      </c>
      <c r="G35" s="213" t="s">
        <v>380</v>
      </c>
      <c r="H35" s="215">
        <v>97.1</v>
      </c>
      <c r="I35" s="216"/>
      <c r="J35" s="213"/>
      <c r="K35" s="213"/>
      <c r="L35" s="213"/>
      <c r="M35" s="213"/>
      <c r="N35" s="213"/>
      <c r="O35" s="215">
        <v>2.5181818181818181</v>
      </c>
      <c r="P35" s="218" t="s">
        <v>370</v>
      </c>
      <c r="Q35" s="218"/>
      <c r="R35" s="218"/>
      <c r="S35" s="218"/>
      <c r="T35" s="218"/>
      <c r="U35" s="218" t="s">
        <v>370</v>
      </c>
      <c r="V35" s="218" t="s">
        <v>370</v>
      </c>
      <c r="W35" s="218" t="s">
        <v>370</v>
      </c>
      <c r="X35" s="218" t="s">
        <v>370</v>
      </c>
      <c r="Y35" s="218" t="s">
        <v>370</v>
      </c>
      <c r="Z35" s="218" t="s">
        <v>370</v>
      </c>
      <c r="AA35" s="218" t="s">
        <v>370</v>
      </c>
      <c r="AB35" s="218" t="s">
        <v>370</v>
      </c>
      <c r="AC35" s="218" t="s">
        <v>370</v>
      </c>
      <c r="AD35" s="218" t="s">
        <v>370</v>
      </c>
      <c r="AE35" s="218" t="s">
        <v>370</v>
      </c>
      <c r="AF35" s="218" t="s">
        <v>370</v>
      </c>
      <c r="AG35" s="219" t="s">
        <v>371</v>
      </c>
      <c r="AH35" s="219"/>
      <c r="AI35" s="219"/>
      <c r="AJ35" s="219"/>
      <c r="AK35" s="212" t="s">
        <v>451</v>
      </c>
    </row>
    <row r="36" spans="1:37" x14ac:dyDescent="0.15">
      <c r="A36" s="213"/>
      <c r="B36" s="234">
        <v>42946</v>
      </c>
      <c r="C36" s="212" t="s">
        <v>334</v>
      </c>
      <c r="D36" s="213" t="s">
        <v>368</v>
      </c>
      <c r="E36" s="214">
        <v>42916</v>
      </c>
      <c r="F36" s="212" t="s">
        <v>327</v>
      </c>
      <c r="G36" s="213" t="s">
        <v>380</v>
      </c>
      <c r="H36" s="215">
        <v>97.999999999999986</v>
      </c>
      <c r="I36" s="216"/>
      <c r="J36" s="213"/>
      <c r="K36" s="213"/>
      <c r="L36" s="213"/>
      <c r="M36" s="213"/>
      <c r="N36" s="213"/>
      <c r="O36" s="215">
        <v>2.4818181818181815</v>
      </c>
      <c r="P36" s="218" t="s">
        <v>370</v>
      </c>
      <c r="Q36" s="218"/>
      <c r="R36" s="218"/>
      <c r="S36" s="218"/>
      <c r="T36" s="218"/>
      <c r="U36" s="218" t="s">
        <v>370</v>
      </c>
      <c r="V36" s="218" t="s">
        <v>370</v>
      </c>
      <c r="W36" s="218" t="s">
        <v>370</v>
      </c>
      <c r="X36" s="218" t="s">
        <v>370</v>
      </c>
      <c r="Y36" s="218" t="s">
        <v>370</v>
      </c>
      <c r="Z36" s="218" t="s">
        <v>370</v>
      </c>
      <c r="AA36" s="218" t="s">
        <v>370</v>
      </c>
      <c r="AB36" s="218" t="s">
        <v>370</v>
      </c>
      <c r="AC36" s="218" t="s">
        <v>370</v>
      </c>
      <c r="AD36" s="218" t="s">
        <v>370</v>
      </c>
      <c r="AE36" s="218" t="s">
        <v>370</v>
      </c>
      <c r="AF36" s="218" t="s">
        <v>370</v>
      </c>
      <c r="AG36" s="219" t="s">
        <v>371</v>
      </c>
      <c r="AH36" s="219"/>
      <c r="AI36" s="219"/>
      <c r="AJ36" s="219"/>
      <c r="AK36" s="212" t="s">
        <v>443</v>
      </c>
    </row>
    <row r="37" spans="1:37" x14ac:dyDescent="0.15">
      <c r="A37" s="213">
        <v>2169</v>
      </c>
      <c r="B37" s="234">
        <v>42946</v>
      </c>
      <c r="C37" s="212" t="s">
        <v>334</v>
      </c>
      <c r="D37" s="213" t="s">
        <v>369</v>
      </c>
      <c r="E37" s="214">
        <v>42916</v>
      </c>
      <c r="F37" s="212" t="s">
        <v>374</v>
      </c>
      <c r="G37" s="213" t="s">
        <v>380</v>
      </c>
      <c r="H37" s="215">
        <v>63.636363636363633</v>
      </c>
      <c r="I37" s="216"/>
      <c r="J37" s="213"/>
      <c r="K37" s="213"/>
      <c r="L37" s="213"/>
      <c r="M37" s="213"/>
      <c r="N37" s="213"/>
      <c r="O37" s="215">
        <v>4.2363636363636363</v>
      </c>
      <c r="P37" s="218" t="s">
        <v>370</v>
      </c>
      <c r="Q37" s="218"/>
      <c r="R37" s="218"/>
      <c r="S37" s="218"/>
      <c r="T37" s="218"/>
      <c r="U37" s="218" t="s">
        <v>370</v>
      </c>
      <c r="V37" s="218" t="s">
        <v>370</v>
      </c>
      <c r="W37" s="218" t="s">
        <v>370</v>
      </c>
      <c r="X37" s="218" t="s">
        <v>370</v>
      </c>
      <c r="Y37" s="218" t="s">
        <v>370</v>
      </c>
      <c r="Z37" s="218" t="s">
        <v>370</v>
      </c>
      <c r="AA37" s="218" t="s">
        <v>370</v>
      </c>
      <c r="AB37" s="218" t="s">
        <v>370</v>
      </c>
      <c r="AC37" s="218" t="s">
        <v>370</v>
      </c>
      <c r="AD37" s="218" t="s">
        <v>370</v>
      </c>
      <c r="AE37" s="218" t="s">
        <v>370</v>
      </c>
      <c r="AF37" s="218" t="s">
        <v>370</v>
      </c>
      <c r="AG37" s="219" t="s">
        <v>371</v>
      </c>
      <c r="AH37" s="219"/>
      <c r="AI37" s="219"/>
      <c r="AJ37" s="219"/>
      <c r="AK37" s="212" t="s">
        <v>436</v>
      </c>
    </row>
  </sheetData>
  <sheetProtection algorithmName="SHA-512" hashValue="KoE4XzJHMXwXoOFw48XFuc7NJs2zauSeCwK+J5NIKS8opFJk/4xG4Lc4PH7dz/QyNbbJfc8BAGUn8w3n2BSWoA==" saltValue="FaBeMXcIVgdKe+g8SdwsXg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A31C1-CFF7-894C-B430-DE987EB1FF34}">
  <sheetPr codeName="Sheet51"/>
  <dimension ref="A1:AUU9446"/>
  <sheetViews>
    <sheetView tabSelected="1" zoomScaleNormal="100" workbookViewId="0">
      <selection activeCell="C5" sqref="C5"/>
    </sheetView>
  </sheetViews>
  <sheetFormatPr baseColWidth="10" defaultRowHeight="13" x14ac:dyDescent="0.15"/>
  <cols>
    <col min="1" max="1" width="20.5" style="208" customWidth="1"/>
    <col min="2" max="2" width="30.83203125" style="208" bestFit="1" customWidth="1"/>
    <col min="3" max="3" width="12.5" style="208" customWidth="1"/>
    <col min="4" max="11" width="12.1640625" style="208" customWidth="1"/>
    <col min="12" max="12" width="12.1640625" style="208" hidden="1" customWidth="1"/>
    <col min="13" max="13" width="12.1640625" style="208" customWidth="1"/>
    <col min="14" max="17" width="12.1640625" customWidth="1"/>
    <col min="18" max="19" width="10.6640625" customWidth="1"/>
    <col min="20" max="23" width="12.1640625" customWidth="1"/>
    <col min="1244" max="16384" width="10.83203125" style="208"/>
  </cols>
  <sheetData>
    <row r="1" spans="1:26" customFormat="1" x14ac:dyDescent="0.15">
      <c r="A1" s="251" t="s">
        <v>321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customFormat="1" x14ac:dyDescent="0.15">
      <c r="A2" s="252" t="s">
        <v>198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</row>
    <row r="3" spans="1:26" customFormat="1" ht="14" thickBot="1" x14ac:dyDescent="0.2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</row>
    <row r="4" spans="1:26" ht="14" x14ac:dyDescent="0.15">
      <c r="A4" s="137" t="s">
        <v>199</v>
      </c>
      <c r="B4" s="138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40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</row>
    <row r="5" spans="1:26" ht="14" x14ac:dyDescent="0.15">
      <c r="A5" s="141" t="s">
        <v>378</v>
      </c>
      <c r="B5" s="67"/>
      <c r="C5" s="155">
        <v>4000</v>
      </c>
      <c r="D5" s="24"/>
      <c r="E5" s="67"/>
      <c r="F5" s="67"/>
      <c r="G5" s="67"/>
      <c r="H5" s="67"/>
      <c r="I5" s="67"/>
      <c r="J5" s="67"/>
      <c r="K5" s="67"/>
      <c r="L5" s="67"/>
      <c r="M5" s="142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</row>
    <row r="6" spans="1:26" ht="14" x14ac:dyDescent="0.15">
      <c r="A6" s="141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142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</row>
    <row r="7" spans="1:26" ht="30" x14ac:dyDescent="0.15">
      <c r="A7" s="224" t="s">
        <v>239</v>
      </c>
      <c r="B7" s="225" t="s">
        <v>200</v>
      </c>
      <c r="C7" s="225" t="s">
        <v>192</v>
      </c>
      <c r="D7" s="225" t="s">
        <v>196</v>
      </c>
      <c r="E7" s="225" t="s">
        <v>201</v>
      </c>
      <c r="F7" s="225" t="s">
        <v>202</v>
      </c>
      <c r="G7" s="225" t="s">
        <v>193</v>
      </c>
      <c r="H7" s="225" t="s">
        <v>194</v>
      </c>
      <c r="I7" s="225" t="s">
        <v>195</v>
      </c>
      <c r="J7" s="225" t="s">
        <v>203</v>
      </c>
      <c r="K7" s="225" t="s">
        <v>51</v>
      </c>
      <c r="L7" s="228" t="s">
        <v>197</v>
      </c>
      <c r="M7" s="227" t="s">
        <v>324</v>
      </c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</row>
    <row r="8" spans="1:26" ht="25" customHeight="1" x14ac:dyDescent="0.15">
      <c r="A8" s="143" t="str">
        <f>'Tariffs 2023'!F2</f>
        <v>AGL</v>
      </c>
      <c r="B8" s="24" t="str">
        <f>'Tariffs 2023'!D2</f>
        <v>Jemena Coastal Network</v>
      </c>
      <c r="C8" s="144">
        <f>'Tariffs 2023'!E2</f>
        <v>43648</v>
      </c>
      <c r="D8" s="30">
        <f>60*'Tariffs 2023'!H2/100</f>
        <v>39.479999999999997</v>
      </c>
      <c r="E8" s="30">
        <f>IF($C$5&gt;='Tariffs 2023'!J2,('Tariffs 2023'!J2*'Tariffs 2023'!O2/100),($C$5*'Tariffs 2023'!O2/100))</f>
        <v>51.381818181818183</v>
      </c>
      <c r="F8" s="30">
        <f>IF($C$5&lt;'Tariffs 2023'!J2,0,IF(($C$5-'Tariffs 2023'!J2)&lt;='Tariffs 2023'!K2,(($C$5-'Tariffs 2023'!J2)*'Tariffs 2023'!P2/100),(('Tariffs 2023'!K2-'Tariffs 2023'!J2)*'Tariffs 2023'!P2/100)))</f>
        <v>39.818181818181813</v>
      </c>
      <c r="G8" s="30">
        <f>IF($C$5&lt;'Tariffs 2023'!K2,0,IF(($C$5-'Tariffs 2023'!K2)&lt;='Tariffs 2023'!L2,(($C$5-'Tariffs 2023'!K2)*'Tariffs 2023'!Q2/100),(('Tariffs 2023'!L2-'Tariffs 2023'!K2)*'Tariffs 2023'!Q2/100)))</f>
        <v>51.345454545454544</v>
      </c>
      <c r="H8" s="30">
        <f>IF($C$5&lt;'Tariffs 2023'!L2,0,IF(($C$5-'Tariffs 2023'!L2)&lt;='Tariffs 2023'!M2,(($C$5-'Tariffs 2023'!L2)*'Tariffs 2023'!R2/100),(('Tariffs 2023'!M2-'Tariffs 2023'!L2)*'Tariffs 2023'!R2/100)))</f>
        <v>0</v>
      </c>
      <c r="I8" s="30">
        <f>IF($C$5&lt;'Tariffs 2023'!M2,0,IF(($C$5-'Tariffs 2023'!M2)&lt;='Tariffs 2023'!N2,(($C$5-'Tariffs 2023'!M2)*'Tariffs 2023'!S2/100),(('Tariffs 2023'!N2-'Tariffs 2023'!M2)*'Tariffs 2023'!S2/100)))</f>
        <v>0</v>
      </c>
      <c r="J8" s="30">
        <v>0</v>
      </c>
      <c r="K8" s="30">
        <f>SUM(D8:J8)</f>
        <v>182.02545454545455</v>
      </c>
      <c r="L8" s="229">
        <f>K8*6</f>
        <v>1092.1527272727274</v>
      </c>
      <c r="M8" s="145">
        <f>L8*1.1</f>
        <v>1201.3680000000002</v>
      </c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</row>
    <row r="9" spans="1:26" ht="25" customHeight="1" x14ac:dyDescent="0.15">
      <c r="A9" s="143" t="str">
        <f>'Tariffs 2023'!F3</f>
        <v>Covau</v>
      </c>
      <c r="B9" s="24" t="str">
        <f>'Tariffs 2023'!D3</f>
        <v>Jemena Coastal Network</v>
      </c>
      <c r="C9" s="144">
        <f>'Tariffs 2023'!E3</f>
        <v>43593</v>
      </c>
      <c r="D9" s="30">
        <f>60*'Tariffs 2023'!H3/100</f>
        <v>40.200000000000003</v>
      </c>
      <c r="E9" s="30">
        <f>IF($C$5&gt;='Tariffs 2023'!J3,('Tariffs 2023'!J3*'Tariffs 2023'!O3/100),($C$5*'Tariffs 2023'!O3/100))</f>
        <v>66.436363636363637</v>
      </c>
      <c r="F9" s="30">
        <f>IF($C$5&lt;'Tariffs 2023'!J3,0,IF(($C$5-'Tariffs 2023'!J3)&lt;='Tariffs 2023'!K3,(($C$5-'Tariffs 2023'!J3)*'Tariffs 2023'!P3/100),(('Tariffs 2023'!K3-'Tariffs 2023'!J3)*'Tariffs 2023'!P3/100)))</f>
        <v>53.127272727272718</v>
      </c>
      <c r="G9" s="30">
        <f>IF($C$5&lt;'Tariffs 2023'!K3,0,IF(($C$5-'Tariffs 2023'!K3)&lt;='Tariffs 2023'!L3,(($C$5-'Tariffs 2023'!K3)*'Tariffs 2023'!Q3/100),(('Tariffs 2023'!L3-'Tariffs 2023'!K3)*'Tariffs 2023'!Q3/100)))</f>
        <v>68.8</v>
      </c>
      <c r="H9" s="30">
        <f>IF($C$5&lt;'Tariffs 2023'!L3,0,IF(($C$5-'Tariffs 2023'!L3)&lt;='Tariffs 2023'!M3,(($C$5-'Tariffs 2023'!L3)*'Tariffs 2023'!R3/100),(('Tariffs 2023'!M3-'Tariffs 2023'!L3)*'Tariffs 2023'!R3/100)))</f>
        <v>0</v>
      </c>
      <c r="I9" s="30">
        <f>IF($C$5&lt;'Tariffs 2023'!M3,0,IF(($C$5-'Tariffs 2023'!M3)&lt;='Tariffs 2023'!N3,(($C$5-'Tariffs 2023'!M3)*'Tariffs 2023'!S3/100),(('Tariffs 2023'!N3-'Tariffs 2023'!M3)*'Tariffs 2023'!S3/100)))</f>
        <v>0</v>
      </c>
      <c r="J9" s="30">
        <f>IF(($C$5&lt;'Tariffs 2023'!N3),(0),($C$5-'Tariffs 2023'!N3)*'Tariffs 2023'!T3/100)</f>
        <v>0</v>
      </c>
      <c r="K9" s="30">
        <f t="shared" ref="K9:K25" si="0">SUM(D9:J9)</f>
        <v>228.56363636363636</v>
      </c>
      <c r="L9" s="229">
        <f t="shared" ref="L9:L25" si="1">K9*6</f>
        <v>1371.3818181818183</v>
      </c>
      <c r="M9" s="145">
        <f t="shared" ref="M9:M44" si="2">L9*1.1</f>
        <v>1508.5200000000002</v>
      </c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</row>
    <row r="10" spans="1:26" ht="25" customHeight="1" x14ac:dyDescent="0.15">
      <c r="A10" s="143" t="str">
        <f>'Tariffs 2023'!F4</f>
        <v>Alinta Energy</v>
      </c>
      <c r="B10" s="24" t="str">
        <f>'Tariffs 2023'!D4</f>
        <v>Jemena Coastal Network</v>
      </c>
      <c r="C10" s="144">
        <f>'Tariffs 2023'!E4</f>
        <v>43646</v>
      </c>
      <c r="D10" s="30">
        <f>60*'Tariffs 2023'!H4/100</f>
        <v>36.649090909090901</v>
      </c>
      <c r="E10" s="30">
        <f>IF($C$5&gt;='Tariffs 2023'!J4,('Tariffs 2023'!J4*'Tariffs 2023'!O4/100),($C$5*'Tariffs 2023'!O4/100))</f>
        <v>65.781818181818181</v>
      </c>
      <c r="F10" s="30">
        <f>IF($C$5&lt;'Tariffs 2023'!J4,0,IF(($C$5-'Tariffs 2023'!J4)&lt;='Tariffs 2023'!K4,(($C$5-'Tariffs 2023'!J4)*'Tariffs 2023'!P4/100),(('Tariffs 2023'!K4-'Tariffs 2023'!J4)*'Tariffs 2023'!P4/100)))</f>
        <v>43.527272727272724</v>
      </c>
      <c r="G10" s="30">
        <f>IF($C$5&lt;'Tariffs 2023'!K4,0,IF(($C$5-'Tariffs 2023'!K4)&lt;='Tariffs 2023'!L4,(($C$5-'Tariffs 2023'!K4)*'Tariffs 2023'!Q4/100),(('Tariffs 2023'!L4-'Tariffs 2023'!K4)*'Tariffs 2023'!Q4/100)))</f>
        <v>54.25454545454545</v>
      </c>
      <c r="H10" s="30">
        <v>0</v>
      </c>
      <c r="I10" s="30">
        <v>0</v>
      </c>
      <c r="J10" s="30">
        <f>IF(($C$5&lt;'Tariffs 2023'!N4),(0),($C$5-'Tariffs 2023'!N4)*'Tariffs 2023'!R4/100)</f>
        <v>0</v>
      </c>
      <c r="K10" s="30">
        <f t="shared" si="0"/>
        <v>200.21272727272725</v>
      </c>
      <c r="L10" s="229">
        <f t="shared" si="1"/>
        <v>1201.2763636363634</v>
      </c>
      <c r="M10" s="145">
        <f t="shared" si="2"/>
        <v>1321.4039999999998</v>
      </c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</row>
    <row r="11" spans="1:26" ht="25" customHeight="1" x14ac:dyDescent="0.15">
      <c r="A11" s="143" t="str">
        <f>'Tariffs 2023'!F5</f>
        <v>EnergyAustralia</v>
      </c>
      <c r="B11" s="24" t="str">
        <f>'Tariffs 2023'!D5</f>
        <v>Jemena Coastal Network</v>
      </c>
      <c r="C11" s="144">
        <f>'Tariffs 2023'!E5</f>
        <v>43646</v>
      </c>
      <c r="D11" s="30">
        <f>60*'Tariffs 2023'!H5/100</f>
        <v>44.34</v>
      </c>
      <c r="E11" s="30">
        <f>IF($C$5&gt;='Tariffs 2023'!J5,('Tariffs 2023'!J5*'Tariffs 2023'!O5/100),($C$5*'Tariffs 2023'!O5/100))</f>
        <v>59.454545454545453</v>
      </c>
      <c r="F11" s="30">
        <f>IF($C$5&lt;'Tariffs 2023'!J5,0,IF(($C$5-'Tariffs 2023'!J5)&lt;='Tariffs 2023'!K5,(($C$5-'Tariffs 2023'!J5)*'Tariffs 2023'!P5/100),(('Tariffs 2023'!K5-'Tariffs 2023'!J5)*'Tariffs 2023'!P5/100)))</f>
        <v>42.109090909090909</v>
      </c>
      <c r="G11" s="30">
        <f>IF($C$5&lt;'Tariffs 2023'!K5,0,IF(($C$5-'Tariffs 2023'!K5)&lt;='Tariffs 2023'!L5,(($C$5-'Tariffs 2023'!K5)*'Tariffs 2023'!Q5/100),(('Tariffs 2023'!L5-'Tariffs 2023'!K5)*'Tariffs 2023'!Q5/100)))</f>
        <v>54.25454545454545</v>
      </c>
      <c r="H11" s="30">
        <v>0</v>
      </c>
      <c r="I11" s="30">
        <v>0</v>
      </c>
      <c r="J11" s="30">
        <f>IF(($C$5&lt;'Tariffs 2023'!N5),(0),($C$5-'Tariffs 2023'!N5)*'Tariffs 2023'!R5/100)</f>
        <v>0</v>
      </c>
      <c r="K11" s="30">
        <f t="shared" si="0"/>
        <v>200.15818181818182</v>
      </c>
      <c r="L11" s="229">
        <f t="shared" si="1"/>
        <v>1200.949090909091</v>
      </c>
      <c r="M11" s="145">
        <f t="shared" si="2"/>
        <v>1321.0440000000001</v>
      </c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</row>
    <row r="12" spans="1:26" ht="25" customHeight="1" x14ac:dyDescent="0.15">
      <c r="A12" s="143" t="str">
        <f>'Tariffs 2023'!F6</f>
        <v>Origin Energy</v>
      </c>
      <c r="B12" s="24" t="str">
        <f>'Tariffs 2023'!D6</f>
        <v>Jemena Coastal Network</v>
      </c>
      <c r="C12" s="144">
        <f>'Tariffs 2023'!E6</f>
        <v>43646</v>
      </c>
      <c r="D12" s="30">
        <f>60*'Tariffs 2023'!H6/100</f>
        <v>41.219999999999992</v>
      </c>
      <c r="E12" s="30">
        <f>IF($C$5&gt;='Tariffs 2023'!J6,('Tariffs 2023'!J6*'Tariffs 2023'!O6/100),($C$5*'Tariffs 2023'!O6/100))</f>
        <v>53.672727272727272</v>
      </c>
      <c r="F12" s="30">
        <f>IF($C$5&lt;'Tariffs 2023'!J6,0,IF(($C$5-'Tariffs 2023'!J6)&lt;='Tariffs 2023'!K6,(($C$5-'Tariffs 2023'!J6)*'Tariffs 2023'!P6/100),(('Tariffs 2023'!K6-'Tariffs 2023'!J6)*'Tariffs 2023'!P6/100)))</f>
        <v>82.472727272727255</v>
      </c>
      <c r="G12" s="30">
        <f>IF($C$5&lt;'Tariffs 2023'!K6,0,IF(($C$5-'Tariffs 2023'!K6)&lt;='Tariffs 2023'!L6,(($C$5-'Tariffs 2023'!K6)*'Tariffs 2023'!Q6/100),(('Tariffs 2023'!L6-'Tariffs 2023'!K6)*'Tariffs 2023'!Q6/100)))</f>
        <v>0</v>
      </c>
      <c r="H12" s="30">
        <v>0</v>
      </c>
      <c r="I12" s="30">
        <v>0</v>
      </c>
      <c r="J12" s="30">
        <f>IF(($C$5&lt;'Tariffs 2023'!N6),(0),($C$5-'Tariffs 2023'!N6)*'Tariffs 2023'!R6/100)</f>
        <v>0</v>
      </c>
      <c r="K12" s="30">
        <f t="shared" si="0"/>
        <v>177.3654545454545</v>
      </c>
      <c r="L12" s="229">
        <f t="shared" si="1"/>
        <v>1064.1927272727271</v>
      </c>
      <c r="M12" s="145">
        <f t="shared" si="2"/>
        <v>1170.6119999999999</v>
      </c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</row>
    <row r="13" spans="1:26" ht="25" customHeight="1" x14ac:dyDescent="0.15">
      <c r="A13" s="143" t="str">
        <f>'Tariffs 2023'!F7</f>
        <v>Red Energy</v>
      </c>
      <c r="B13" s="24" t="str">
        <f>'Tariffs 2023'!D7</f>
        <v>Jemena Coastal Network</v>
      </c>
      <c r="C13" s="144">
        <f>'Tariffs 2023'!E7</f>
        <v>43646</v>
      </c>
      <c r="D13" s="30">
        <f>60*'Tariffs 2023'!H7/100</f>
        <v>45</v>
      </c>
      <c r="E13" s="30">
        <f>IF($C$5&gt;='Tariffs 2023'!J7,('Tariffs 2023'!J7*'Tariffs 2023'!O7/100),($C$5*'Tariffs 2023'!O7/100))</f>
        <v>52.581818181818178</v>
      </c>
      <c r="F13" s="30">
        <f>IF($C$5&lt;'Tariffs 2023'!J7,0,IF(($C$5-'Tariffs 2023'!J7)&lt;='Tariffs 2023'!K7,(($C$5-'Tariffs 2023'!J7)*'Tariffs 2023'!P7/100),(('Tariffs 2023'!K7-'Tariffs 2023'!J7)*'Tariffs 2023'!P7/100)))</f>
        <v>42.654545454545449</v>
      </c>
      <c r="G13" s="30">
        <f>IF($C$5&lt;'Tariffs 2023'!K7,0,IF(($C$5-'Tariffs 2023'!K7)&lt;='Tariffs 2023'!L7,(($C$5-'Tariffs 2023'!K7)*'Tariffs 2023'!Q7/100),(('Tariffs 2023'!L7-'Tariffs 2023'!K7)*'Tariffs 2023'!Q7/100)))</f>
        <v>43.781818181818174</v>
      </c>
      <c r="H13" s="30">
        <v>0</v>
      </c>
      <c r="I13" s="30">
        <v>0</v>
      </c>
      <c r="J13" s="30">
        <f>IF(($C$5&lt;'Tariffs 2023'!N7),(0),($C$5-'Tariffs 2023'!N7)*'Tariffs 2023'!R7/100)</f>
        <v>0</v>
      </c>
      <c r="K13" s="30">
        <f t="shared" si="0"/>
        <v>184.0181818181818</v>
      </c>
      <c r="L13" s="229">
        <f t="shared" si="1"/>
        <v>1104.1090909090908</v>
      </c>
      <c r="M13" s="145">
        <f t="shared" si="2"/>
        <v>1214.52</v>
      </c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</row>
    <row r="14" spans="1:26" ht="25" customHeight="1" x14ac:dyDescent="0.15">
      <c r="A14" s="143" t="str">
        <f>'Tariffs 2023'!F8</f>
        <v>Simply Energy</v>
      </c>
      <c r="B14" s="24" t="str">
        <f>'Tariffs 2023'!D8</f>
        <v>Jemena Coastal Network</v>
      </c>
      <c r="C14" s="144">
        <f>'Tariffs 2023'!E8</f>
        <v>43646</v>
      </c>
      <c r="D14" s="30">
        <f>60*'Tariffs 2023'!H8/100</f>
        <v>33.790909090909089</v>
      </c>
      <c r="E14" s="30">
        <f>IF($C$5&gt;='Tariffs 2023'!J8,('Tariffs 2023'!J8*'Tariffs 2023'!O8/100),($C$5*'Tariffs 2023'!O8/100))</f>
        <v>69.709090909090904</v>
      </c>
      <c r="F14" s="30">
        <f>IF($C$5&lt;'Tariffs 2023'!J8,0,IF(($C$5-'Tariffs 2023'!J8)&lt;='Tariffs 2023'!K8,(($C$5-'Tariffs 2023'!J8)*'Tariffs 2023'!P8/100),(('Tariffs 2023'!K8-'Tariffs 2023'!J8)*'Tariffs 2023'!P8/100)))</f>
        <v>46.472727272727262</v>
      </c>
      <c r="G14" s="30">
        <f>IF($C$5&lt;'Tariffs 2023'!K8,0,IF(($C$5-'Tariffs 2023'!K8)&lt;='Tariffs 2023'!L8,(($C$5-'Tariffs 2023'!K8)*'Tariffs 2023'!Q8/100),(('Tariffs 2023'!L8-'Tariffs 2023'!K8)*'Tariffs 2023'!Q8/100)))</f>
        <v>57.309090909090898</v>
      </c>
      <c r="H14" s="30">
        <v>0</v>
      </c>
      <c r="I14" s="30">
        <v>0</v>
      </c>
      <c r="J14" s="30">
        <f>IF(($C$5&lt;'Tariffs 2023'!N8),(0),($C$5-'Tariffs 2023'!N8)*'Tariffs 2023'!R8/100)</f>
        <v>0</v>
      </c>
      <c r="K14" s="30">
        <f t="shared" si="0"/>
        <v>207.28181818181815</v>
      </c>
      <c r="L14" s="229">
        <f t="shared" si="1"/>
        <v>1243.6909090909089</v>
      </c>
      <c r="M14" s="145">
        <f t="shared" si="2"/>
        <v>1368.06</v>
      </c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</row>
    <row r="15" spans="1:26" ht="25" customHeight="1" x14ac:dyDescent="0.15">
      <c r="A15" s="143" t="str">
        <f>'Tariffs 2023'!F9</f>
        <v>Dodo Power &amp; Gas</v>
      </c>
      <c r="B15" s="24" t="str">
        <f>'Tariffs 2023'!D9</f>
        <v>Jemena Coastal Network</v>
      </c>
      <c r="C15" s="144">
        <f>'Tariffs 2023'!E9</f>
        <v>43646</v>
      </c>
      <c r="D15" s="30">
        <f>60*'Tariffs 2023'!H9/100</f>
        <v>49.510909090909081</v>
      </c>
      <c r="E15" s="30">
        <f>IF($C$5&gt;='Tariffs 2023'!J9,('Tariffs 2023'!J9*'Tariffs 2023'!O9/100),($C$5*'Tariffs 2023'!O9/100))</f>
        <v>71.236363636363635</v>
      </c>
      <c r="F15" s="30">
        <f>IF($C$5&lt;'Tariffs 2023'!J9,0,IF(($C$5-'Tariffs 2023'!J9)&lt;='Tariffs 2023'!K9,(($C$5-'Tariffs 2023'!J9)*'Tariffs 2023'!P9/100),(('Tariffs 2023'!K9-'Tariffs 2023'!J9)*'Tariffs 2023'!P9/100)))</f>
        <v>48</v>
      </c>
      <c r="G15" s="30">
        <f>IF($C$5&lt;'Tariffs 2023'!K9,0,IF(($C$5-'Tariffs 2023'!K9)&lt;='Tariffs 2023'!L9,(($C$5-'Tariffs 2023'!K9)*'Tariffs 2023'!Q9/100),(('Tariffs 2023'!L9-'Tariffs 2023'!K9)*'Tariffs 2023'!Q9/100)))</f>
        <v>62.981818181818177</v>
      </c>
      <c r="H15" s="30">
        <v>0</v>
      </c>
      <c r="I15" s="30">
        <v>0</v>
      </c>
      <c r="J15" s="30">
        <f>IF(($C$5&lt;'Tariffs 2023'!N9),(0),($C$5-'Tariffs 2023'!N9)*'Tariffs 2023'!R9/100)</f>
        <v>0</v>
      </c>
      <c r="K15" s="30">
        <f t="shared" si="0"/>
        <v>231.7290909090909</v>
      </c>
      <c r="L15" s="229">
        <f t="shared" si="1"/>
        <v>1390.3745454545453</v>
      </c>
      <c r="M15" s="145">
        <f t="shared" si="2"/>
        <v>1529.412</v>
      </c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</row>
    <row r="16" spans="1:26" ht="25" customHeight="1" x14ac:dyDescent="0.15">
      <c r="A16" s="143" t="str">
        <f>'Tariffs 2023'!F10</f>
        <v>Sumo Power</v>
      </c>
      <c r="B16" s="24" t="str">
        <f>'Tariffs 2023'!D10</f>
        <v>Jemena Coastal Network</v>
      </c>
      <c r="C16" s="144">
        <f>'Tariffs 2023'!E10</f>
        <v>43646</v>
      </c>
      <c r="D16" s="30">
        <f>60*'Tariffs 2023'!H10/100</f>
        <v>90</v>
      </c>
      <c r="E16" s="30">
        <f>IF($C$5&gt;='Tariffs 2023'!J10,('Tariffs 2023'!J10*'Tariffs 2023'!O10/100),($C$5*'Tariffs 2023'!O10/100))</f>
        <v>68.399999999999991</v>
      </c>
      <c r="F16" s="30">
        <f>IF($C$5&lt;'Tariffs 2023'!J10,0,IF(($C$5-'Tariffs 2023'!J10)&lt;='Tariffs 2023'!K10,(($C$5-'Tariffs 2023'!J10)*'Tariffs 2023'!P10/100),(('Tariffs 2023'!K10-'Tariffs 2023'!J10)*'Tariffs 2023'!P10/100)))</f>
        <v>151.20000000000002</v>
      </c>
      <c r="G16" s="30">
        <f>IF($C$5&lt;'Tariffs 2023'!K10,0,IF(($C$5-'Tariffs 2023'!K10)&lt;='Tariffs 2023'!L10,(($C$5-'Tariffs 2023'!K10)*'Tariffs 2023'!Q10/100),(('Tariffs 2023'!L10-'Tariffs 2023'!K10)*'Tariffs 2023'!Q10/100)))</f>
        <v>17.489999999999998</v>
      </c>
      <c r="H16" s="30">
        <v>0</v>
      </c>
      <c r="I16" s="30">
        <v>0</v>
      </c>
      <c r="J16" s="30">
        <f>IF(($C$5&lt;'Tariffs 2023'!N10),(0),($C$5-'Tariffs 2023'!N10)*'Tariffs 2023'!R10/100)</f>
        <v>0</v>
      </c>
      <c r="K16" s="30">
        <f t="shared" si="0"/>
        <v>327.09000000000003</v>
      </c>
      <c r="L16" s="229">
        <f t="shared" si="1"/>
        <v>1962.5400000000002</v>
      </c>
      <c r="M16" s="145">
        <f t="shared" si="2"/>
        <v>2158.7940000000003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</row>
    <row r="17" spans="1:26" ht="25" customHeight="1" x14ac:dyDescent="0.15">
      <c r="A17" s="143" t="str">
        <f>'Tariffs 2023'!F11</f>
        <v>GloBird</v>
      </c>
      <c r="B17" s="24" t="str">
        <f>'Tariffs 2023'!D11</f>
        <v>Jemena Coastal Network</v>
      </c>
      <c r="C17" s="144">
        <f>'Tariffs 2023'!E11</f>
        <v>43646</v>
      </c>
      <c r="D17" s="30">
        <f>60*'Tariffs 2023'!H11/100</f>
        <v>37.200000000000003</v>
      </c>
      <c r="E17" s="30">
        <f>IF($C$5&gt;='Tariffs 2023'!J11,('Tariffs 2023'!J11*'Tariffs 2023'!O11/100),($C$5*'Tariffs 2023'!O11/100))</f>
        <v>83.027999999999992</v>
      </c>
      <c r="F17" s="30">
        <f>IF($C$5&lt;'Tariffs 2023'!J11,0,IF(($C$5-'Tariffs 2023'!J11)&lt;='Tariffs 2023'!K11,(($C$5-'Tariffs 2023'!J11)*'Tariffs 2023'!P11/100),(('Tariffs 2023'!K11-'Tariffs 2023'!J11)*'Tariffs 2023'!P11/100)))</f>
        <v>0</v>
      </c>
      <c r="G17" s="30">
        <f>IF($C$5&lt;'Tariffs 2023'!K11,0,IF(($C$5-'Tariffs 2023'!K11)&lt;='Tariffs 2023'!L11,(($C$5-'Tariffs 2023'!K11)*'Tariffs 2023'!Q11/100),(('Tariffs 2023'!L11-'Tariffs 2023'!K11)*'Tariffs 2023'!Q11/100)))</f>
        <v>0</v>
      </c>
      <c r="H17" s="30">
        <v>0</v>
      </c>
      <c r="I17" s="30">
        <v>0</v>
      </c>
      <c r="J17" s="30">
        <f>IF(($C$5&lt;'Tariffs 2023'!N11),(0),($C$5-'Tariffs 2023'!N11)*'Tariffs 2023'!R11/100)</f>
        <v>164.51999999999995</v>
      </c>
      <c r="K17" s="30">
        <f t="shared" si="0"/>
        <v>284.74799999999993</v>
      </c>
      <c r="L17" s="229">
        <f t="shared" si="1"/>
        <v>1708.4879999999996</v>
      </c>
      <c r="M17" s="145">
        <f t="shared" si="2"/>
        <v>1879.3367999999998</v>
      </c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</row>
    <row r="18" spans="1:26" ht="25" customHeight="1" x14ac:dyDescent="0.15">
      <c r="A18" s="143" t="str">
        <f>'Tariffs 2023'!F12</f>
        <v>Kogan</v>
      </c>
      <c r="B18" s="24" t="str">
        <f>'Tariffs 2023'!D12</f>
        <v>Jemena Coastal Network</v>
      </c>
      <c r="C18" s="144">
        <f>'Tariffs 2023'!E12</f>
        <v>43646</v>
      </c>
      <c r="D18" s="30">
        <f>60*'Tariffs 2023'!H12/100</f>
        <v>51.523636363636363</v>
      </c>
      <c r="E18" s="30">
        <f>$C$5*'Tariffs 2023'!O12/100</f>
        <v>157.81818181818181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f t="shared" ref="K18:K19" si="3">SUM(D18:J18)</f>
        <v>209.34181818181818</v>
      </c>
      <c r="L18" s="229">
        <f t="shared" ref="L18:L19" si="4">K18*6</f>
        <v>1256.050909090909</v>
      </c>
      <c r="M18" s="145">
        <f t="shared" ref="M18:M19" si="5">L18*1.1</f>
        <v>1381.6559999999999</v>
      </c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</row>
    <row r="19" spans="1:26" ht="25" customHeight="1" thickBot="1" x14ac:dyDescent="0.2">
      <c r="A19" s="176" t="str">
        <f>'Tariffs 2023'!F13</f>
        <v>Powershop</v>
      </c>
      <c r="B19" s="177" t="str">
        <f>'Tariffs 2023'!D13</f>
        <v>Jemena Coastal Network</v>
      </c>
      <c r="C19" s="178">
        <f>'Tariffs 2023'!E13</f>
        <v>43646</v>
      </c>
      <c r="D19" s="179">
        <f>60*'Tariffs 2023'!H13/100</f>
        <v>51.523636363636363</v>
      </c>
      <c r="E19" s="179">
        <f>$C$5*'Tariffs 2023'!O13/100</f>
        <v>157.81818181818181</v>
      </c>
      <c r="F19" s="179">
        <v>0</v>
      </c>
      <c r="G19" s="179">
        <v>0</v>
      </c>
      <c r="H19" s="179">
        <v>0</v>
      </c>
      <c r="I19" s="179">
        <v>0</v>
      </c>
      <c r="J19" s="179">
        <v>0</v>
      </c>
      <c r="K19" s="179">
        <f t="shared" si="3"/>
        <v>209.34181818181818</v>
      </c>
      <c r="L19" s="230">
        <f t="shared" si="4"/>
        <v>1256.050909090909</v>
      </c>
      <c r="M19" s="181">
        <f t="shared" si="5"/>
        <v>1381.6559999999999</v>
      </c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</row>
    <row r="20" spans="1:26" ht="25" customHeight="1" thickTop="1" x14ac:dyDescent="0.15">
      <c r="A20" s="143" t="str">
        <f>'Tariffs 2023'!F14</f>
        <v>ActewAGL</v>
      </c>
      <c r="B20" s="24" t="str">
        <f>'Tariffs 2023'!D14</f>
        <v>Jemena Capital Region</v>
      </c>
      <c r="C20" s="144">
        <f>'Tariffs 2023'!E14</f>
        <v>43646</v>
      </c>
      <c r="D20" s="30">
        <f>60*'Tariffs 2023'!H14/100</f>
        <v>37.200000000000003</v>
      </c>
      <c r="E20" s="30">
        <f>IF($C$5&gt;='Tariffs 2023'!J14,('Tariffs 2023'!J14*'Tariffs 2023'!O14/100),($C$5*'Tariffs 2023'!O14/100))</f>
        <v>53.672727272727272</v>
      </c>
      <c r="F20" s="30">
        <f>IF($C$5&lt;'Tariffs 2023'!J14,0,IF(($C$5-'Tariffs 2023'!J14)&lt;='Tariffs 2023'!K14,(($C$5-'Tariffs 2023'!J14)*'Tariffs 2023'!P14/100),(('Tariffs 2023'!K14-'Tariffs 2023'!J14)*'Tariffs 2023'!P14/100)))</f>
        <v>37.854545454545452</v>
      </c>
      <c r="G20" s="30">
        <f>IF($C$5&lt;'Tariffs 2023'!K14,0,IF(($C$5-'Tariffs 2023'!K14)&lt;='Tariffs 2023'!L14,(($C$5-'Tariffs 2023'!K14)*'Tariffs 2023'!Q14/100),(('Tariffs 2023'!L14-'Tariffs 2023'!K14)*'Tariffs 2023'!Q14/100)))</f>
        <v>48.872727272727268</v>
      </c>
      <c r="H20" s="30">
        <v>0</v>
      </c>
      <c r="I20" s="30">
        <v>0</v>
      </c>
      <c r="J20" s="30">
        <f>IF(($C$5&lt;'Tariffs 2023'!N14),(0),($C$5-'Tariffs 2023'!N14)*'Tariffs 2023'!R14/100)</f>
        <v>0</v>
      </c>
      <c r="K20" s="30">
        <f t="shared" si="0"/>
        <v>177.6</v>
      </c>
      <c r="L20" s="229">
        <f t="shared" si="1"/>
        <v>1065.5999999999999</v>
      </c>
      <c r="M20" s="145">
        <f t="shared" si="2"/>
        <v>1172.1600000000001</v>
      </c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</row>
    <row r="21" spans="1:26" ht="25" customHeight="1" thickBot="1" x14ac:dyDescent="0.2">
      <c r="A21" s="176" t="str">
        <f>'Tariffs 2023'!F15</f>
        <v>EnergyAustralia</v>
      </c>
      <c r="B21" s="177" t="str">
        <f>'Tariffs 2023'!D15</f>
        <v>Jemena Capital Region</v>
      </c>
      <c r="C21" s="178">
        <f>'Tariffs 2023'!E15</f>
        <v>43646</v>
      </c>
      <c r="D21" s="179">
        <f>60*'Tariffs 2023'!H15/100</f>
        <v>44.58</v>
      </c>
      <c r="E21" s="179">
        <f>IF($C$5&gt;='Tariffs 2023'!J15,('Tariffs 2023'!J15*'Tariffs 2023'!O15/100),($C$5*'Tariffs 2023'!O15/100))</f>
        <v>59.781818181818181</v>
      </c>
      <c r="F21" s="179">
        <f>IF($C$5&lt;'Tariffs 2023'!J15,0,IF(($C$5-'Tariffs 2023'!J15)&lt;='Tariffs 2023'!K15,(($C$5-'Tariffs 2023'!J15)*'Tariffs 2023'!P15/100),(('Tariffs 2023'!K15-'Tariffs 2023'!J15)*'Tariffs 2023'!P15/100)))</f>
        <v>42.109090909090909</v>
      </c>
      <c r="G21" s="179">
        <f>IF($C$5&lt;'Tariffs 2023'!K15,0,IF(($C$5-'Tariffs 2023'!K15)&lt;='Tariffs 2023'!L15,(($C$5-'Tariffs 2023'!K15)*'Tariffs 2023'!Q15/100),(('Tariffs 2023'!L15-'Tariffs 2023'!K15)*'Tariffs 2023'!Q15/100)))</f>
        <v>54.25454545454545</v>
      </c>
      <c r="H21" s="179">
        <v>0</v>
      </c>
      <c r="I21" s="179">
        <v>0</v>
      </c>
      <c r="J21" s="179">
        <f>IF(($C$5&lt;'Tariffs 2023'!N15),(0),($C$5-'Tariffs 2023'!N15)*'Tariffs 2023'!R15/100)</f>
        <v>0</v>
      </c>
      <c r="K21" s="179">
        <f t="shared" si="0"/>
        <v>200.72545454545454</v>
      </c>
      <c r="L21" s="230">
        <f t="shared" si="1"/>
        <v>1204.3527272727272</v>
      </c>
      <c r="M21" s="181">
        <f t="shared" si="2"/>
        <v>1324.788</v>
      </c>
      <c r="N21" s="25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</row>
    <row r="22" spans="1:26" ht="25" customHeight="1" thickTop="1" x14ac:dyDescent="0.15">
      <c r="A22" s="143" t="str">
        <f>'Tariffs 2023'!F16</f>
        <v>ActewAGL</v>
      </c>
      <c r="B22" s="24" t="str">
        <f>'Tariffs 2023'!D16</f>
        <v xml:space="preserve">Evoenergy Queanbeyan </v>
      </c>
      <c r="C22" s="144">
        <f>'Tariffs 2023'!E16</f>
        <v>43646</v>
      </c>
      <c r="D22" s="30">
        <f>60*'Tariffs 2023'!H16/100</f>
        <v>45.599999999999994</v>
      </c>
      <c r="E22" s="30">
        <f>IF($C$5&gt;='Tariffs 2023'!J16,('Tariffs 2023'!J16*'Tariffs 2023'!O16/100),($C$5*'Tariffs 2023'!O16/100))</f>
        <v>93.479999999999976</v>
      </c>
      <c r="F22" s="30">
        <f>IF($C$5&lt;'Tariffs 2023'!J16,0,IF(($C$5-'Tariffs 2023'!J16)&lt;='Tariffs 2023'!K16,(($C$5-'Tariffs 2023'!J16)*'Tariffs 2023'!P16/100),(('Tariffs 2023'!K16-'Tariffs 2023'!J16)*'Tariffs 2023'!P16/100)))</f>
        <v>52.36</v>
      </c>
      <c r="G22" s="30">
        <f>IF($C$5&lt;'Tariffs 2023'!K16,0,IF(($C$5-'Tariffs 2023'!K16)&lt;='Tariffs 2023'!L16,(($C$5-'Tariffs 2023'!K16)*'Tariffs 2023'!Q16/100),(('Tariffs 2023'!L16-'Tariffs 2023'!K16)*'Tariffs 2023'!Q16/100)))</f>
        <v>0</v>
      </c>
      <c r="H22" s="30">
        <v>0</v>
      </c>
      <c r="I22" s="30">
        <v>0</v>
      </c>
      <c r="J22" s="30">
        <f>IF(($C$5&lt;'Tariffs 2023'!N16),(0),($C$5-'Tariffs 2023'!N16)*'Tariffs 2023'!R16/100)</f>
        <v>0</v>
      </c>
      <c r="K22" s="30">
        <f t="shared" si="0"/>
        <v>191.44</v>
      </c>
      <c r="L22" s="229">
        <f t="shared" si="1"/>
        <v>1148.6399999999999</v>
      </c>
      <c r="M22" s="145">
        <f t="shared" si="2"/>
        <v>1263.5039999999999</v>
      </c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</row>
    <row r="23" spans="1:26" ht="25" customHeight="1" thickBot="1" x14ac:dyDescent="0.2">
      <c r="A23" s="176" t="str">
        <f>'Tariffs 2023'!F17</f>
        <v>EnergyAustralia</v>
      </c>
      <c r="B23" s="177" t="str">
        <f>'Tariffs 2023'!D17</f>
        <v xml:space="preserve">Evoenergy Queanbeyan </v>
      </c>
      <c r="C23" s="178">
        <f>'Tariffs 2023'!E17</f>
        <v>43646</v>
      </c>
      <c r="D23" s="179">
        <f>60*'Tariffs 2023'!H17/100</f>
        <v>51.9</v>
      </c>
      <c r="E23" s="179">
        <f>IF($C$5&gt;='Tariffs 2023'!J17,('Tariffs 2023'!J17*'Tariffs 2023'!O17/100),($C$5*'Tariffs 2023'!O17/100))</f>
        <v>103.32</v>
      </c>
      <c r="F23" s="179">
        <f>IF($C$5&lt;'Tariffs 2023'!J17,0,IF(($C$5-'Tariffs 2023'!J17)&lt;='Tariffs 2023'!K17,(($C$5-'Tariffs 2023'!J17)*'Tariffs 2023'!P17/100),(('Tariffs 2023'!K17-'Tariffs 2023'!J17)*'Tariffs 2023'!P17/100)))</f>
        <v>57.259999999999991</v>
      </c>
      <c r="G23" s="179">
        <f>IF($C$5&lt;'Tariffs 2023'!K17,0,IF(($C$5-'Tariffs 2023'!K17)&lt;='Tariffs 2023'!L17,(($C$5-'Tariffs 2023'!K17)*'Tariffs 2023'!Q17/100),(('Tariffs 2023'!L17-'Tariffs 2023'!K17)*'Tariffs 2023'!Q17/100)))</f>
        <v>0</v>
      </c>
      <c r="H23" s="179">
        <v>0</v>
      </c>
      <c r="I23" s="179">
        <v>0</v>
      </c>
      <c r="J23" s="179">
        <f>IF(($C$5&lt;'Tariffs 2023'!N17),(0),($C$5-'Tariffs 2023'!N17)*'Tariffs 2023'!R17/100)</f>
        <v>0</v>
      </c>
      <c r="K23" s="179">
        <f t="shared" si="0"/>
        <v>212.48</v>
      </c>
      <c r="L23" s="230">
        <f t="shared" si="1"/>
        <v>1274.8799999999999</v>
      </c>
      <c r="M23" s="181">
        <f t="shared" si="2"/>
        <v>1402.3679999999999</v>
      </c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</row>
    <row r="24" spans="1:26" ht="25" customHeight="1" thickTop="1" thickBot="1" x14ac:dyDescent="0.2">
      <c r="A24" s="182" t="str">
        <f>'Tariffs 2023'!F18</f>
        <v>ActewAGL</v>
      </c>
      <c r="B24" s="183" t="str">
        <f>'Tariffs 2023'!D18</f>
        <v>Evoenergy Shoalhaven</v>
      </c>
      <c r="C24" s="184">
        <f>'Tariffs 2023'!E18</f>
        <v>43646</v>
      </c>
      <c r="D24" s="185">
        <f>60*'Tariffs 2023'!H18/100</f>
        <v>55.2</v>
      </c>
      <c r="E24" s="185">
        <f>C5*'Tariffs 2023'!O18/100</f>
        <v>146.18181818181816</v>
      </c>
      <c r="F24" s="185">
        <v>0</v>
      </c>
      <c r="G24" s="185">
        <v>0</v>
      </c>
      <c r="H24" s="185">
        <v>0</v>
      </c>
      <c r="I24" s="185">
        <v>0</v>
      </c>
      <c r="J24" s="185">
        <v>0</v>
      </c>
      <c r="K24" s="185">
        <f t="shared" si="0"/>
        <v>201.38181818181818</v>
      </c>
      <c r="L24" s="231">
        <f t="shared" si="1"/>
        <v>1208.2909090909091</v>
      </c>
      <c r="M24" s="187">
        <f t="shared" si="2"/>
        <v>1329.1200000000001</v>
      </c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</row>
    <row r="25" spans="1:26" ht="25" customHeight="1" thickTop="1" x14ac:dyDescent="0.15">
      <c r="A25" s="143" t="str">
        <f>'Tariffs 2023'!F19</f>
        <v>EnergyAustralia</v>
      </c>
      <c r="B25" s="24" t="str">
        <f>'Tariffs 2023'!D19</f>
        <v>AGN Albury</v>
      </c>
      <c r="C25" s="144">
        <f>'Tariffs 2023'!E19</f>
        <v>43646</v>
      </c>
      <c r="D25" s="30">
        <f>60*'Tariffs 2023'!H19/100</f>
        <v>53.7</v>
      </c>
      <c r="E25" s="30">
        <f>IF($C$5&gt;='Tariffs 2023'!J19,('Tariffs 2023'!J19*'Tariffs 2023'!O19/100),($C$5*'Tariffs 2023'!O19/100))</f>
        <v>58.649999999999991</v>
      </c>
      <c r="F25" s="30">
        <f>IF($C$5&lt;'Tariffs 2023'!J19,0,IF(($C$5-'Tariffs 2023'!J19)&lt;='Tariffs 2023'!K19,(($C$5-'Tariffs 2023'!J19)*'Tariffs 2023'!P19/100),(('Tariffs 2023'!K19-'Tariffs 2023'!J19)*'Tariffs 2023'!P19/100)))</f>
        <v>76.481818181818184</v>
      </c>
      <c r="G25" s="30">
        <f>IF($C$5&lt;'Tariffs 2023'!K19,0,IF(($C$5-'Tariffs 2023'!K19)&lt;='Tariffs 2023'!L19,(($C$5-'Tariffs 2023'!K19)*'Tariffs 2023'!Q19/100),(('Tariffs 2023'!L19-'Tariffs 2023'!K19)*'Tariffs 2023'!Q19/100)))</f>
        <v>31.767272727272726</v>
      </c>
      <c r="H25" s="30">
        <v>0</v>
      </c>
      <c r="I25" s="30">
        <v>0</v>
      </c>
      <c r="J25" s="30">
        <f>IF(($C$5&lt;'Tariffs 2023'!N19),(0),($C$5-'Tariffs 2023'!N19)*'Tariffs 2023'!R19/100)</f>
        <v>0</v>
      </c>
      <c r="K25" s="30">
        <f t="shared" si="0"/>
        <v>220.59909090909088</v>
      </c>
      <c r="L25" s="229">
        <f t="shared" si="1"/>
        <v>1323.5945454545454</v>
      </c>
      <c r="M25" s="145">
        <f t="shared" si="2"/>
        <v>1455.954</v>
      </c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</row>
    <row r="26" spans="1:26" ht="25" customHeight="1" x14ac:dyDescent="0.15">
      <c r="A26" s="143" t="str">
        <f>'Tariffs 2023'!F20</f>
        <v>Origin Energy</v>
      </c>
      <c r="B26" s="24" t="str">
        <f>'Tariffs 2023'!D20</f>
        <v>AGN Albury</v>
      </c>
      <c r="C26" s="144">
        <f>'Tariffs 2023'!E20</f>
        <v>43646</v>
      </c>
      <c r="D26" s="30">
        <f>60*'Tariffs 2023'!H20/100</f>
        <v>40.129090909090905</v>
      </c>
      <c r="E26" s="30">
        <f>IF($C$5&gt;='Tariffs 2023'!J20,('Tariffs 2023'!J20*'Tariffs 2023'!O20/100),($C$5*'Tariffs 2023'!O20/100))</f>
        <v>49.65</v>
      </c>
      <c r="F26" s="30">
        <f>IF($C$5&lt;'Tariffs 2023'!J20,0,IF(($C$5-'Tariffs 2023'!J20)&lt;='Tariffs 2023'!K20,(($C$5-'Tariffs 2023'!J20)*'Tariffs 2023'!P20/100),(('Tariffs 2023'!K20-'Tariffs 2023'!J20)*'Tariffs 2023'!P20/100)))</f>
        <v>0</v>
      </c>
      <c r="G26" s="30">
        <f>IF($C$5&lt;'Tariffs 2023'!K20,0,IF(($C$5-'Tariffs 2023'!K20)&lt;='Tariffs 2023'!L20,(($C$5-'Tariffs 2023'!K20)*'Tariffs 2023'!Q20/100),(('Tariffs 2023'!L20-'Tariffs 2023'!K20)*'Tariffs 2023'!Q20/100)))</f>
        <v>0</v>
      </c>
      <c r="H26" s="30">
        <v>0</v>
      </c>
      <c r="I26" s="30">
        <v>0</v>
      </c>
      <c r="J26" s="30">
        <f>IF(($C$5&lt;'Tariffs 2023'!N20),(0),($C$5-'Tariffs 2023'!N20)*'Tariffs 2023'!R20/100)</f>
        <v>62.168181818181822</v>
      </c>
      <c r="K26" s="30">
        <f>SUM(D26:J26)</f>
        <v>151.94727272727272</v>
      </c>
      <c r="L26" s="229">
        <f>K26*6</f>
        <v>911.68363636363631</v>
      </c>
      <c r="M26" s="145">
        <f t="shared" si="2"/>
        <v>1002.852</v>
      </c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</row>
    <row r="27" spans="1:26" ht="25" customHeight="1" x14ac:dyDescent="0.15">
      <c r="A27" s="143" t="str">
        <f>'Tariffs 2023'!F21</f>
        <v>AGL</v>
      </c>
      <c r="B27" s="24" t="str">
        <f>'Tariffs 2023'!D21</f>
        <v>Jemena Coastal Network</v>
      </c>
      <c r="C27" s="144">
        <f>'Tariffs 2023'!E21</f>
        <v>43648</v>
      </c>
      <c r="D27" s="30">
        <f>60*'Tariffs 2023'!H21/100</f>
        <v>41.929090909090903</v>
      </c>
      <c r="E27" s="30">
        <f>IF($C$5&gt;='Tariffs 2023'!J21,('Tariffs 2023'!J21*'Tariffs 2023'!O21/100),($C$5*'Tariffs 2023'!O21/100))</f>
        <v>44.7</v>
      </c>
      <c r="F27" s="30">
        <f>IF($C$5&lt;'Tariffs 2023'!J21,0,IF(($C$5-'Tariffs 2023'!J21)&gt;='Tariffs 2023'!K21,(($C$5-'Tariffs 2023'!J21)*'Tariffs 2023'!P21/100),(('Tariffs 2023'!K21-'Tariffs 2023'!J21)*'Tariffs 2023'!P21/100)))</f>
        <v>32.035454545454542</v>
      </c>
      <c r="G27" s="30">
        <f>IF($C$5&lt;'Tariffs 2023'!K21,0,IF(($C$5-'Tariffs 2023'!K21)&lt;='Tariffs 2023'!L21,(($C$5-'Tariffs 2023'!K21)*'Tariffs 2023'!Q21/100),(('Tariffs 2023'!L21-'Tariffs 2023'!K21)*'Tariffs 2023'!Q21/100)))</f>
        <v>24.109090909090906</v>
      </c>
      <c r="H27" s="30">
        <v>0</v>
      </c>
      <c r="I27" s="30">
        <v>0</v>
      </c>
      <c r="J27" s="30">
        <f>IF(($C$5&lt;'Tariffs 2023'!N21),(0),($C$5-'Tariffs 2023'!N21)*'Tariffs 2023'!R21/100)</f>
        <v>0</v>
      </c>
      <c r="K27" s="30">
        <f>SUM(D27:J27)</f>
        <v>142.77363636363634</v>
      </c>
      <c r="L27" s="229">
        <f>K27*6</f>
        <v>856.64181818181805</v>
      </c>
      <c r="M27" s="145">
        <f t="shared" si="2"/>
        <v>942.30599999999993</v>
      </c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</row>
    <row r="28" spans="1:26" ht="25" customHeight="1" thickBot="1" x14ac:dyDescent="0.2">
      <c r="A28" s="176" t="str">
        <f>'Tariffs 2023'!F22</f>
        <v>Red Energy</v>
      </c>
      <c r="B28" s="177" t="str">
        <f>'Tariffs 2023'!D22</f>
        <v>AGN Albury</v>
      </c>
      <c r="C28" s="178">
        <f>'Tariffs 2023'!E22</f>
        <v>43646</v>
      </c>
      <c r="D28" s="179">
        <f>60*'Tariffs 2023'!H22/100</f>
        <v>53.389090909090903</v>
      </c>
      <c r="E28" s="179">
        <f>IF($C$5&gt;='Tariffs 2023'!J22,('Tariffs 2023'!J22*'Tariffs 2023'!O22/100),($C$5*'Tariffs 2023'!O22/100))</f>
        <v>44.25</v>
      </c>
      <c r="F28" s="179">
        <f>IF($C$5&lt;'Tariffs 2023'!J22,0,IF(($C$5-'Tariffs 2023'!J22)&gt;='Tariffs 2023'!K22,(($C$5-'Tariffs 2023'!J22)*'Tariffs 2023'!P22/100),(('Tariffs 2023'!K22-'Tariffs 2023'!J22)*'Tariffs 2023'!P22/100)))</f>
        <v>30.368181818181814</v>
      </c>
      <c r="G28" s="179">
        <f>IF($C$5&lt;'Tariffs 2023'!K22,0,IF(($C$5-'Tariffs 2023'!K22)&lt;='Tariffs 2023'!L22,(($C$5-'Tariffs 2023'!K22)*'Tariffs 2023'!Q22/100),(('Tariffs 2023'!L22-'Tariffs 2023'!K22)*'Tariffs 2023'!Q22/100)))</f>
        <v>22.029090909090911</v>
      </c>
      <c r="H28" s="179">
        <v>0</v>
      </c>
      <c r="I28" s="179">
        <v>0</v>
      </c>
      <c r="J28" s="179">
        <f>IF(($C$5&lt;'Tariffs 2023'!N22),(0),($C$5-'Tariffs 2023'!N22)*'Tariffs 2023'!R22/100)</f>
        <v>0</v>
      </c>
      <c r="K28" s="179">
        <f>SUM(D28:J28)</f>
        <v>150.03636363636363</v>
      </c>
      <c r="L28" s="230">
        <f>K28*6</f>
        <v>900.21818181818185</v>
      </c>
      <c r="M28" s="181">
        <f t="shared" si="2"/>
        <v>990.24000000000012</v>
      </c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</row>
    <row r="29" spans="1:26" ht="25" customHeight="1" thickTop="1" x14ac:dyDescent="0.15">
      <c r="A29" s="143" t="str">
        <f>'Tariffs 2023'!F23</f>
        <v>EnergyAustralia</v>
      </c>
      <c r="B29" s="24" t="str">
        <f>'Tariffs 2023'!D23</f>
        <v>AGN Murray Valley</v>
      </c>
      <c r="C29" s="144">
        <f>'Tariffs 2023'!E23</f>
        <v>43646</v>
      </c>
      <c r="D29" s="30">
        <f>60*'Tariffs 2023'!H23/100</f>
        <v>53.159999999999989</v>
      </c>
      <c r="E29" s="30">
        <f>IF($C$5&gt;='Tariffs 2023'!J23,('Tariffs 2023'!J23*'Tariffs 2023'!O23/100),($C$5*'Tariffs 2023'!O23/100))</f>
        <v>82.049999999999983</v>
      </c>
      <c r="F29" s="30">
        <f>IF($C$5&lt;'Tariffs 2023'!J23,0,IF(($C$5-'Tariffs 2023'!J23)&lt;='Tariffs 2023'!K23,(($C$5-'Tariffs 2023'!J23)*'Tariffs 2023'!P23/100),(('Tariffs 2023'!K23-'Tariffs 2023'!J23)*'Tariffs 2023'!P23/100)))</f>
        <v>106.60454545454544</v>
      </c>
      <c r="G29" s="30">
        <f>IF($C$5&lt;'Tariffs 2023'!K23,0,IF(($C$5-'Tariffs 2023'!K23)&lt;='Tariffs 2023'!L23,(($C$5-'Tariffs 2023'!K23)*'Tariffs 2023'!Q23/100),(('Tariffs 2023'!L23-'Tariffs 2023'!K23)*'Tariffs 2023'!Q23/100)))</f>
        <v>39.898181818181818</v>
      </c>
      <c r="H29" s="30">
        <v>0</v>
      </c>
      <c r="I29" s="30">
        <v>0</v>
      </c>
      <c r="J29" s="30">
        <f>IF(($C$5&lt;'Tariffs 2023'!N23),(0),($C$5-'Tariffs 2023'!N23)*'Tariffs 2023'!R23/100)</f>
        <v>0</v>
      </c>
      <c r="K29" s="30">
        <f t="shared" ref="K29:K35" si="6">SUM(D29:J29)</f>
        <v>281.71272727272725</v>
      </c>
      <c r="L29" s="229">
        <f t="shared" ref="L29:L44" si="7">K29*6</f>
        <v>1690.2763636363634</v>
      </c>
      <c r="M29" s="145">
        <f t="shared" si="2"/>
        <v>1859.3039999999999</v>
      </c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</row>
    <row r="30" spans="1:26" ht="25" customHeight="1" x14ac:dyDescent="0.15">
      <c r="A30" s="143" t="str">
        <f>'Tariffs 2023'!F24</f>
        <v>Origin Energy</v>
      </c>
      <c r="B30" s="24" t="str">
        <f>'Tariffs 2023'!D24</f>
        <v>AGN Murray Valley</v>
      </c>
      <c r="C30" s="144">
        <f>'Tariffs 2023'!E24</f>
        <v>43646</v>
      </c>
      <c r="D30" s="30">
        <f>60*'Tariffs 2023'!H24/100</f>
        <v>41.667272727272717</v>
      </c>
      <c r="E30" s="30">
        <f>IF($C$5&gt;='Tariffs 2023'!J24,('Tariffs 2023'!J24*'Tariffs 2023'!O24/100),($C$5*'Tariffs 2023'!O24/100))</f>
        <v>70.95</v>
      </c>
      <c r="F30" s="30">
        <f>IF($C$5&lt;'Tariffs 2023'!J24,0,IF(($C$5-'Tariffs 2023'!J24)&lt;='Tariffs 2023'!K24,(($C$5-'Tariffs 2023'!J24)*'Tariffs 2023'!P24/100),(('Tariffs 2023'!K24-'Tariffs 2023'!J24)*'Tariffs 2023'!P24/100)))</f>
        <v>0</v>
      </c>
      <c r="G30" s="30">
        <f>IF($C$5&lt;'Tariffs 2023'!K24,0,IF(($C$5-'Tariffs 2023'!K24)&lt;='Tariffs 2023'!L24,(($C$5-'Tariffs 2023'!K24)*'Tariffs 2023'!Q24/100),(('Tariffs 2023'!L24-'Tariffs 2023'!K24)*'Tariffs 2023'!Q24/100)))</f>
        <v>0</v>
      </c>
      <c r="H30" s="30">
        <v>0</v>
      </c>
      <c r="I30" s="30">
        <v>0</v>
      </c>
      <c r="J30" s="30">
        <f>IF(($C$5&lt;'Tariffs 2023'!N24),(0),($C$5-'Tariffs 2023'!N24)*'Tariffs 2023'!R24/100)</f>
        <v>79.472727272727269</v>
      </c>
      <c r="K30" s="30">
        <f t="shared" si="6"/>
        <v>192.08999999999997</v>
      </c>
      <c r="L30" s="229">
        <f t="shared" si="7"/>
        <v>1152.54</v>
      </c>
      <c r="M30" s="145">
        <f t="shared" si="2"/>
        <v>1267.7940000000001</v>
      </c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</row>
    <row r="31" spans="1:26" ht="25" customHeight="1" x14ac:dyDescent="0.15">
      <c r="A31" s="143" t="str">
        <f>'Tariffs 2023'!F25</f>
        <v>AGL</v>
      </c>
      <c r="B31" s="24" t="str">
        <f>'Tariffs 2023'!D25</f>
        <v>AGN Murray Valley</v>
      </c>
      <c r="C31" s="144">
        <f>'Tariffs 2023'!E25</f>
        <v>43648</v>
      </c>
      <c r="D31" s="30">
        <f>60*'Tariffs 2023'!H25/100</f>
        <v>48.016363636363629</v>
      </c>
      <c r="E31" s="30">
        <f>IF($C$5&gt;='Tariffs 2023'!J25,('Tariffs 2023'!J25*'Tariffs 2023'!O25/100),($C$5*'Tariffs 2023'!O25/100))</f>
        <v>70.199999999999989</v>
      </c>
      <c r="F31" s="30">
        <f>IF($C$5&lt;'Tariffs 2023'!J25,0,IF(($C$5-'Tariffs 2023'!J25)&gt;='Tariffs 2023'!K25,(($C$5-'Tariffs 2023'!J25)*'Tariffs 2023'!P25/100),(('Tariffs 2023'!K25-'Tariffs 2023'!J25)*'Tariffs 2023'!P25/100)))</f>
        <v>50.73272727272726</v>
      </c>
      <c r="G31" s="30">
        <f>IF($C$5&lt;'Tariffs 2023'!K25,0,IF(($C$5-'Tariffs 2023'!K25)&lt;='Tariffs 2023'!L25,(($C$5-'Tariffs 2023'!K25)*'Tariffs 2023'!Q25/100),(('Tariffs 2023'!L25-'Tariffs 2023'!K25)*'Tariffs 2023'!Q25/100)))</f>
        <v>32.145454545454541</v>
      </c>
      <c r="H31" s="30">
        <v>0</v>
      </c>
      <c r="I31" s="30">
        <v>0</v>
      </c>
      <c r="J31" s="30">
        <f>IF(($C$5&lt;'Tariffs 2023'!N25),(0),($C$5-'Tariffs 2023'!N25)*'Tariffs 2023'!R25/100)</f>
        <v>0</v>
      </c>
      <c r="K31" s="30">
        <f t="shared" si="6"/>
        <v>201.09454545454543</v>
      </c>
      <c r="L31" s="229">
        <f t="shared" si="7"/>
        <v>1206.5672727272727</v>
      </c>
      <c r="M31" s="145">
        <f t="shared" si="2"/>
        <v>1327.2239999999999</v>
      </c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</row>
    <row r="32" spans="1:26" ht="25" customHeight="1" thickBot="1" x14ac:dyDescent="0.2">
      <c r="A32" s="176" t="str">
        <f>'Tariffs 2023'!F26</f>
        <v>Red Energy</v>
      </c>
      <c r="B32" s="177" t="str">
        <f>'Tariffs 2023'!D26</f>
        <v>AGN Murray Valley</v>
      </c>
      <c r="C32" s="178">
        <f>'Tariffs 2023'!E26</f>
        <v>43646</v>
      </c>
      <c r="D32" s="179">
        <f>60*'Tariffs 2023'!H26/100</f>
        <v>56.999999999999993</v>
      </c>
      <c r="E32" s="179">
        <f>IF($C$5&gt;='Tariffs 2023'!J26,('Tariffs 2023'!J26*'Tariffs 2023'!O26/100),($C$5*'Tariffs 2023'!O26/100))</f>
        <v>61.349999999999994</v>
      </c>
      <c r="F32" s="179">
        <f>IF($C$5&lt;'Tariffs 2023'!J26,0,IF(($C$5-'Tariffs 2023'!J26)&gt;='Tariffs 2023'!K26,(($C$5-'Tariffs 2023'!J26)*'Tariffs 2023'!P26/100),(('Tariffs 2023'!K26-'Tariffs 2023'!J26)*'Tariffs 2023'!P26/100)))</f>
        <v>44.301818181818177</v>
      </c>
      <c r="G32" s="179">
        <f>IF($C$5&lt;'Tariffs 2023'!K26,0,IF(($C$5-'Tariffs 2023'!K26)&lt;='Tariffs 2023'!L26,(($C$5-'Tariffs 2023'!K26)*'Tariffs 2023'!Q26/100),(('Tariffs 2023'!L26-'Tariffs 2023'!K26)*'Tariffs 2023'!Q26/100)))</f>
        <v>29.309090909090905</v>
      </c>
      <c r="H32" s="179">
        <v>0</v>
      </c>
      <c r="I32" s="179">
        <v>0</v>
      </c>
      <c r="J32" s="179">
        <f>IF(($C$5&lt;'Tariffs 2023'!N26),(0),($C$5-'Tariffs 2023'!N26)*'Tariffs 2023'!R26/100)</f>
        <v>0</v>
      </c>
      <c r="K32" s="179">
        <f t="shared" si="6"/>
        <v>191.96090909090907</v>
      </c>
      <c r="L32" s="230">
        <f t="shared" si="7"/>
        <v>1151.7654545454543</v>
      </c>
      <c r="M32" s="181">
        <f t="shared" si="2"/>
        <v>1266.9419999999998</v>
      </c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</row>
    <row r="33" spans="1:26" ht="25" customHeight="1" thickTop="1" x14ac:dyDescent="0.15">
      <c r="A33" s="143" t="str">
        <f>'Tariffs 2023'!F27</f>
        <v>Origin Energy</v>
      </c>
      <c r="B33" s="24" t="str">
        <f>'Tariffs 2023'!D27</f>
        <v>AGN Cooma</v>
      </c>
      <c r="C33" s="144">
        <f>'Tariffs 2023'!E27</f>
        <v>43646</v>
      </c>
      <c r="D33" s="30">
        <f>60*'Tariffs 2023'!H27/100</f>
        <v>47.24727272727273</v>
      </c>
      <c r="E33" s="30">
        <f>$C$5*'Tariffs 2023'!O27/100</f>
        <v>147.63636363636363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f t="shared" si="6"/>
        <v>194.88363636363636</v>
      </c>
      <c r="L33" s="229">
        <f t="shared" si="7"/>
        <v>1169.3018181818181</v>
      </c>
      <c r="M33" s="145">
        <f t="shared" si="2"/>
        <v>1286.232</v>
      </c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</row>
    <row r="34" spans="1:26" ht="25" customHeight="1" thickBot="1" x14ac:dyDescent="0.2">
      <c r="A34" s="176" t="str">
        <f>'Tariffs 2023'!F28</f>
        <v>Red Energy</v>
      </c>
      <c r="B34" s="177" t="str">
        <f>'Tariffs 2023'!D28</f>
        <v>AGN Cooma</v>
      </c>
      <c r="C34" s="178">
        <f>'Tariffs 2023'!E28</f>
        <v>43646</v>
      </c>
      <c r="D34" s="179">
        <f>60*'Tariffs 2023'!H28/100</f>
        <v>53.389090909090903</v>
      </c>
      <c r="E34" s="179">
        <f>$C$5*'Tariffs 2023'!O28/100</f>
        <v>139.27272727272725</v>
      </c>
      <c r="F34" s="179">
        <v>0</v>
      </c>
      <c r="G34" s="179">
        <v>0</v>
      </c>
      <c r="H34" s="179">
        <v>0</v>
      </c>
      <c r="I34" s="179">
        <v>0</v>
      </c>
      <c r="J34" s="179">
        <v>0</v>
      </c>
      <c r="K34" s="179">
        <f t="shared" si="6"/>
        <v>192.66181818181815</v>
      </c>
      <c r="L34" s="230">
        <f t="shared" si="7"/>
        <v>1155.9709090909089</v>
      </c>
      <c r="M34" s="181">
        <f t="shared" si="2"/>
        <v>1271.568</v>
      </c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</row>
    <row r="35" spans="1:26" ht="25" customHeight="1" thickTop="1" x14ac:dyDescent="0.15">
      <c r="A35" s="143" t="str">
        <f>'Tariffs 2023'!F29</f>
        <v>Origin Energy</v>
      </c>
      <c r="B35" s="24" t="str">
        <f>'Tariffs 2023'!D29</f>
        <v>AGN Temora</v>
      </c>
      <c r="C35" s="144">
        <f>'Tariffs 2023'!E29</f>
        <v>43646</v>
      </c>
      <c r="D35" s="30">
        <f>60*'Tariffs 2023'!H29/100</f>
        <v>49.914545454545447</v>
      </c>
      <c r="E35" s="30">
        <f>$C$5*'Tariffs 2023'!O29/100</f>
        <v>148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f t="shared" si="6"/>
        <v>197.91454545454545</v>
      </c>
      <c r="L35" s="229">
        <f t="shared" si="7"/>
        <v>1187.4872727272727</v>
      </c>
      <c r="M35" s="145">
        <f t="shared" si="2"/>
        <v>1306.2360000000001</v>
      </c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</row>
    <row r="36" spans="1:26" ht="25" customHeight="1" x14ac:dyDescent="0.15">
      <c r="A36" s="143" t="str">
        <f>'Tariffs 2023'!F30</f>
        <v>AGL</v>
      </c>
      <c r="B36" s="24" t="str">
        <f>'Tariffs 2023'!D30</f>
        <v>AGN Temora</v>
      </c>
      <c r="C36" s="144">
        <f>'Tariffs 2023'!E30</f>
        <v>43648</v>
      </c>
      <c r="D36" s="30">
        <f>60*'Tariffs 2023'!H30/100</f>
        <v>57.485454545454537</v>
      </c>
      <c r="E36" s="30">
        <f>$C$5*'Tariffs 2023'!O30/100</f>
        <v>144.36363636363637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f>SUM(D36:J36)</f>
        <v>201.8490909090909</v>
      </c>
      <c r="L36" s="229">
        <f t="shared" si="7"/>
        <v>1211.0945454545454</v>
      </c>
      <c r="M36" s="145">
        <f t="shared" si="2"/>
        <v>1332.204</v>
      </c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</row>
    <row r="37" spans="1:26" ht="25" customHeight="1" thickBot="1" x14ac:dyDescent="0.2">
      <c r="A37" s="176" t="str">
        <f>'Tariffs 2023'!F31</f>
        <v>Red Energy</v>
      </c>
      <c r="B37" s="177" t="str">
        <f>'Tariffs 2023'!D31</f>
        <v>AGN Temora</v>
      </c>
      <c r="C37" s="178">
        <f>'Tariffs 2023'!E31</f>
        <v>43646</v>
      </c>
      <c r="D37" s="179">
        <f>60*'Tariffs 2023'!H31/100</f>
        <v>53.389090909090903</v>
      </c>
      <c r="E37" s="179">
        <f>$C$5*'Tariffs 2023'!O31/100</f>
        <v>144.72727272727269</v>
      </c>
      <c r="F37" s="179">
        <v>0</v>
      </c>
      <c r="G37" s="179">
        <v>0</v>
      </c>
      <c r="H37" s="179">
        <v>0</v>
      </c>
      <c r="I37" s="179">
        <v>0</v>
      </c>
      <c r="J37" s="179">
        <v>0</v>
      </c>
      <c r="K37" s="179">
        <f>SUM(D37:J37)</f>
        <v>198.11636363636359</v>
      </c>
      <c r="L37" s="230">
        <f>K37*6</f>
        <v>1188.6981818181816</v>
      </c>
      <c r="M37" s="181">
        <f t="shared" si="2"/>
        <v>1307.568</v>
      </c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</row>
    <row r="38" spans="1:26" ht="25" customHeight="1" thickTop="1" x14ac:dyDescent="0.15">
      <c r="A38" s="143" t="str">
        <f>'Tariffs 2023'!F32</f>
        <v>Origin Energy</v>
      </c>
      <c r="B38" s="24" t="str">
        <f>'Tariffs 2023'!D32</f>
        <v>AGN Tumut</v>
      </c>
      <c r="C38" s="144">
        <f>'Tariffs 2023'!E32</f>
        <v>43646</v>
      </c>
      <c r="D38" s="30">
        <f>60*'Tariffs 2023'!H32/100</f>
        <v>51.256363636363631</v>
      </c>
      <c r="E38" s="30">
        <f>$C$5*'Tariffs 2023'!O32/100</f>
        <v>146.54545454545453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f t="shared" ref="K38:K44" si="8">SUM(D38:J38)</f>
        <v>197.80181818181816</v>
      </c>
      <c r="L38" s="229">
        <f t="shared" si="7"/>
        <v>1186.810909090909</v>
      </c>
      <c r="M38" s="145">
        <f t="shared" si="2"/>
        <v>1305.492</v>
      </c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</row>
    <row r="39" spans="1:26" ht="25" customHeight="1" thickBot="1" x14ac:dyDescent="0.2">
      <c r="A39" s="176" t="str">
        <f>'Tariffs 2023'!F33</f>
        <v>Red Energy</v>
      </c>
      <c r="B39" s="177" t="str">
        <f>'Tariffs 2023'!D33</f>
        <v>AGN Tumut</v>
      </c>
      <c r="C39" s="178">
        <f>'Tariffs 2023'!E33</f>
        <v>43646</v>
      </c>
      <c r="D39" s="179">
        <f>60*'Tariffs 2023'!H33/100</f>
        <v>58.79999999999999</v>
      </c>
      <c r="E39" s="179">
        <f>$C$5*'Tariffs 2023'!O33/100</f>
        <v>147.27272727272725</v>
      </c>
      <c r="F39" s="179">
        <v>0</v>
      </c>
      <c r="G39" s="179">
        <v>0</v>
      </c>
      <c r="H39" s="179">
        <v>0</v>
      </c>
      <c r="I39" s="179">
        <v>0</v>
      </c>
      <c r="J39" s="179">
        <v>0</v>
      </c>
      <c r="K39" s="179">
        <f t="shared" si="8"/>
        <v>206.07272727272724</v>
      </c>
      <c r="L39" s="230">
        <f t="shared" si="7"/>
        <v>1236.4363636363635</v>
      </c>
      <c r="M39" s="181">
        <f t="shared" si="2"/>
        <v>1360.08</v>
      </c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</row>
    <row r="40" spans="1:26" ht="25" customHeight="1" thickTop="1" x14ac:dyDescent="0.15">
      <c r="A40" s="143" t="str">
        <f>'Tariffs 2023'!F34</f>
        <v>Origin Energy</v>
      </c>
      <c r="B40" s="24" t="str">
        <f>'Tariffs 2023'!D34</f>
        <v>AGN Wagga Wagga</v>
      </c>
      <c r="C40" s="144">
        <f>'Tariffs 2023'!E34</f>
        <v>43646</v>
      </c>
      <c r="D40" s="30">
        <f>60*'Tariffs 2023'!H34/100</f>
        <v>60.114545454545443</v>
      </c>
      <c r="E40" s="30">
        <f>$C$5*'Tariffs 2023'!O34/100</f>
        <v>130.54545454545453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f t="shared" si="8"/>
        <v>190.65999999999997</v>
      </c>
      <c r="L40" s="229">
        <f t="shared" si="7"/>
        <v>1143.9599999999998</v>
      </c>
      <c r="M40" s="145">
        <f t="shared" si="2"/>
        <v>1258.356</v>
      </c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</row>
    <row r="41" spans="1:26" ht="25" customHeight="1" x14ac:dyDescent="0.15">
      <c r="A41" s="143" t="str">
        <f>'Tariffs 2023'!F35</f>
        <v>AGL</v>
      </c>
      <c r="B41" s="24" t="str">
        <f>'Tariffs 2023'!D35</f>
        <v>AGN Wagga Wagga</v>
      </c>
      <c r="C41" s="144">
        <f>'Tariffs 2023'!E35</f>
        <v>43648</v>
      </c>
      <c r="D41" s="30">
        <f>60*'Tariffs 2023'!H35/100</f>
        <v>64.919999999999987</v>
      </c>
      <c r="E41" s="30">
        <f>$C$5*'Tariffs 2023'!O35/100</f>
        <v>118.54545454545455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f t="shared" si="8"/>
        <v>183.46545454545452</v>
      </c>
      <c r="L41" s="229">
        <f t="shared" si="7"/>
        <v>1100.792727272727</v>
      </c>
      <c r="M41" s="145">
        <f t="shared" si="2"/>
        <v>1210.8719999999998</v>
      </c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</row>
    <row r="42" spans="1:26" ht="25" customHeight="1" x14ac:dyDescent="0.15">
      <c r="A42" s="143" t="str">
        <f>'Tariffs 2023'!F36</f>
        <v>EnergyAustralia</v>
      </c>
      <c r="B42" s="24" t="str">
        <f>'Tariffs 2023'!D36</f>
        <v>AGN Wagga Wagga</v>
      </c>
      <c r="C42" s="144">
        <f>'Tariffs 2023'!E36</f>
        <v>43646</v>
      </c>
      <c r="D42" s="30">
        <f>60*'Tariffs 2023'!H36/100</f>
        <v>64.260000000000005</v>
      </c>
      <c r="E42" s="30">
        <f>IF($C$5&gt;='Tariffs 2023'!J36,('Tariffs 2023'!J36*'Tariffs 2023'!O36/100),($C$5*'Tariffs 2023'!O36/100))</f>
        <v>74.999999999999986</v>
      </c>
      <c r="F42" s="30">
        <f>IF($C$5&lt;'Tariffs 2023'!J36,0,IF(($C$5-'Tariffs 2023'!J36)&gt;='Tariffs 2023'!K36,(($C$5-'Tariffs 2023'!J36)*'Tariffs 2023'!P36/100),(('Tariffs 2023'!K36-'Tariffs 2023'!J36)*'Tariffs 2023'!P36/100)))</f>
        <v>49.18454545454545</v>
      </c>
      <c r="G42" s="30">
        <f>IF($C$5&lt;'Tariffs 2023'!K36,0,IF(($C$5-'Tariffs 2023'!K36)&lt;='Tariffs 2023'!L36,(($C$5-'Tariffs 2023'!K36)*'Tariffs 2023'!Q36/100),(('Tariffs 2023'!L36-'Tariffs 2023'!K36)*'Tariffs 2023'!Q36/100)))</f>
        <v>32.42909090909091</v>
      </c>
      <c r="H42" s="30">
        <v>0</v>
      </c>
      <c r="I42" s="30">
        <v>0</v>
      </c>
      <c r="J42" s="30">
        <f>IF(($C$5&lt;'Tariffs 2023'!N36),(0),($C$5-'Tariffs 2023'!N36)*'Tariffs 2023'!R36/100)</f>
        <v>0</v>
      </c>
      <c r="K42" s="30">
        <f>SUM(D42:J42)</f>
        <v>220.87363636363636</v>
      </c>
      <c r="L42" s="229">
        <f t="shared" si="7"/>
        <v>1325.2418181818182</v>
      </c>
      <c r="M42" s="145">
        <f t="shared" si="2"/>
        <v>1457.7660000000001</v>
      </c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</row>
    <row r="43" spans="1:26" ht="25" customHeight="1" thickBot="1" x14ac:dyDescent="0.2">
      <c r="A43" s="176" t="str">
        <f>'Tariffs 2023'!F37</f>
        <v>Red Energy</v>
      </c>
      <c r="B43" s="177" t="str">
        <f>'Tariffs 2023'!D37</f>
        <v>AGN Wagga Wagga</v>
      </c>
      <c r="C43" s="178">
        <f>'Tariffs 2023'!E37</f>
        <v>43646</v>
      </c>
      <c r="D43" s="179">
        <f>60*'Tariffs 2023'!H37/100</f>
        <v>72.599999999999994</v>
      </c>
      <c r="E43" s="179">
        <f>$C$5*'Tariffs 2023'!O37/100</f>
        <v>119.27272727272727</v>
      </c>
      <c r="F43" s="179">
        <v>0</v>
      </c>
      <c r="G43" s="179">
        <v>0</v>
      </c>
      <c r="H43" s="179">
        <v>0</v>
      </c>
      <c r="I43" s="179">
        <v>0</v>
      </c>
      <c r="J43" s="179">
        <v>0</v>
      </c>
      <c r="K43" s="179">
        <f t="shared" si="8"/>
        <v>191.87272727272727</v>
      </c>
      <c r="L43" s="230">
        <f t="shared" si="7"/>
        <v>1151.2363636363636</v>
      </c>
      <c r="M43" s="181">
        <f t="shared" si="2"/>
        <v>1266.3600000000001</v>
      </c>
      <c r="N43" s="253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</row>
    <row r="44" spans="1:26" ht="25" customHeight="1" thickTop="1" x14ac:dyDescent="0.15">
      <c r="A44" s="143" t="str">
        <f>'Tariffs 2023'!F38</f>
        <v>Origin Energy</v>
      </c>
      <c r="B44" s="24" t="str">
        <f>'Tariffs 2023'!D38</f>
        <v>Central Ranges Pipeline Tamworth</v>
      </c>
      <c r="C44" s="144">
        <f>'Tariffs 2023'!E38</f>
        <v>43646</v>
      </c>
      <c r="D44" s="30">
        <f>60*'Tariffs 2023'!H38/100</f>
        <v>40.109999999999992</v>
      </c>
      <c r="E44" s="30">
        <f>$C$5*'Tariffs 2023'!O38/100</f>
        <v>193.45454545454544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f t="shared" si="8"/>
        <v>233.56454545454542</v>
      </c>
      <c r="L44" s="229">
        <f t="shared" si="7"/>
        <v>1401.3872727272726</v>
      </c>
      <c r="M44" s="145">
        <f t="shared" si="2"/>
        <v>1541.5260000000001</v>
      </c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</row>
    <row r="45" spans="1:26" ht="25" customHeight="1" thickBot="1" x14ac:dyDescent="0.2">
      <c r="A45" s="150" t="str">
        <f>'Tariffs 2023'!F39</f>
        <v>Red Energy</v>
      </c>
      <c r="B45" s="151" t="str">
        <f>'Tariffs 2023'!D39</f>
        <v>Central Ranges Pipeline Tamworth</v>
      </c>
      <c r="C45" s="152">
        <f>'Tariffs 2023'!E39</f>
        <v>43646</v>
      </c>
      <c r="D45" s="153">
        <f>60*'Tariffs 2023'!H39/100</f>
        <v>53.389090909090903</v>
      </c>
      <c r="E45" s="153">
        <f>$C$5*'Tariffs 2023'!O39/100</f>
        <v>179.63636363636363</v>
      </c>
      <c r="F45" s="153">
        <v>0</v>
      </c>
      <c r="G45" s="153">
        <v>0</v>
      </c>
      <c r="H45" s="153">
        <v>0</v>
      </c>
      <c r="I45" s="153">
        <v>0</v>
      </c>
      <c r="J45" s="153">
        <v>0</v>
      </c>
      <c r="K45" s="153">
        <f t="shared" ref="K45" si="9">SUM(D45:J45)</f>
        <v>233.02545454545452</v>
      </c>
      <c r="L45" s="232">
        <f t="shared" ref="L45" si="10">K45*6</f>
        <v>1398.1527272727271</v>
      </c>
      <c r="M45" s="154">
        <f t="shared" ref="M45" si="11">L45*1.1</f>
        <v>1537.9680000000001</v>
      </c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</row>
    <row r="46" spans="1:26" customFormat="1" ht="25" customHeight="1" x14ac:dyDescent="0.15">
      <c r="A46" s="253"/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</row>
    <row r="47" spans="1:26" customFormat="1" x14ac:dyDescent="0.15">
      <c r="A47" s="253"/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</row>
    <row r="48" spans="1:26" customFormat="1" x14ac:dyDescent="0.15">
      <c r="A48" s="253"/>
      <c r="B48" s="253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</row>
    <row r="49" spans="1:26" customFormat="1" x14ac:dyDescent="0.15">
      <c r="A49" s="253"/>
      <c r="B49" s="253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</row>
    <row r="50" spans="1:26" customFormat="1" x14ac:dyDescent="0.15">
      <c r="A50" s="253"/>
      <c r="B50" s="253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6" customFormat="1" x14ac:dyDescent="0.15">
      <c r="A51" s="253"/>
      <c r="B51" s="253"/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6" customFormat="1" x14ac:dyDescent="0.15">
      <c r="A52" s="253"/>
      <c r="B52" s="253"/>
      <c r="C52" s="253"/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6" customFormat="1" x14ac:dyDescent="0.15">
      <c r="A53" s="253"/>
      <c r="B53" s="253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6" customFormat="1" x14ac:dyDescent="0.15">
      <c r="A54" s="253"/>
      <c r="B54" s="253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6" customFormat="1" x14ac:dyDescent="0.15">
      <c r="A55" s="253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6" customFormat="1" x14ac:dyDescent="0.15">
      <c r="A56" s="253"/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</row>
    <row r="57" spans="1:26" customFormat="1" x14ac:dyDescent="0.15">
      <c r="A57" s="253"/>
      <c r="B57" s="253"/>
      <c r="C57" s="253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</row>
    <row r="58" spans="1:26" customFormat="1" x14ac:dyDescent="0.15">
      <c r="A58" s="253"/>
      <c r="B58" s="253"/>
      <c r="C58" s="253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</row>
    <row r="59" spans="1:26" customFormat="1" x14ac:dyDescent="0.15">
      <c r="A59" s="253"/>
      <c r="B59" s="253"/>
      <c r="C59" s="253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</row>
    <row r="60" spans="1:26" customFormat="1" x14ac:dyDescent="0.15">
      <c r="A60" s="253"/>
      <c r="B60" s="253"/>
      <c r="C60" s="253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</row>
    <row r="61" spans="1:26" customFormat="1" x14ac:dyDescent="0.15">
      <c r="A61" s="253"/>
      <c r="B61" s="253"/>
      <c r="C61" s="253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</row>
    <row r="62" spans="1:26" customFormat="1" x14ac:dyDescent="0.15">
      <c r="A62" s="253"/>
      <c r="B62" s="253"/>
      <c r="C62" s="253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</row>
    <row r="63" spans="1:26" customFormat="1" x14ac:dyDescent="0.15">
      <c r="A63" s="253"/>
      <c r="B63" s="253"/>
      <c r="C63" s="253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</row>
    <row r="64" spans="1:26" customFormat="1" x14ac:dyDescent="0.15">
      <c r="A64" s="253"/>
      <c r="B64" s="253"/>
      <c r="C64" s="253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</row>
    <row r="65" spans="1:26" customFormat="1" x14ac:dyDescent="0.15">
      <c r="A65" s="253"/>
      <c r="B65" s="253"/>
      <c r="C65" s="253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</row>
    <row r="66" spans="1:26" customFormat="1" x14ac:dyDescent="0.15">
      <c r="A66" s="253"/>
      <c r="B66" s="253"/>
      <c r="C66" s="253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</row>
    <row r="67" spans="1:26" customFormat="1" x14ac:dyDescent="0.15">
      <c r="A67" s="253"/>
      <c r="B67" s="253"/>
      <c r="C67" s="253"/>
      <c r="D67" s="253"/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</row>
    <row r="68" spans="1:26" customFormat="1" x14ac:dyDescent="0.15">
      <c r="A68" s="253"/>
      <c r="B68" s="253"/>
      <c r="C68" s="253"/>
      <c r="D68" s="253"/>
      <c r="E68" s="253"/>
      <c r="F68" s="253"/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</row>
    <row r="69" spans="1:26" customFormat="1" x14ac:dyDescent="0.15">
      <c r="A69" s="253"/>
      <c r="B69" s="253"/>
      <c r="C69" s="253"/>
      <c r="D69" s="253"/>
      <c r="E69" s="253"/>
      <c r="F69" s="253"/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</row>
    <row r="70" spans="1:26" customFormat="1" x14ac:dyDescent="0.15">
      <c r="A70" s="253"/>
      <c r="B70" s="253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</row>
    <row r="71" spans="1:26" customFormat="1" x14ac:dyDescent="0.15">
      <c r="A71" s="253"/>
      <c r="B71" s="253"/>
      <c r="C71" s="253"/>
      <c r="D71" s="253"/>
      <c r="E71" s="253"/>
      <c r="F71" s="253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</row>
    <row r="72" spans="1:26" customFormat="1" x14ac:dyDescent="0.15">
      <c r="A72" s="253"/>
      <c r="B72" s="253"/>
      <c r="C72" s="253"/>
      <c r="D72" s="253"/>
      <c r="E72" s="253"/>
      <c r="F72" s="253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</row>
    <row r="73" spans="1:26" customFormat="1" x14ac:dyDescent="0.15">
      <c r="A73" s="253"/>
      <c r="B73" s="253"/>
      <c r="C73" s="253"/>
      <c r="D73" s="253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</row>
    <row r="74" spans="1:26" customFormat="1" x14ac:dyDescent="0.15">
      <c r="A74" s="253"/>
      <c r="B74" s="253"/>
      <c r="C74" s="253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</row>
    <row r="75" spans="1:26" customFormat="1" x14ac:dyDescent="0.15">
      <c r="A75" s="253"/>
      <c r="B75" s="253"/>
      <c r="C75" s="253"/>
      <c r="D75" s="253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</row>
    <row r="76" spans="1:26" customFormat="1" x14ac:dyDescent="0.15">
      <c r="A76" s="253"/>
      <c r="B76" s="253"/>
      <c r="C76" s="253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</row>
    <row r="77" spans="1:26" customFormat="1" x14ac:dyDescent="0.15">
      <c r="A77" s="253"/>
      <c r="B77" s="253"/>
      <c r="C77" s="253"/>
      <c r="D77" s="253"/>
      <c r="E77" s="253"/>
      <c r="F77" s="253"/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</row>
    <row r="78" spans="1:26" customFormat="1" x14ac:dyDescent="0.15">
      <c r="A78" s="253"/>
      <c r="B78" s="253"/>
      <c r="C78" s="253"/>
      <c r="D78" s="253"/>
      <c r="E78" s="253"/>
      <c r="F78" s="253"/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</row>
    <row r="79" spans="1:26" customFormat="1" x14ac:dyDescent="0.15">
      <c r="A79" s="253"/>
      <c r="B79" s="253"/>
      <c r="C79" s="253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</row>
    <row r="80" spans="1:26" customFormat="1" x14ac:dyDescent="0.15">
      <c r="A80" s="253"/>
      <c r="B80" s="253"/>
      <c r="C80" s="253"/>
      <c r="D80" s="253"/>
      <c r="E80" s="253"/>
      <c r="F80" s="253"/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</row>
    <row r="81" spans="1:26" customFormat="1" x14ac:dyDescent="0.15">
      <c r="A81" s="253"/>
      <c r="B81" s="253"/>
      <c r="C81" s="253"/>
      <c r="D81" s="253"/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</row>
    <row r="82" spans="1:26" customFormat="1" x14ac:dyDescent="0.15">
      <c r="A82" s="253"/>
      <c r="B82" s="253"/>
      <c r="C82" s="253"/>
      <c r="D82" s="253"/>
      <c r="E82" s="253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</row>
    <row r="83" spans="1:26" customFormat="1" x14ac:dyDescent="0.15">
      <c r="A83" s="253"/>
      <c r="B83" s="253"/>
      <c r="C83" s="253"/>
      <c r="D83" s="253"/>
      <c r="E83" s="253"/>
      <c r="F83" s="253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</row>
    <row r="84" spans="1:26" customFormat="1" x14ac:dyDescent="0.15">
      <c r="A84" s="253"/>
      <c r="B84" s="253"/>
      <c r="C84" s="253"/>
      <c r="D84" s="253"/>
      <c r="E84" s="253"/>
      <c r="F84" s="253"/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</row>
    <row r="85" spans="1:26" customFormat="1" x14ac:dyDescent="0.15"/>
    <row r="86" spans="1:26" customFormat="1" x14ac:dyDescent="0.15"/>
    <row r="87" spans="1:26" customFormat="1" x14ac:dyDescent="0.15"/>
    <row r="88" spans="1:26" customFormat="1" x14ac:dyDescent="0.15"/>
    <row r="89" spans="1:26" customFormat="1" x14ac:dyDescent="0.15"/>
    <row r="90" spans="1:26" customFormat="1" x14ac:dyDescent="0.15"/>
    <row r="91" spans="1:26" customFormat="1" x14ac:dyDescent="0.15"/>
    <row r="92" spans="1:26" customFormat="1" x14ac:dyDescent="0.15"/>
    <row r="93" spans="1:26" customFormat="1" x14ac:dyDescent="0.15"/>
    <row r="94" spans="1:26" customFormat="1" x14ac:dyDescent="0.15"/>
    <row r="95" spans="1:26" customFormat="1" x14ac:dyDescent="0.15"/>
    <row r="96" spans="1:26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  <row r="7914" customFormat="1" x14ac:dyDescent="0.15"/>
    <row r="7915" customFormat="1" x14ac:dyDescent="0.15"/>
    <row r="7916" customFormat="1" x14ac:dyDescent="0.15"/>
    <row r="7917" customFormat="1" x14ac:dyDescent="0.15"/>
    <row r="7918" customFormat="1" x14ac:dyDescent="0.15"/>
    <row r="7919" customFormat="1" x14ac:dyDescent="0.15"/>
    <row r="7920" customFormat="1" x14ac:dyDescent="0.15"/>
    <row r="7921" customFormat="1" x14ac:dyDescent="0.15"/>
    <row r="7922" customFormat="1" x14ac:dyDescent="0.15"/>
    <row r="7923" customFormat="1" x14ac:dyDescent="0.15"/>
    <row r="7924" customFormat="1" x14ac:dyDescent="0.15"/>
    <row r="7925" customFormat="1" x14ac:dyDescent="0.15"/>
    <row r="7926" customFormat="1" x14ac:dyDescent="0.15"/>
    <row r="7927" customFormat="1" x14ac:dyDescent="0.15"/>
    <row r="7928" customFormat="1" x14ac:dyDescent="0.15"/>
    <row r="7929" customFormat="1" x14ac:dyDescent="0.15"/>
    <row r="7930" customFormat="1" x14ac:dyDescent="0.15"/>
    <row r="7931" customFormat="1" x14ac:dyDescent="0.15"/>
    <row r="7932" customFormat="1" x14ac:dyDescent="0.15"/>
    <row r="7933" customFormat="1" x14ac:dyDescent="0.15"/>
    <row r="7934" customFormat="1" x14ac:dyDescent="0.15"/>
    <row r="7935" customFormat="1" x14ac:dyDescent="0.15"/>
    <row r="7936" customFormat="1" x14ac:dyDescent="0.15"/>
    <row r="7937" customFormat="1" x14ac:dyDescent="0.15"/>
    <row r="7938" customFormat="1" x14ac:dyDescent="0.15"/>
    <row r="7939" customFormat="1" x14ac:dyDescent="0.15"/>
    <row r="7940" customFormat="1" x14ac:dyDescent="0.15"/>
    <row r="7941" customFormat="1" x14ac:dyDescent="0.15"/>
    <row r="7942" customFormat="1" x14ac:dyDescent="0.15"/>
    <row r="7943" customFormat="1" x14ac:dyDescent="0.15"/>
    <row r="7944" customFormat="1" x14ac:dyDescent="0.15"/>
    <row r="7945" customFormat="1" x14ac:dyDescent="0.15"/>
    <row r="7946" customFormat="1" x14ac:dyDescent="0.15"/>
    <row r="7947" customFormat="1" x14ac:dyDescent="0.15"/>
    <row r="7948" customFormat="1" x14ac:dyDescent="0.15"/>
    <row r="7949" customFormat="1" x14ac:dyDescent="0.15"/>
    <row r="7950" customFormat="1" x14ac:dyDescent="0.15"/>
    <row r="7951" customFormat="1" x14ac:dyDescent="0.15"/>
    <row r="7952" customFormat="1" x14ac:dyDescent="0.15"/>
    <row r="7953" customFormat="1" x14ac:dyDescent="0.15"/>
    <row r="7954" customFormat="1" x14ac:dyDescent="0.15"/>
    <row r="7955" customFormat="1" x14ac:dyDescent="0.15"/>
    <row r="7956" customFormat="1" x14ac:dyDescent="0.15"/>
    <row r="7957" customFormat="1" x14ac:dyDescent="0.15"/>
    <row r="7958" customFormat="1" x14ac:dyDescent="0.15"/>
    <row r="7959" customFormat="1" x14ac:dyDescent="0.15"/>
    <row r="7960" customFormat="1" x14ac:dyDescent="0.15"/>
    <row r="7961" customFormat="1" x14ac:dyDescent="0.15"/>
    <row r="7962" customFormat="1" x14ac:dyDescent="0.15"/>
    <row r="7963" customFormat="1" x14ac:dyDescent="0.15"/>
    <row r="7964" customFormat="1" x14ac:dyDescent="0.15"/>
    <row r="7965" customFormat="1" x14ac:dyDescent="0.15"/>
    <row r="7966" customFormat="1" x14ac:dyDescent="0.15"/>
    <row r="7967" customFormat="1" x14ac:dyDescent="0.15"/>
    <row r="7968" customFormat="1" x14ac:dyDescent="0.15"/>
    <row r="7969" customFormat="1" x14ac:dyDescent="0.15"/>
    <row r="7970" customFormat="1" x14ac:dyDescent="0.15"/>
    <row r="7971" customFormat="1" x14ac:dyDescent="0.15"/>
    <row r="7972" customFormat="1" x14ac:dyDescent="0.15"/>
    <row r="7973" customFormat="1" x14ac:dyDescent="0.15"/>
    <row r="7974" customFormat="1" x14ac:dyDescent="0.15"/>
    <row r="7975" customFormat="1" x14ac:dyDescent="0.15"/>
    <row r="7976" customFormat="1" x14ac:dyDescent="0.15"/>
    <row r="7977" customFormat="1" x14ac:dyDescent="0.15"/>
    <row r="7978" customFormat="1" x14ac:dyDescent="0.15"/>
    <row r="7979" customFormat="1" x14ac:dyDescent="0.15"/>
    <row r="7980" customFormat="1" x14ac:dyDescent="0.15"/>
    <row r="7981" customFormat="1" x14ac:dyDescent="0.15"/>
    <row r="7982" customFormat="1" x14ac:dyDescent="0.15"/>
    <row r="7983" customFormat="1" x14ac:dyDescent="0.15"/>
    <row r="7984" customFormat="1" x14ac:dyDescent="0.15"/>
    <row r="7985" customFormat="1" x14ac:dyDescent="0.15"/>
    <row r="7986" customFormat="1" x14ac:dyDescent="0.15"/>
    <row r="7987" customFormat="1" x14ac:dyDescent="0.15"/>
    <row r="7988" customFormat="1" x14ac:dyDescent="0.15"/>
    <row r="7989" customFormat="1" x14ac:dyDescent="0.15"/>
    <row r="7990" customFormat="1" x14ac:dyDescent="0.15"/>
    <row r="7991" customFormat="1" x14ac:dyDescent="0.15"/>
    <row r="7992" customFormat="1" x14ac:dyDescent="0.15"/>
    <row r="7993" customFormat="1" x14ac:dyDescent="0.15"/>
    <row r="7994" customFormat="1" x14ac:dyDescent="0.15"/>
    <row r="7995" customFormat="1" x14ac:dyDescent="0.15"/>
    <row r="7996" customFormat="1" x14ac:dyDescent="0.15"/>
    <row r="7997" customFormat="1" x14ac:dyDescent="0.15"/>
    <row r="7998" customFormat="1" x14ac:dyDescent="0.15"/>
    <row r="7999" customFormat="1" x14ac:dyDescent="0.15"/>
    <row r="8000" customFormat="1" x14ac:dyDescent="0.15"/>
    <row r="8001" customFormat="1" x14ac:dyDescent="0.15"/>
    <row r="8002" customFormat="1" x14ac:dyDescent="0.15"/>
    <row r="8003" customFormat="1" x14ac:dyDescent="0.15"/>
    <row r="8004" customFormat="1" x14ac:dyDescent="0.15"/>
    <row r="8005" customFormat="1" x14ac:dyDescent="0.15"/>
    <row r="8006" customFormat="1" x14ac:dyDescent="0.15"/>
    <row r="8007" customFormat="1" x14ac:dyDescent="0.15"/>
    <row r="8008" customFormat="1" x14ac:dyDescent="0.15"/>
    <row r="8009" customFormat="1" x14ac:dyDescent="0.15"/>
    <row r="8010" customFormat="1" x14ac:dyDescent="0.15"/>
    <row r="8011" customFormat="1" x14ac:dyDescent="0.15"/>
    <row r="8012" customFormat="1" x14ac:dyDescent="0.15"/>
    <row r="8013" customFormat="1" x14ac:dyDescent="0.15"/>
    <row r="8014" customFormat="1" x14ac:dyDescent="0.15"/>
    <row r="8015" customFormat="1" x14ac:dyDescent="0.15"/>
    <row r="8016" customFormat="1" x14ac:dyDescent="0.15"/>
    <row r="8017" customFormat="1" x14ac:dyDescent="0.15"/>
    <row r="8018" customFormat="1" x14ac:dyDescent="0.15"/>
    <row r="8019" customFormat="1" x14ac:dyDescent="0.15"/>
    <row r="8020" customFormat="1" x14ac:dyDescent="0.15"/>
    <row r="8021" customFormat="1" x14ac:dyDescent="0.15"/>
    <row r="8022" customFormat="1" x14ac:dyDescent="0.15"/>
    <row r="8023" customFormat="1" x14ac:dyDescent="0.15"/>
    <row r="8024" customFormat="1" x14ac:dyDescent="0.15"/>
    <row r="8025" customFormat="1" x14ac:dyDescent="0.15"/>
    <row r="8026" customFormat="1" x14ac:dyDescent="0.15"/>
    <row r="8027" customFormat="1" x14ac:dyDescent="0.15"/>
    <row r="8028" customFormat="1" x14ac:dyDescent="0.15"/>
    <row r="8029" customFormat="1" x14ac:dyDescent="0.15"/>
    <row r="8030" customFormat="1" x14ac:dyDescent="0.15"/>
    <row r="8031" customFormat="1" x14ac:dyDescent="0.15"/>
    <row r="8032" customFormat="1" x14ac:dyDescent="0.15"/>
    <row r="8033" customFormat="1" x14ac:dyDescent="0.15"/>
    <row r="8034" customFormat="1" x14ac:dyDescent="0.15"/>
    <row r="8035" customFormat="1" x14ac:dyDescent="0.15"/>
    <row r="8036" customFormat="1" x14ac:dyDescent="0.15"/>
    <row r="8037" customFormat="1" x14ac:dyDescent="0.15"/>
    <row r="8038" customFormat="1" x14ac:dyDescent="0.15"/>
    <row r="8039" customFormat="1" x14ac:dyDescent="0.15"/>
    <row r="8040" customFormat="1" x14ac:dyDescent="0.15"/>
    <row r="8041" customFormat="1" x14ac:dyDescent="0.15"/>
    <row r="8042" customFormat="1" x14ac:dyDescent="0.15"/>
    <row r="8043" customFormat="1" x14ac:dyDescent="0.15"/>
    <row r="8044" customFormat="1" x14ac:dyDescent="0.15"/>
    <row r="8045" customFormat="1" x14ac:dyDescent="0.15"/>
    <row r="8046" customFormat="1" x14ac:dyDescent="0.15"/>
    <row r="8047" customFormat="1" x14ac:dyDescent="0.15"/>
    <row r="8048" customFormat="1" x14ac:dyDescent="0.15"/>
    <row r="8049" customFormat="1" x14ac:dyDescent="0.15"/>
    <row r="8050" customFormat="1" x14ac:dyDescent="0.15"/>
    <row r="8051" customFormat="1" x14ac:dyDescent="0.15"/>
    <row r="8052" customFormat="1" x14ac:dyDescent="0.15"/>
    <row r="8053" customFormat="1" x14ac:dyDescent="0.15"/>
    <row r="8054" customFormat="1" x14ac:dyDescent="0.15"/>
    <row r="8055" customFormat="1" x14ac:dyDescent="0.15"/>
    <row r="8056" customFormat="1" x14ac:dyDescent="0.15"/>
    <row r="8057" customFormat="1" x14ac:dyDescent="0.15"/>
    <row r="8058" customFormat="1" x14ac:dyDescent="0.15"/>
    <row r="8059" customFormat="1" x14ac:dyDescent="0.15"/>
    <row r="8060" customFormat="1" x14ac:dyDescent="0.15"/>
    <row r="8061" customFormat="1" x14ac:dyDescent="0.15"/>
    <row r="8062" customFormat="1" x14ac:dyDescent="0.15"/>
    <row r="8063" customFormat="1" x14ac:dyDescent="0.15"/>
    <row r="8064" customFormat="1" x14ac:dyDescent="0.15"/>
    <row r="8065" customFormat="1" x14ac:dyDescent="0.15"/>
    <row r="8066" customFormat="1" x14ac:dyDescent="0.15"/>
    <row r="8067" customFormat="1" x14ac:dyDescent="0.15"/>
    <row r="8068" customFormat="1" x14ac:dyDescent="0.15"/>
    <row r="8069" customFormat="1" x14ac:dyDescent="0.15"/>
    <row r="8070" customFormat="1" x14ac:dyDescent="0.15"/>
    <row r="8071" customFormat="1" x14ac:dyDescent="0.15"/>
    <row r="8072" customFormat="1" x14ac:dyDescent="0.15"/>
    <row r="8073" customFormat="1" x14ac:dyDescent="0.15"/>
    <row r="8074" customFormat="1" x14ac:dyDescent="0.15"/>
    <row r="8075" customFormat="1" x14ac:dyDescent="0.15"/>
    <row r="8076" customFormat="1" x14ac:dyDescent="0.15"/>
    <row r="8077" customFormat="1" x14ac:dyDescent="0.15"/>
    <row r="8078" customFormat="1" x14ac:dyDescent="0.15"/>
    <row r="8079" customFormat="1" x14ac:dyDescent="0.15"/>
    <row r="8080" customFormat="1" x14ac:dyDescent="0.15"/>
    <row r="8081" customFormat="1" x14ac:dyDescent="0.15"/>
    <row r="8082" customFormat="1" x14ac:dyDescent="0.15"/>
    <row r="8083" customFormat="1" x14ac:dyDescent="0.15"/>
    <row r="8084" customFormat="1" x14ac:dyDescent="0.15"/>
    <row r="8085" customFormat="1" x14ac:dyDescent="0.15"/>
    <row r="8086" customFormat="1" x14ac:dyDescent="0.15"/>
    <row r="8087" customFormat="1" x14ac:dyDescent="0.15"/>
    <row r="8088" customFormat="1" x14ac:dyDescent="0.15"/>
    <row r="8089" customFormat="1" x14ac:dyDescent="0.15"/>
    <row r="8090" customFormat="1" x14ac:dyDescent="0.15"/>
    <row r="8091" customFormat="1" x14ac:dyDescent="0.15"/>
    <row r="8092" customFormat="1" x14ac:dyDescent="0.15"/>
    <row r="8093" customFormat="1" x14ac:dyDescent="0.15"/>
    <row r="8094" customFormat="1" x14ac:dyDescent="0.15"/>
    <row r="8095" customFormat="1" x14ac:dyDescent="0.15"/>
    <row r="8096" customFormat="1" x14ac:dyDescent="0.15"/>
    <row r="8097" customFormat="1" x14ac:dyDescent="0.15"/>
    <row r="8098" customFormat="1" x14ac:dyDescent="0.15"/>
    <row r="8099" customFormat="1" x14ac:dyDescent="0.15"/>
    <row r="8100" customFormat="1" x14ac:dyDescent="0.15"/>
    <row r="8101" customFormat="1" x14ac:dyDescent="0.15"/>
    <row r="8102" customFormat="1" x14ac:dyDescent="0.15"/>
    <row r="8103" customFormat="1" x14ac:dyDescent="0.15"/>
    <row r="8104" customFormat="1" x14ac:dyDescent="0.15"/>
    <row r="8105" customFormat="1" x14ac:dyDescent="0.15"/>
    <row r="8106" customFormat="1" x14ac:dyDescent="0.15"/>
    <row r="8107" customFormat="1" x14ac:dyDescent="0.15"/>
    <row r="8108" customFormat="1" x14ac:dyDescent="0.15"/>
    <row r="8109" customFormat="1" x14ac:dyDescent="0.15"/>
    <row r="8110" customFormat="1" x14ac:dyDescent="0.15"/>
    <row r="8111" customFormat="1" x14ac:dyDescent="0.15"/>
    <row r="8112" customFormat="1" x14ac:dyDescent="0.15"/>
    <row r="8113" customFormat="1" x14ac:dyDescent="0.15"/>
    <row r="8114" customFormat="1" x14ac:dyDescent="0.15"/>
    <row r="8115" customFormat="1" x14ac:dyDescent="0.15"/>
    <row r="8116" customFormat="1" x14ac:dyDescent="0.15"/>
    <row r="8117" customFormat="1" x14ac:dyDescent="0.15"/>
    <row r="8118" customFormat="1" x14ac:dyDescent="0.15"/>
    <row r="8119" customFormat="1" x14ac:dyDescent="0.15"/>
    <row r="8120" customFormat="1" x14ac:dyDescent="0.15"/>
    <row r="8121" customFormat="1" x14ac:dyDescent="0.15"/>
    <row r="8122" customFormat="1" x14ac:dyDescent="0.15"/>
    <row r="8123" customFormat="1" x14ac:dyDescent="0.15"/>
    <row r="8124" customFormat="1" x14ac:dyDescent="0.15"/>
    <row r="8125" customFormat="1" x14ac:dyDescent="0.15"/>
    <row r="8126" customFormat="1" x14ac:dyDescent="0.15"/>
    <row r="8127" customFormat="1" x14ac:dyDescent="0.15"/>
    <row r="8128" customFormat="1" x14ac:dyDescent="0.15"/>
    <row r="8129" customFormat="1" x14ac:dyDescent="0.15"/>
    <row r="8130" customFormat="1" x14ac:dyDescent="0.15"/>
    <row r="8131" customFormat="1" x14ac:dyDescent="0.15"/>
    <row r="8132" customFormat="1" x14ac:dyDescent="0.15"/>
    <row r="8133" customFormat="1" x14ac:dyDescent="0.15"/>
    <row r="8134" customFormat="1" x14ac:dyDescent="0.15"/>
    <row r="8135" customFormat="1" x14ac:dyDescent="0.15"/>
    <row r="8136" customFormat="1" x14ac:dyDescent="0.15"/>
    <row r="8137" customFormat="1" x14ac:dyDescent="0.15"/>
    <row r="8138" customFormat="1" x14ac:dyDescent="0.15"/>
    <row r="8139" customFormat="1" x14ac:dyDescent="0.15"/>
    <row r="8140" customFormat="1" x14ac:dyDescent="0.15"/>
    <row r="8141" customFormat="1" x14ac:dyDescent="0.15"/>
    <row r="8142" customFormat="1" x14ac:dyDescent="0.15"/>
    <row r="8143" customFormat="1" x14ac:dyDescent="0.15"/>
    <row r="8144" customFormat="1" x14ac:dyDescent="0.15"/>
    <row r="8145" customFormat="1" x14ac:dyDescent="0.15"/>
    <row r="8146" customFormat="1" x14ac:dyDescent="0.15"/>
    <row r="8147" customFormat="1" x14ac:dyDescent="0.15"/>
    <row r="8148" customFormat="1" x14ac:dyDescent="0.15"/>
    <row r="8149" customFormat="1" x14ac:dyDescent="0.15"/>
    <row r="8150" customFormat="1" x14ac:dyDescent="0.15"/>
    <row r="8151" customFormat="1" x14ac:dyDescent="0.15"/>
    <row r="8152" customFormat="1" x14ac:dyDescent="0.15"/>
    <row r="8153" customFormat="1" x14ac:dyDescent="0.15"/>
    <row r="8154" customFormat="1" x14ac:dyDescent="0.15"/>
    <row r="8155" customFormat="1" x14ac:dyDescent="0.15"/>
    <row r="8156" customFormat="1" x14ac:dyDescent="0.15"/>
    <row r="8157" customFormat="1" x14ac:dyDescent="0.15"/>
    <row r="8158" customFormat="1" x14ac:dyDescent="0.15"/>
    <row r="8159" customFormat="1" x14ac:dyDescent="0.15"/>
    <row r="8160" customFormat="1" x14ac:dyDescent="0.15"/>
    <row r="8161" customFormat="1" x14ac:dyDescent="0.15"/>
    <row r="8162" customFormat="1" x14ac:dyDescent="0.15"/>
    <row r="8163" customFormat="1" x14ac:dyDescent="0.15"/>
    <row r="8164" customFormat="1" x14ac:dyDescent="0.15"/>
    <row r="8165" customFormat="1" x14ac:dyDescent="0.15"/>
    <row r="8166" customFormat="1" x14ac:dyDescent="0.15"/>
    <row r="8167" customFormat="1" x14ac:dyDescent="0.15"/>
    <row r="8168" customFormat="1" x14ac:dyDescent="0.15"/>
    <row r="8169" customFormat="1" x14ac:dyDescent="0.15"/>
    <row r="8170" customFormat="1" x14ac:dyDescent="0.15"/>
    <row r="8171" customFormat="1" x14ac:dyDescent="0.15"/>
    <row r="8172" customFormat="1" x14ac:dyDescent="0.15"/>
    <row r="8173" customFormat="1" x14ac:dyDescent="0.15"/>
    <row r="8174" customFormat="1" x14ac:dyDescent="0.15"/>
    <row r="8175" customFormat="1" x14ac:dyDescent="0.15"/>
    <row r="8176" customFormat="1" x14ac:dyDescent="0.15"/>
    <row r="8177" customFormat="1" x14ac:dyDescent="0.15"/>
    <row r="8178" customFormat="1" x14ac:dyDescent="0.15"/>
    <row r="8179" customFormat="1" x14ac:dyDescent="0.15"/>
    <row r="8180" customFormat="1" x14ac:dyDescent="0.15"/>
    <row r="8181" customFormat="1" x14ac:dyDescent="0.15"/>
    <row r="8182" customFormat="1" x14ac:dyDescent="0.15"/>
    <row r="8183" customFormat="1" x14ac:dyDescent="0.15"/>
    <row r="8184" customFormat="1" x14ac:dyDescent="0.15"/>
    <row r="8185" customFormat="1" x14ac:dyDescent="0.15"/>
    <row r="8186" customFormat="1" x14ac:dyDescent="0.15"/>
    <row r="8187" customFormat="1" x14ac:dyDescent="0.15"/>
    <row r="8188" customFormat="1" x14ac:dyDescent="0.15"/>
    <row r="8189" customFormat="1" x14ac:dyDescent="0.15"/>
    <row r="8190" customFormat="1" x14ac:dyDescent="0.15"/>
    <row r="8191" customFormat="1" x14ac:dyDescent="0.15"/>
    <row r="8192" customFormat="1" x14ac:dyDescent="0.15"/>
    <row r="8193" customFormat="1" x14ac:dyDescent="0.15"/>
    <row r="8194" customFormat="1" x14ac:dyDescent="0.15"/>
    <row r="8195" customFormat="1" x14ac:dyDescent="0.15"/>
    <row r="8196" customFormat="1" x14ac:dyDescent="0.15"/>
    <row r="8197" customFormat="1" x14ac:dyDescent="0.15"/>
    <row r="8198" customFormat="1" x14ac:dyDescent="0.15"/>
    <row r="8199" customFormat="1" x14ac:dyDescent="0.15"/>
    <row r="8200" customFormat="1" x14ac:dyDescent="0.15"/>
    <row r="8201" customFormat="1" x14ac:dyDescent="0.15"/>
    <row r="8202" customFormat="1" x14ac:dyDescent="0.15"/>
    <row r="8203" customFormat="1" x14ac:dyDescent="0.15"/>
    <row r="8204" customFormat="1" x14ac:dyDescent="0.15"/>
    <row r="8205" customFormat="1" x14ac:dyDescent="0.15"/>
    <row r="8206" customFormat="1" x14ac:dyDescent="0.15"/>
    <row r="8207" customFormat="1" x14ac:dyDescent="0.15"/>
    <row r="8208" customFormat="1" x14ac:dyDescent="0.15"/>
    <row r="8209" customFormat="1" x14ac:dyDescent="0.15"/>
    <row r="8210" customFormat="1" x14ac:dyDescent="0.15"/>
    <row r="8211" customFormat="1" x14ac:dyDescent="0.15"/>
    <row r="8212" customFormat="1" x14ac:dyDescent="0.15"/>
    <row r="8213" customFormat="1" x14ac:dyDescent="0.15"/>
    <row r="8214" customFormat="1" x14ac:dyDescent="0.15"/>
    <row r="8215" customFormat="1" x14ac:dyDescent="0.15"/>
    <row r="8216" customFormat="1" x14ac:dyDescent="0.15"/>
    <row r="8217" customFormat="1" x14ac:dyDescent="0.15"/>
    <row r="8218" customFormat="1" x14ac:dyDescent="0.15"/>
    <row r="8219" customFormat="1" x14ac:dyDescent="0.15"/>
    <row r="8220" customFormat="1" x14ac:dyDescent="0.15"/>
    <row r="8221" customFormat="1" x14ac:dyDescent="0.15"/>
    <row r="8222" customFormat="1" x14ac:dyDescent="0.15"/>
    <row r="8223" customFormat="1" x14ac:dyDescent="0.15"/>
    <row r="8224" customFormat="1" x14ac:dyDescent="0.15"/>
    <row r="8225" customFormat="1" x14ac:dyDescent="0.15"/>
    <row r="8226" customFormat="1" x14ac:dyDescent="0.15"/>
    <row r="8227" customFormat="1" x14ac:dyDescent="0.15"/>
    <row r="8228" customFormat="1" x14ac:dyDescent="0.15"/>
    <row r="8229" customFormat="1" x14ac:dyDescent="0.15"/>
    <row r="8230" customFormat="1" x14ac:dyDescent="0.15"/>
    <row r="8231" customFormat="1" x14ac:dyDescent="0.15"/>
    <row r="8232" customFormat="1" x14ac:dyDescent="0.15"/>
    <row r="8233" customFormat="1" x14ac:dyDescent="0.15"/>
    <row r="8234" customFormat="1" x14ac:dyDescent="0.15"/>
    <row r="8235" customFormat="1" x14ac:dyDescent="0.15"/>
    <row r="8236" customFormat="1" x14ac:dyDescent="0.15"/>
    <row r="8237" customFormat="1" x14ac:dyDescent="0.15"/>
    <row r="8238" customFormat="1" x14ac:dyDescent="0.15"/>
    <row r="8239" customFormat="1" x14ac:dyDescent="0.15"/>
    <row r="8240" customFormat="1" x14ac:dyDescent="0.15"/>
    <row r="8241" customFormat="1" x14ac:dyDescent="0.15"/>
    <row r="8242" customFormat="1" x14ac:dyDescent="0.15"/>
    <row r="8243" customFormat="1" x14ac:dyDescent="0.15"/>
    <row r="8244" customFormat="1" x14ac:dyDescent="0.15"/>
    <row r="8245" customFormat="1" x14ac:dyDescent="0.15"/>
    <row r="8246" customFormat="1" x14ac:dyDescent="0.15"/>
    <row r="8247" customFormat="1" x14ac:dyDescent="0.15"/>
    <row r="8248" customFormat="1" x14ac:dyDescent="0.15"/>
    <row r="8249" customFormat="1" x14ac:dyDescent="0.15"/>
    <row r="8250" customFormat="1" x14ac:dyDescent="0.15"/>
    <row r="8251" customFormat="1" x14ac:dyDescent="0.15"/>
    <row r="8252" customFormat="1" x14ac:dyDescent="0.15"/>
    <row r="8253" customFormat="1" x14ac:dyDescent="0.15"/>
    <row r="8254" customFormat="1" x14ac:dyDescent="0.15"/>
    <row r="8255" customFormat="1" x14ac:dyDescent="0.15"/>
    <row r="8256" customFormat="1" x14ac:dyDescent="0.15"/>
    <row r="8257" customFormat="1" x14ac:dyDescent="0.15"/>
    <row r="8258" customFormat="1" x14ac:dyDescent="0.15"/>
    <row r="8259" customFormat="1" x14ac:dyDescent="0.15"/>
    <row r="8260" customFormat="1" x14ac:dyDescent="0.15"/>
    <row r="8261" customFormat="1" x14ac:dyDescent="0.15"/>
    <row r="8262" customFormat="1" x14ac:dyDescent="0.15"/>
    <row r="8263" customFormat="1" x14ac:dyDescent="0.15"/>
    <row r="8264" customFormat="1" x14ac:dyDescent="0.15"/>
    <row r="8265" customFormat="1" x14ac:dyDescent="0.15"/>
    <row r="8266" customFormat="1" x14ac:dyDescent="0.15"/>
    <row r="8267" customFormat="1" x14ac:dyDescent="0.15"/>
    <row r="8268" customFormat="1" x14ac:dyDescent="0.15"/>
    <row r="8269" customFormat="1" x14ac:dyDescent="0.15"/>
    <row r="8270" customFormat="1" x14ac:dyDescent="0.15"/>
    <row r="8271" customFormat="1" x14ac:dyDescent="0.15"/>
    <row r="8272" customFormat="1" x14ac:dyDescent="0.15"/>
    <row r="8273" customFormat="1" x14ac:dyDescent="0.15"/>
    <row r="8274" customFormat="1" x14ac:dyDescent="0.15"/>
    <row r="8275" customFormat="1" x14ac:dyDescent="0.15"/>
    <row r="8276" customFormat="1" x14ac:dyDescent="0.15"/>
    <row r="8277" customFormat="1" x14ac:dyDescent="0.15"/>
    <row r="8278" customFormat="1" x14ac:dyDescent="0.15"/>
    <row r="8279" customFormat="1" x14ac:dyDescent="0.15"/>
    <row r="8280" customFormat="1" x14ac:dyDescent="0.15"/>
    <row r="8281" customFormat="1" x14ac:dyDescent="0.15"/>
    <row r="8282" customFormat="1" x14ac:dyDescent="0.15"/>
    <row r="8283" customFormat="1" x14ac:dyDescent="0.15"/>
    <row r="8284" customFormat="1" x14ac:dyDescent="0.15"/>
    <row r="8285" customFormat="1" x14ac:dyDescent="0.15"/>
    <row r="8286" customFormat="1" x14ac:dyDescent="0.15"/>
    <row r="8287" customFormat="1" x14ac:dyDescent="0.15"/>
    <row r="8288" customFormat="1" x14ac:dyDescent="0.15"/>
    <row r="8289" customFormat="1" x14ac:dyDescent="0.15"/>
    <row r="8290" customFormat="1" x14ac:dyDescent="0.15"/>
    <row r="8291" customFormat="1" x14ac:dyDescent="0.15"/>
    <row r="8292" customFormat="1" x14ac:dyDescent="0.15"/>
    <row r="8293" customFormat="1" x14ac:dyDescent="0.15"/>
    <row r="8294" customFormat="1" x14ac:dyDescent="0.15"/>
    <row r="8295" customFormat="1" x14ac:dyDescent="0.15"/>
    <row r="8296" customFormat="1" x14ac:dyDescent="0.15"/>
    <row r="8297" customFormat="1" x14ac:dyDescent="0.15"/>
    <row r="8298" customFormat="1" x14ac:dyDescent="0.15"/>
    <row r="8299" customFormat="1" x14ac:dyDescent="0.15"/>
    <row r="8300" customFormat="1" x14ac:dyDescent="0.15"/>
    <row r="8301" customFormat="1" x14ac:dyDescent="0.15"/>
    <row r="8302" customFormat="1" x14ac:dyDescent="0.15"/>
    <row r="8303" customFormat="1" x14ac:dyDescent="0.15"/>
    <row r="8304" customFormat="1" x14ac:dyDescent="0.15"/>
    <row r="8305" customFormat="1" x14ac:dyDescent="0.15"/>
    <row r="8306" customFormat="1" x14ac:dyDescent="0.15"/>
    <row r="8307" customFormat="1" x14ac:dyDescent="0.15"/>
    <row r="8308" customFormat="1" x14ac:dyDescent="0.15"/>
    <row r="8309" customFormat="1" x14ac:dyDescent="0.15"/>
    <row r="8310" customFormat="1" x14ac:dyDescent="0.15"/>
    <row r="8311" customFormat="1" x14ac:dyDescent="0.15"/>
    <row r="8312" customFormat="1" x14ac:dyDescent="0.15"/>
    <row r="8313" customFormat="1" x14ac:dyDescent="0.15"/>
    <row r="8314" customFormat="1" x14ac:dyDescent="0.15"/>
    <row r="8315" customFormat="1" x14ac:dyDescent="0.15"/>
    <row r="8316" customFormat="1" x14ac:dyDescent="0.15"/>
    <row r="8317" customFormat="1" x14ac:dyDescent="0.15"/>
    <row r="8318" customFormat="1" x14ac:dyDescent="0.15"/>
    <row r="8319" customFormat="1" x14ac:dyDescent="0.15"/>
    <row r="8320" customFormat="1" x14ac:dyDescent="0.15"/>
    <row r="8321" customFormat="1" x14ac:dyDescent="0.15"/>
    <row r="8322" customFormat="1" x14ac:dyDescent="0.15"/>
    <row r="8323" customFormat="1" x14ac:dyDescent="0.15"/>
    <row r="8324" customFormat="1" x14ac:dyDescent="0.15"/>
    <row r="8325" customFormat="1" x14ac:dyDescent="0.15"/>
    <row r="8326" customFormat="1" x14ac:dyDescent="0.15"/>
    <row r="8327" customFormat="1" x14ac:dyDescent="0.15"/>
    <row r="8328" customFormat="1" x14ac:dyDescent="0.15"/>
    <row r="8329" customFormat="1" x14ac:dyDescent="0.15"/>
    <row r="8330" customFormat="1" x14ac:dyDescent="0.15"/>
    <row r="8331" customFormat="1" x14ac:dyDescent="0.15"/>
    <row r="8332" customFormat="1" x14ac:dyDescent="0.15"/>
    <row r="8333" customFormat="1" x14ac:dyDescent="0.15"/>
    <row r="8334" customFormat="1" x14ac:dyDescent="0.15"/>
    <row r="8335" customFormat="1" x14ac:dyDescent="0.15"/>
    <row r="8336" customFormat="1" x14ac:dyDescent="0.15"/>
    <row r="8337" customFormat="1" x14ac:dyDescent="0.15"/>
    <row r="8338" customFormat="1" x14ac:dyDescent="0.15"/>
    <row r="8339" customFormat="1" x14ac:dyDescent="0.15"/>
    <row r="8340" customFormat="1" x14ac:dyDescent="0.15"/>
    <row r="8341" customFormat="1" x14ac:dyDescent="0.15"/>
    <row r="8342" customFormat="1" x14ac:dyDescent="0.15"/>
    <row r="8343" customFormat="1" x14ac:dyDescent="0.15"/>
    <row r="8344" customFormat="1" x14ac:dyDescent="0.15"/>
    <row r="8345" customFormat="1" x14ac:dyDescent="0.15"/>
    <row r="8346" customFormat="1" x14ac:dyDescent="0.15"/>
    <row r="8347" customFormat="1" x14ac:dyDescent="0.15"/>
    <row r="8348" customFormat="1" x14ac:dyDescent="0.15"/>
    <row r="8349" customFormat="1" x14ac:dyDescent="0.15"/>
    <row r="8350" customFormat="1" x14ac:dyDescent="0.15"/>
    <row r="8351" customFormat="1" x14ac:dyDescent="0.15"/>
    <row r="8352" customFormat="1" x14ac:dyDescent="0.15"/>
    <row r="8353" customFormat="1" x14ac:dyDescent="0.15"/>
    <row r="8354" customFormat="1" x14ac:dyDescent="0.15"/>
    <row r="8355" customFormat="1" x14ac:dyDescent="0.15"/>
    <row r="8356" customFormat="1" x14ac:dyDescent="0.15"/>
    <row r="8357" customFormat="1" x14ac:dyDescent="0.15"/>
    <row r="8358" customFormat="1" x14ac:dyDescent="0.15"/>
    <row r="8359" customFormat="1" x14ac:dyDescent="0.15"/>
    <row r="8360" customFormat="1" x14ac:dyDescent="0.15"/>
    <row r="8361" customFormat="1" x14ac:dyDescent="0.15"/>
    <row r="8362" customFormat="1" x14ac:dyDescent="0.15"/>
    <row r="8363" customFormat="1" x14ac:dyDescent="0.15"/>
    <row r="8364" customFormat="1" x14ac:dyDescent="0.15"/>
    <row r="8365" customFormat="1" x14ac:dyDescent="0.15"/>
    <row r="8366" customFormat="1" x14ac:dyDescent="0.15"/>
    <row r="8367" customFormat="1" x14ac:dyDescent="0.15"/>
    <row r="8368" customFormat="1" x14ac:dyDescent="0.15"/>
    <row r="8369" customFormat="1" x14ac:dyDescent="0.15"/>
    <row r="8370" customFormat="1" x14ac:dyDescent="0.15"/>
    <row r="8371" customFormat="1" x14ac:dyDescent="0.15"/>
    <row r="8372" customFormat="1" x14ac:dyDescent="0.15"/>
    <row r="8373" customFormat="1" x14ac:dyDescent="0.15"/>
    <row r="8374" customFormat="1" x14ac:dyDescent="0.15"/>
    <row r="8375" customFormat="1" x14ac:dyDescent="0.15"/>
    <row r="8376" customFormat="1" x14ac:dyDescent="0.15"/>
    <row r="8377" customFormat="1" x14ac:dyDescent="0.15"/>
    <row r="8378" customFormat="1" x14ac:dyDescent="0.15"/>
    <row r="8379" customFormat="1" x14ac:dyDescent="0.15"/>
    <row r="8380" customFormat="1" x14ac:dyDescent="0.15"/>
    <row r="8381" customFormat="1" x14ac:dyDescent="0.15"/>
    <row r="8382" customFormat="1" x14ac:dyDescent="0.15"/>
    <row r="8383" customFormat="1" x14ac:dyDescent="0.15"/>
    <row r="8384" customFormat="1" x14ac:dyDescent="0.15"/>
    <row r="8385" customFormat="1" x14ac:dyDescent="0.15"/>
    <row r="8386" customFormat="1" x14ac:dyDescent="0.15"/>
    <row r="8387" customFormat="1" x14ac:dyDescent="0.15"/>
    <row r="8388" customFormat="1" x14ac:dyDescent="0.15"/>
    <row r="8389" customFormat="1" x14ac:dyDescent="0.15"/>
    <row r="8390" customFormat="1" x14ac:dyDescent="0.15"/>
    <row r="8391" customFormat="1" x14ac:dyDescent="0.15"/>
    <row r="8392" customFormat="1" x14ac:dyDescent="0.15"/>
    <row r="8393" customFormat="1" x14ac:dyDescent="0.15"/>
    <row r="8394" customFormat="1" x14ac:dyDescent="0.15"/>
    <row r="8395" customFormat="1" x14ac:dyDescent="0.15"/>
    <row r="8396" customFormat="1" x14ac:dyDescent="0.15"/>
    <row r="8397" customFormat="1" x14ac:dyDescent="0.15"/>
    <row r="8398" customFormat="1" x14ac:dyDescent="0.15"/>
    <row r="8399" customFormat="1" x14ac:dyDescent="0.15"/>
    <row r="8400" customFormat="1" x14ac:dyDescent="0.15"/>
    <row r="8401" customFormat="1" x14ac:dyDescent="0.15"/>
    <row r="8402" customFormat="1" x14ac:dyDescent="0.15"/>
    <row r="8403" customFormat="1" x14ac:dyDescent="0.15"/>
    <row r="8404" customFormat="1" x14ac:dyDescent="0.15"/>
    <row r="8405" customFormat="1" x14ac:dyDescent="0.15"/>
    <row r="8406" customFormat="1" x14ac:dyDescent="0.15"/>
    <row r="8407" customFormat="1" x14ac:dyDescent="0.15"/>
    <row r="8408" customFormat="1" x14ac:dyDescent="0.15"/>
    <row r="8409" customFormat="1" x14ac:dyDescent="0.15"/>
    <row r="8410" customFormat="1" x14ac:dyDescent="0.15"/>
    <row r="8411" customFormat="1" x14ac:dyDescent="0.15"/>
    <row r="8412" customFormat="1" x14ac:dyDescent="0.15"/>
    <row r="8413" customFormat="1" x14ac:dyDescent="0.15"/>
    <row r="8414" customFormat="1" x14ac:dyDescent="0.15"/>
    <row r="8415" customFormat="1" x14ac:dyDescent="0.15"/>
    <row r="8416" customFormat="1" x14ac:dyDescent="0.15"/>
    <row r="8417" customFormat="1" x14ac:dyDescent="0.15"/>
    <row r="8418" customFormat="1" x14ac:dyDescent="0.15"/>
    <row r="8419" customFormat="1" x14ac:dyDescent="0.15"/>
    <row r="8420" customFormat="1" x14ac:dyDescent="0.15"/>
    <row r="8421" customFormat="1" x14ac:dyDescent="0.15"/>
    <row r="8422" customFormat="1" x14ac:dyDescent="0.15"/>
    <row r="8423" customFormat="1" x14ac:dyDescent="0.15"/>
    <row r="8424" customFormat="1" x14ac:dyDescent="0.15"/>
    <row r="8425" customFormat="1" x14ac:dyDescent="0.15"/>
    <row r="8426" customFormat="1" x14ac:dyDescent="0.15"/>
    <row r="8427" customFormat="1" x14ac:dyDescent="0.15"/>
    <row r="8428" customFormat="1" x14ac:dyDescent="0.15"/>
    <row r="8429" customFormat="1" x14ac:dyDescent="0.15"/>
    <row r="8430" customFormat="1" x14ac:dyDescent="0.15"/>
    <row r="8431" customFormat="1" x14ac:dyDescent="0.15"/>
    <row r="8432" customFormat="1" x14ac:dyDescent="0.15"/>
    <row r="8433" customFormat="1" x14ac:dyDescent="0.15"/>
    <row r="8434" customFormat="1" x14ac:dyDescent="0.15"/>
    <row r="8435" customFormat="1" x14ac:dyDescent="0.15"/>
    <row r="8436" customFormat="1" x14ac:dyDescent="0.15"/>
    <row r="8437" customFormat="1" x14ac:dyDescent="0.15"/>
    <row r="8438" customFormat="1" x14ac:dyDescent="0.15"/>
    <row r="8439" customFormat="1" x14ac:dyDescent="0.15"/>
    <row r="8440" customFormat="1" x14ac:dyDescent="0.15"/>
    <row r="8441" customFormat="1" x14ac:dyDescent="0.15"/>
    <row r="8442" customFormat="1" x14ac:dyDescent="0.15"/>
    <row r="8443" customFormat="1" x14ac:dyDescent="0.15"/>
    <row r="8444" customFormat="1" x14ac:dyDescent="0.15"/>
    <row r="8445" customFormat="1" x14ac:dyDescent="0.15"/>
    <row r="8446" customFormat="1" x14ac:dyDescent="0.15"/>
    <row r="8447" customFormat="1" x14ac:dyDescent="0.15"/>
    <row r="8448" customFormat="1" x14ac:dyDescent="0.15"/>
    <row r="8449" customFormat="1" x14ac:dyDescent="0.15"/>
    <row r="8450" customFormat="1" x14ac:dyDescent="0.15"/>
    <row r="8451" customFormat="1" x14ac:dyDescent="0.15"/>
    <row r="8452" customFormat="1" x14ac:dyDescent="0.15"/>
    <row r="8453" customFormat="1" x14ac:dyDescent="0.15"/>
    <row r="8454" customFormat="1" x14ac:dyDescent="0.15"/>
    <row r="8455" customFormat="1" x14ac:dyDescent="0.15"/>
    <row r="8456" customFormat="1" x14ac:dyDescent="0.15"/>
    <row r="8457" customFormat="1" x14ac:dyDescent="0.15"/>
    <row r="8458" customFormat="1" x14ac:dyDescent="0.15"/>
    <row r="8459" customFormat="1" x14ac:dyDescent="0.15"/>
    <row r="8460" customFormat="1" x14ac:dyDescent="0.15"/>
    <row r="8461" customFormat="1" x14ac:dyDescent="0.15"/>
    <row r="8462" customFormat="1" x14ac:dyDescent="0.15"/>
    <row r="8463" customFormat="1" x14ac:dyDescent="0.15"/>
    <row r="8464" customFormat="1" x14ac:dyDescent="0.15"/>
    <row r="8465" customFormat="1" x14ac:dyDescent="0.15"/>
    <row r="8466" customFormat="1" x14ac:dyDescent="0.15"/>
    <row r="8467" customFormat="1" x14ac:dyDescent="0.15"/>
    <row r="8468" customFormat="1" x14ac:dyDescent="0.15"/>
    <row r="8469" customFormat="1" x14ac:dyDescent="0.15"/>
    <row r="8470" customFormat="1" x14ac:dyDescent="0.15"/>
    <row r="8471" customFormat="1" x14ac:dyDescent="0.15"/>
    <row r="8472" customFormat="1" x14ac:dyDescent="0.15"/>
    <row r="8473" customFormat="1" x14ac:dyDescent="0.15"/>
    <row r="8474" customFormat="1" x14ac:dyDescent="0.15"/>
    <row r="8475" customFormat="1" x14ac:dyDescent="0.15"/>
    <row r="8476" customFormat="1" x14ac:dyDescent="0.15"/>
    <row r="8477" customFormat="1" x14ac:dyDescent="0.15"/>
    <row r="8478" customFormat="1" x14ac:dyDescent="0.15"/>
    <row r="8479" customFormat="1" x14ac:dyDescent="0.15"/>
    <row r="8480" customFormat="1" x14ac:dyDescent="0.15"/>
    <row r="8481" customFormat="1" x14ac:dyDescent="0.15"/>
    <row r="8482" customFormat="1" x14ac:dyDescent="0.15"/>
    <row r="8483" customFormat="1" x14ac:dyDescent="0.15"/>
    <row r="8484" customFormat="1" x14ac:dyDescent="0.15"/>
    <row r="8485" customFormat="1" x14ac:dyDescent="0.15"/>
    <row r="8486" customFormat="1" x14ac:dyDescent="0.15"/>
    <row r="8487" customFormat="1" x14ac:dyDescent="0.15"/>
    <row r="8488" customFormat="1" x14ac:dyDescent="0.15"/>
    <row r="8489" customFormat="1" x14ac:dyDescent="0.15"/>
    <row r="8490" customFormat="1" x14ac:dyDescent="0.15"/>
    <row r="8491" customFormat="1" x14ac:dyDescent="0.15"/>
    <row r="8492" customFormat="1" x14ac:dyDescent="0.15"/>
    <row r="8493" customFormat="1" x14ac:dyDescent="0.15"/>
    <row r="8494" customFormat="1" x14ac:dyDescent="0.15"/>
    <row r="8495" customFormat="1" x14ac:dyDescent="0.15"/>
    <row r="8496" customFormat="1" x14ac:dyDescent="0.15"/>
    <row r="8497" customFormat="1" x14ac:dyDescent="0.15"/>
    <row r="8498" customFormat="1" x14ac:dyDescent="0.15"/>
    <row r="8499" customFormat="1" x14ac:dyDescent="0.15"/>
    <row r="8500" customFormat="1" x14ac:dyDescent="0.15"/>
    <row r="8501" customFormat="1" x14ac:dyDescent="0.15"/>
    <row r="8502" customFormat="1" x14ac:dyDescent="0.15"/>
    <row r="8503" customFormat="1" x14ac:dyDescent="0.15"/>
    <row r="8504" customFormat="1" x14ac:dyDescent="0.15"/>
    <row r="8505" customFormat="1" x14ac:dyDescent="0.15"/>
    <row r="8506" customFormat="1" x14ac:dyDescent="0.15"/>
    <row r="8507" customFormat="1" x14ac:dyDescent="0.15"/>
    <row r="8508" customFormat="1" x14ac:dyDescent="0.15"/>
    <row r="8509" customFormat="1" x14ac:dyDescent="0.15"/>
    <row r="8510" customFormat="1" x14ac:dyDescent="0.15"/>
    <row r="8511" customFormat="1" x14ac:dyDescent="0.15"/>
    <row r="8512" customFormat="1" x14ac:dyDescent="0.15"/>
    <row r="8513" customFormat="1" x14ac:dyDescent="0.15"/>
    <row r="8514" customFormat="1" x14ac:dyDescent="0.15"/>
    <row r="8515" customFormat="1" x14ac:dyDescent="0.15"/>
    <row r="8516" customFormat="1" x14ac:dyDescent="0.15"/>
    <row r="8517" customFormat="1" x14ac:dyDescent="0.15"/>
    <row r="8518" customFormat="1" x14ac:dyDescent="0.15"/>
    <row r="8519" customFormat="1" x14ac:dyDescent="0.15"/>
    <row r="8520" customFormat="1" x14ac:dyDescent="0.15"/>
    <row r="8521" customFormat="1" x14ac:dyDescent="0.15"/>
    <row r="8522" customFormat="1" x14ac:dyDescent="0.15"/>
    <row r="8523" customFormat="1" x14ac:dyDescent="0.15"/>
    <row r="8524" customFormat="1" x14ac:dyDescent="0.15"/>
    <row r="8525" customFormat="1" x14ac:dyDescent="0.15"/>
    <row r="8526" customFormat="1" x14ac:dyDescent="0.15"/>
    <row r="8527" customFormat="1" x14ac:dyDescent="0.15"/>
    <row r="8528" customFormat="1" x14ac:dyDescent="0.15"/>
    <row r="8529" customFormat="1" x14ac:dyDescent="0.15"/>
    <row r="8530" customFormat="1" x14ac:dyDescent="0.15"/>
    <row r="8531" customFormat="1" x14ac:dyDescent="0.15"/>
    <row r="8532" customFormat="1" x14ac:dyDescent="0.15"/>
    <row r="8533" customFormat="1" x14ac:dyDescent="0.15"/>
    <row r="8534" customFormat="1" x14ac:dyDescent="0.15"/>
    <row r="8535" customFormat="1" x14ac:dyDescent="0.15"/>
    <row r="8536" customFormat="1" x14ac:dyDescent="0.15"/>
    <row r="8537" customFormat="1" x14ac:dyDescent="0.15"/>
    <row r="8538" customFormat="1" x14ac:dyDescent="0.15"/>
    <row r="8539" customFormat="1" x14ac:dyDescent="0.15"/>
    <row r="8540" customFormat="1" x14ac:dyDescent="0.15"/>
    <row r="8541" customFormat="1" x14ac:dyDescent="0.15"/>
    <row r="8542" customFormat="1" x14ac:dyDescent="0.15"/>
    <row r="8543" customFormat="1" x14ac:dyDescent="0.15"/>
    <row r="8544" customFormat="1" x14ac:dyDescent="0.15"/>
    <row r="8545" customFormat="1" x14ac:dyDescent="0.15"/>
    <row r="8546" customFormat="1" x14ac:dyDescent="0.15"/>
    <row r="8547" customFormat="1" x14ac:dyDescent="0.15"/>
    <row r="8548" customFormat="1" x14ac:dyDescent="0.15"/>
    <row r="8549" customFormat="1" x14ac:dyDescent="0.15"/>
    <row r="8550" customFormat="1" x14ac:dyDescent="0.15"/>
    <row r="8551" customFormat="1" x14ac:dyDescent="0.15"/>
    <row r="8552" customFormat="1" x14ac:dyDescent="0.15"/>
    <row r="8553" customFormat="1" x14ac:dyDescent="0.15"/>
    <row r="8554" customFormat="1" x14ac:dyDescent="0.15"/>
    <row r="8555" customFormat="1" x14ac:dyDescent="0.15"/>
    <row r="8556" customFormat="1" x14ac:dyDescent="0.15"/>
    <row r="8557" customFormat="1" x14ac:dyDescent="0.15"/>
    <row r="8558" customFormat="1" x14ac:dyDescent="0.15"/>
    <row r="8559" customFormat="1" x14ac:dyDescent="0.15"/>
    <row r="8560" customFormat="1" x14ac:dyDescent="0.15"/>
    <row r="8561" customFormat="1" x14ac:dyDescent="0.15"/>
    <row r="8562" customFormat="1" x14ac:dyDescent="0.15"/>
    <row r="8563" customFormat="1" x14ac:dyDescent="0.15"/>
    <row r="8564" customFormat="1" x14ac:dyDescent="0.15"/>
    <row r="8565" customFormat="1" x14ac:dyDescent="0.15"/>
    <row r="8566" customFormat="1" x14ac:dyDescent="0.15"/>
    <row r="8567" customFormat="1" x14ac:dyDescent="0.15"/>
    <row r="8568" customFormat="1" x14ac:dyDescent="0.15"/>
    <row r="8569" customFormat="1" x14ac:dyDescent="0.15"/>
    <row r="8570" customFormat="1" x14ac:dyDescent="0.15"/>
    <row r="8571" customFormat="1" x14ac:dyDescent="0.15"/>
    <row r="8572" customFormat="1" x14ac:dyDescent="0.15"/>
    <row r="8573" customFormat="1" x14ac:dyDescent="0.15"/>
    <row r="8574" customFormat="1" x14ac:dyDescent="0.15"/>
    <row r="8575" customFormat="1" x14ac:dyDescent="0.15"/>
    <row r="8576" customFormat="1" x14ac:dyDescent="0.15"/>
    <row r="8577" customFormat="1" x14ac:dyDescent="0.15"/>
    <row r="8578" customFormat="1" x14ac:dyDescent="0.15"/>
    <row r="8579" customFormat="1" x14ac:dyDescent="0.15"/>
    <row r="8580" customFormat="1" x14ac:dyDescent="0.15"/>
    <row r="8581" customFormat="1" x14ac:dyDescent="0.15"/>
    <row r="8582" customFormat="1" x14ac:dyDescent="0.15"/>
    <row r="8583" customFormat="1" x14ac:dyDescent="0.15"/>
    <row r="8584" customFormat="1" x14ac:dyDescent="0.15"/>
    <row r="8585" customFormat="1" x14ac:dyDescent="0.15"/>
    <row r="8586" customFormat="1" x14ac:dyDescent="0.15"/>
    <row r="8587" customFormat="1" x14ac:dyDescent="0.15"/>
    <row r="8588" customFormat="1" x14ac:dyDescent="0.15"/>
    <row r="8589" customFormat="1" x14ac:dyDescent="0.15"/>
    <row r="8590" customFormat="1" x14ac:dyDescent="0.15"/>
    <row r="8591" customFormat="1" x14ac:dyDescent="0.15"/>
    <row r="8592" customFormat="1" x14ac:dyDescent="0.15"/>
    <row r="8593" customFormat="1" x14ac:dyDescent="0.15"/>
    <row r="8594" customFormat="1" x14ac:dyDescent="0.15"/>
    <row r="8595" customFormat="1" x14ac:dyDescent="0.15"/>
    <row r="8596" customFormat="1" x14ac:dyDescent="0.15"/>
    <row r="8597" customFormat="1" x14ac:dyDescent="0.15"/>
    <row r="8598" customFormat="1" x14ac:dyDescent="0.15"/>
    <row r="8599" customFormat="1" x14ac:dyDescent="0.15"/>
    <row r="8600" customFormat="1" x14ac:dyDescent="0.15"/>
    <row r="8601" customFormat="1" x14ac:dyDescent="0.15"/>
    <row r="8602" customFormat="1" x14ac:dyDescent="0.15"/>
    <row r="8603" customFormat="1" x14ac:dyDescent="0.15"/>
    <row r="8604" customFormat="1" x14ac:dyDescent="0.15"/>
    <row r="8605" customFormat="1" x14ac:dyDescent="0.15"/>
    <row r="8606" customFormat="1" x14ac:dyDescent="0.15"/>
    <row r="8607" customFormat="1" x14ac:dyDescent="0.15"/>
    <row r="8608" customFormat="1" x14ac:dyDescent="0.15"/>
    <row r="8609" customFormat="1" x14ac:dyDescent="0.15"/>
    <row r="8610" customFormat="1" x14ac:dyDescent="0.15"/>
    <row r="8611" customFormat="1" x14ac:dyDescent="0.15"/>
    <row r="8612" customFormat="1" x14ac:dyDescent="0.15"/>
    <row r="8613" customFormat="1" x14ac:dyDescent="0.15"/>
    <row r="8614" customFormat="1" x14ac:dyDescent="0.15"/>
    <row r="8615" customFormat="1" x14ac:dyDescent="0.15"/>
    <row r="8616" customFormat="1" x14ac:dyDescent="0.15"/>
    <row r="8617" customFormat="1" x14ac:dyDescent="0.15"/>
    <row r="8618" customFormat="1" x14ac:dyDescent="0.15"/>
    <row r="8619" customFormat="1" x14ac:dyDescent="0.15"/>
    <row r="8620" customFormat="1" x14ac:dyDescent="0.15"/>
    <row r="8621" customFormat="1" x14ac:dyDescent="0.15"/>
    <row r="8622" customFormat="1" x14ac:dyDescent="0.15"/>
    <row r="8623" customFormat="1" x14ac:dyDescent="0.15"/>
    <row r="8624" customFormat="1" x14ac:dyDescent="0.15"/>
    <row r="8625" customFormat="1" x14ac:dyDescent="0.15"/>
    <row r="8626" customFormat="1" x14ac:dyDescent="0.15"/>
    <row r="8627" customFormat="1" x14ac:dyDescent="0.15"/>
    <row r="8628" customFormat="1" x14ac:dyDescent="0.15"/>
    <row r="8629" customFormat="1" x14ac:dyDescent="0.15"/>
    <row r="8630" customFormat="1" x14ac:dyDescent="0.15"/>
    <row r="8631" customFormat="1" x14ac:dyDescent="0.15"/>
    <row r="8632" customFormat="1" x14ac:dyDescent="0.15"/>
    <row r="8633" customFormat="1" x14ac:dyDescent="0.15"/>
    <row r="8634" customFormat="1" x14ac:dyDescent="0.15"/>
    <row r="8635" customFormat="1" x14ac:dyDescent="0.15"/>
    <row r="8636" customFormat="1" x14ac:dyDescent="0.15"/>
    <row r="8637" customFormat="1" x14ac:dyDescent="0.15"/>
    <row r="8638" customFormat="1" x14ac:dyDescent="0.15"/>
    <row r="8639" customFormat="1" x14ac:dyDescent="0.15"/>
    <row r="8640" customFormat="1" x14ac:dyDescent="0.15"/>
    <row r="8641" customFormat="1" x14ac:dyDescent="0.15"/>
    <row r="8642" customFormat="1" x14ac:dyDescent="0.15"/>
    <row r="8643" customFormat="1" x14ac:dyDescent="0.15"/>
    <row r="8644" customFormat="1" x14ac:dyDescent="0.15"/>
    <row r="8645" customFormat="1" x14ac:dyDescent="0.15"/>
    <row r="8646" customFormat="1" x14ac:dyDescent="0.15"/>
    <row r="8647" customFormat="1" x14ac:dyDescent="0.15"/>
    <row r="8648" customFormat="1" x14ac:dyDescent="0.15"/>
    <row r="8649" customFormat="1" x14ac:dyDescent="0.15"/>
    <row r="8650" customFormat="1" x14ac:dyDescent="0.15"/>
    <row r="8651" customFormat="1" x14ac:dyDescent="0.15"/>
    <row r="8652" customFormat="1" x14ac:dyDescent="0.15"/>
    <row r="8653" customFormat="1" x14ac:dyDescent="0.15"/>
    <row r="8654" customFormat="1" x14ac:dyDescent="0.15"/>
    <row r="8655" customFormat="1" x14ac:dyDescent="0.15"/>
    <row r="8656" customFormat="1" x14ac:dyDescent="0.15"/>
    <row r="8657" customFormat="1" x14ac:dyDescent="0.15"/>
    <row r="8658" customFormat="1" x14ac:dyDescent="0.15"/>
    <row r="8659" customFormat="1" x14ac:dyDescent="0.15"/>
    <row r="8660" customFormat="1" x14ac:dyDescent="0.15"/>
    <row r="8661" customFormat="1" x14ac:dyDescent="0.15"/>
    <row r="8662" customFormat="1" x14ac:dyDescent="0.15"/>
    <row r="8663" customFormat="1" x14ac:dyDescent="0.15"/>
    <row r="8664" customFormat="1" x14ac:dyDescent="0.15"/>
    <row r="8665" customFormat="1" x14ac:dyDescent="0.15"/>
    <row r="8666" customFormat="1" x14ac:dyDescent="0.15"/>
    <row r="8667" customFormat="1" x14ac:dyDescent="0.15"/>
    <row r="8668" customFormat="1" x14ac:dyDescent="0.15"/>
    <row r="8669" customFormat="1" x14ac:dyDescent="0.15"/>
    <row r="8670" customFormat="1" x14ac:dyDescent="0.15"/>
    <row r="8671" customFormat="1" x14ac:dyDescent="0.15"/>
    <row r="8672" customFormat="1" x14ac:dyDescent="0.15"/>
    <row r="8673" customFormat="1" x14ac:dyDescent="0.15"/>
    <row r="8674" customFormat="1" x14ac:dyDescent="0.15"/>
    <row r="8675" customFormat="1" x14ac:dyDescent="0.15"/>
    <row r="8676" customFormat="1" x14ac:dyDescent="0.15"/>
    <row r="8677" customFormat="1" x14ac:dyDescent="0.15"/>
    <row r="8678" customFormat="1" x14ac:dyDescent="0.15"/>
    <row r="8679" customFormat="1" x14ac:dyDescent="0.15"/>
    <row r="8680" customFormat="1" x14ac:dyDescent="0.15"/>
    <row r="8681" customFormat="1" x14ac:dyDescent="0.15"/>
    <row r="8682" customFormat="1" x14ac:dyDescent="0.15"/>
    <row r="8683" customFormat="1" x14ac:dyDescent="0.15"/>
    <row r="8684" customFormat="1" x14ac:dyDescent="0.15"/>
    <row r="8685" customFormat="1" x14ac:dyDescent="0.15"/>
    <row r="8686" customFormat="1" x14ac:dyDescent="0.15"/>
    <row r="8687" customFormat="1" x14ac:dyDescent="0.15"/>
    <row r="8688" customFormat="1" x14ac:dyDescent="0.15"/>
    <row r="8689" customFormat="1" x14ac:dyDescent="0.15"/>
    <row r="8690" customFormat="1" x14ac:dyDescent="0.15"/>
    <row r="8691" customFormat="1" x14ac:dyDescent="0.15"/>
    <row r="8692" customFormat="1" x14ac:dyDescent="0.15"/>
    <row r="8693" customFormat="1" x14ac:dyDescent="0.15"/>
    <row r="8694" customFormat="1" x14ac:dyDescent="0.15"/>
    <row r="8695" customFormat="1" x14ac:dyDescent="0.15"/>
    <row r="8696" customFormat="1" x14ac:dyDescent="0.15"/>
    <row r="8697" customFormat="1" x14ac:dyDescent="0.15"/>
    <row r="8698" customFormat="1" x14ac:dyDescent="0.15"/>
    <row r="8699" customFormat="1" x14ac:dyDescent="0.15"/>
    <row r="8700" customFormat="1" x14ac:dyDescent="0.15"/>
    <row r="8701" customFormat="1" x14ac:dyDescent="0.15"/>
    <row r="8702" customFormat="1" x14ac:dyDescent="0.15"/>
    <row r="8703" customFormat="1" x14ac:dyDescent="0.15"/>
    <row r="8704" customFormat="1" x14ac:dyDescent="0.15"/>
    <row r="8705" customFormat="1" x14ac:dyDescent="0.15"/>
    <row r="8706" customFormat="1" x14ac:dyDescent="0.15"/>
    <row r="8707" customFormat="1" x14ac:dyDescent="0.15"/>
    <row r="8708" customFormat="1" x14ac:dyDescent="0.15"/>
    <row r="8709" customFormat="1" x14ac:dyDescent="0.15"/>
    <row r="8710" customFormat="1" x14ac:dyDescent="0.15"/>
    <row r="8711" customFormat="1" x14ac:dyDescent="0.15"/>
    <row r="8712" customFormat="1" x14ac:dyDescent="0.15"/>
    <row r="8713" customFormat="1" x14ac:dyDescent="0.15"/>
    <row r="8714" customFormat="1" x14ac:dyDescent="0.15"/>
    <row r="8715" customFormat="1" x14ac:dyDescent="0.15"/>
    <row r="8716" customFormat="1" x14ac:dyDescent="0.15"/>
    <row r="8717" customFormat="1" x14ac:dyDescent="0.15"/>
    <row r="8718" customFormat="1" x14ac:dyDescent="0.15"/>
    <row r="8719" customFormat="1" x14ac:dyDescent="0.15"/>
    <row r="8720" customFormat="1" x14ac:dyDescent="0.15"/>
    <row r="8721" customFormat="1" x14ac:dyDescent="0.15"/>
    <row r="8722" customFormat="1" x14ac:dyDescent="0.15"/>
    <row r="8723" customFormat="1" x14ac:dyDescent="0.15"/>
    <row r="8724" customFormat="1" x14ac:dyDescent="0.15"/>
    <row r="8725" customFormat="1" x14ac:dyDescent="0.15"/>
    <row r="8726" customFormat="1" x14ac:dyDescent="0.15"/>
    <row r="8727" customFormat="1" x14ac:dyDescent="0.15"/>
    <row r="8728" customFormat="1" x14ac:dyDescent="0.15"/>
    <row r="8729" customFormat="1" x14ac:dyDescent="0.15"/>
    <row r="8730" customFormat="1" x14ac:dyDescent="0.15"/>
    <row r="8731" customFormat="1" x14ac:dyDescent="0.15"/>
    <row r="8732" customFormat="1" x14ac:dyDescent="0.15"/>
    <row r="8733" customFormat="1" x14ac:dyDescent="0.15"/>
    <row r="8734" customFormat="1" x14ac:dyDescent="0.15"/>
    <row r="8735" customFormat="1" x14ac:dyDescent="0.15"/>
    <row r="8736" customFormat="1" x14ac:dyDescent="0.15"/>
    <row r="8737" customFormat="1" x14ac:dyDescent="0.15"/>
    <row r="8738" customFormat="1" x14ac:dyDescent="0.15"/>
    <row r="8739" customFormat="1" x14ac:dyDescent="0.15"/>
    <row r="8740" customFormat="1" x14ac:dyDescent="0.15"/>
    <row r="8741" customFormat="1" x14ac:dyDescent="0.15"/>
    <row r="8742" customFormat="1" x14ac:dyDescent="0.15"/>
    <row r="8743" customFormat="1" x14ac:dyDescent="0.15"/>
    <row r="8744" customFormat="1" x14ac:dyDescent="0.15"/>
    <row r="8745" customFormat="1" x14ac:dyDescent="0.15"/>
    <row r="8746" customFormat="1" x14ac:dyDescent="0.15"/>
    <row r="8747" customFormat="1" x14ac:dyDescent="0.15"/>
    <row r="8748" customFormat="1" x14ac:dyDescent="0.15"/>
    <row r="8749" customFormat="1" x14ac:dyDescent="0.15"/>
    <row r="8750" customFormat="1" x14ac:dyDescent="0.15"/>
    <row r="8751" customFormat="1" x14ac:dyDescent="0.15"/>
    <row r="8752" customFormat="1" x14ac:dyDescent="0.15"/>
    <row r="8753" customFormat="1" x14ac:dyDescent="0.15"/>
    <row r="8754" customFormat="1" x14ac:dyDescent="0.15"/>
    <row r="8755" customFormat="1" x14ac:dyDescent="0.15"/>
    <row r="8756" customFormat="1" x14ac:dyDescent="0.15"/>
    <row r="8757" customFormat="1" x14ac:dyDescent="0.15"/>
    <row r="8758" customFormat="1" x14ac:dyDescent="0.15"/>
    <row r="8759" customFormat="1" x14ac:dyDescent="0.15"/>
    <row r="8760" customFormat="1" x14ac:dyDescent="0.15"/>
    <row r="8761" customFormat="1" x14ac:dyDescent="0.15"/>
    <row r="8762" customFormat="1" x14ac:dyDescent="0.15"/>
    <row r="8763" customFormat="1" x14ac:dyDescent="0.15"/>
    <row r="8764" customFormat="1" x14ac:dyDescent="0.15"/>
    <row r="8765" customFormat="1" x14ac:dyDescent="0.15"/>
    <row r="8766" customFormat="1" x14ac:dyDescent="0.15"/>
    <row r="8767" customFormat="1" x14ac:dyDescent="0.15"/>
    <row r="8768" customFormat="1" x14ac:dyDescent="0.15"/>
    <row r="8769" customFormat="1" x14ac:dyDescent="0.15"/>
    <row r="8770" customFormat="1" x14ac:dyDescent="0.15"/>
    <row r="8771" customFormat="1" x14ac:dyDescent="0.15"/>
    <row r="8772" customFormat="1" x14ac:dyDescent="0.15"/>
    <row r="8773" customFormat="1" x14ac:dyDescent="0.15"/>
    <row r="8774" customFormat="1" x14ac:dyDescent="0.15"/>
    <row r="8775" customFormat="1" x14ac:dyDescent="0.15"/>
    <row r="8776" customFormat="1" x14ac:dyDescent="0.15"/>
    <row r="8777" customFormat="1" x14ac:dyDescent="0.15"/>
    <row r="8778" customFormat="1" x14ac:dyDescent="0.15"/>
    <row r="8779" customFormat="1" x14ac:dyDescent="0.15"/>
    <row r="8780" customFormat="1" x14ac:dyDescent="0.15"/>
    <row r="8781" customFormat="1" x14ac:dyDescent="0.15"/>
    <row r="8782" customFormat="1" x14ac:dyDescent="0.15"/>
    <row r="8783" customFormat="1" x14ac:dyDescent="0.15"/>
    <row r="8784" customFormat="1" x14ac:dyDescent="0.15"/>
    <row r="8785" customFormat="1" x14ac:dyDescent="0.15"/>
    <row r="8786" customFormat="1" x14ac:dyDescent="0.15"/>
    <row r="8787" customFormat="1" x14ac:dyDescent="0.15"/>
    <row r="8788" customFormat="1" x14ac:dyDescent="0.15"/>
    <row r="8789" customFormat="1" x14ac:dyDescent="0.15"/>
    <row r="8790" customFormat="1" x14ac:dyDescent="0.15"/>
    <row r="8791" customFormat="1" x14ac:dyDescent="0.15"/>
    <row r="8792" customFormat="1" x14ac:dyDescent="0.15"/>
    <row r="8793" customFormat="1" x14ac:dyDescent="0.15"/>
    <row r="8794" customFormat="1" x14ac:dyDescent="0.15"/>
    <row r="8795" customFormat="1" x14ac:dyDescent="0.15"/>
    <row r="8796" customFormat="1" x14ac:dyDescent="0.15"/>
    <row r="8797" customFormat="1" x14ac:dyDescent="0.15"/>
    <row r="8798" customFormat="1" x14ac:dyDescent="0.15"/>
    <row r="8799" customFormat="1" x14ac:dyDescent="0.15"/>
    <row r="8800" customFormat="1" x14ac:dyDescent="0.15"/>
    <row r="8801" customFormat="1" x14ac:dyDescent="0.15"/>
    <row r="8802" customFormat="1" x14ac:dyDescent="0.15"/>
    <row r="8803" customFormat="1" x14ac:dyDescent="0.15"/>
    <row r="8804" customFormat="1" x14ac:dyDescent="0.15"/>
    <row r="8805" customFormat="1" x14ac:dyDescent="0.15"/>
    <row r="8806" customFormat="1" x14ac:dyDescent="0.15"/>
    <row r="8807" customFormat="1" x14ac:dyDescent="0.15"/>
    <row r="8808" customFormat="1" x14ac:dyDescent="0.15"/>
    <row r="8809" customFormat="1" x14ac:dyDescent="0.15"/>
    <row r="8810" customFormat="1" x14ac:dyDescent="0.15"/>
    <row r="8811" customFormat="1" x14ac:dyDescent="0.15"/>
    <row r="8812" customFormat="1" x14ac:dyDescent="0.15"/>
    <row r="8813" customFormat="1" x14ac:dyDescent="0.15"/>
    <row r="8814" customFormat="1" x14ac:dyDescent="0.15"/>
    <row r="8815" customFormat="1" x14ac:dyDescent="0.15"/>
    <row r="8816" customFormat="1" x14ac:dyDescent="0.15"/>
    <row r="8817" customFormat="1" x14ac:dyDescent="0.15"/>
    <row r="8818" customFormat="1" x14ac:dyDescent="0.15"/>
    <row r="8819" customFormat="1" x14ac:dyDescent="0.15"/>
    <row r="8820" customFormat="1" x14ac:dyDescent="0.15"/>
    <row r="8821" customFormat="1" x14ac:dyDescent="0.15"/>
    <row r="8822" customFormat="1" x14ac:dyDescent="0.15"/>
    <row r="8823" customFormat="1" x14ac:dyDescent="0.15"/>
    <row r="8824" customFormat="1" x14ac:dyDescent="0.15"/>
    <row r="8825" customFormat="1" x14ac:dyDescent="0.15"/>
    <row r="8826" customFormat="1" x14ac:dyDescent="0.15"/>
    <row r="8827" customFormat="1" x14ac:dyDescent="0.15"/>
    <row r="8828" customFormat="1" x14ac:dyDescent="0.15"/>
    <row r="8829" customFormat="1" x14ac:dyDescent="0.15"/>
    <row r="8830" customFormat="1" x14ac:dyDescent="0.15"/>
    <row r="8831" customFormat="1" x14ac:dyDescent="0.15"/>
    <row r="8832" customFormat="1" x14ac:dyDescent="0.15"/>
    <row r="8833" customFormat="1" x14ac:dyDescent="0.15"/>
    <row r="8834" customFormat="1" x14ac:dyDescent="0.15"/>
    <row r="8835" customFormat="1" x14ac:dyDescent="0.15"/>
    <row r="8836" customFormat="1" x14ac:dyDescent="0.15"/>
    <row r="8837" customFormat="1" x14ac:dyDescent="0.15"/>
    <row r="8838" customFormat="1" x14ac:dyDescent="0.15"/>
    <row r="8839" customFormat="1" x14ac:dyDescent="0.15"/>
    <row r="8840" customFormat="1" x14ac:dyDescent="0.15"/>
    <row r="8841" customFormat="1" x14ac:dyDescent="0.15"/>
    <row r="8842" customFormat="1" x14ac:dyDescent="0.15"/>
    <row r="8843" customFormat="1" x14ac:dyDescent="0.15"/>
    <row r="8844" customFormat="1" x14ac:dyDescent="0.15"/>
    <row r="8845" customFormat="1" x14ac:dyDescent="0.15"/>
    <row r="8846" customFormat="1" x14ac:dyDescent="0.15"/>
    <row r="8847" customFormat="1" x14ac:dyDescent="0.15"/>
    <row r="8848" customFormat="1" x14ac:dyDescent="0.15"/>
    <row r="8849" customFormat="1" x14ac:dyDescent="0.15"/>
    <row r="8850" customFormat="1" x14ac:dyDescent="0.15"/>
    <row r="8851" customFormat="1" x14ac:dyDescent="0.15"/>
    <row r="8852" customFormat="1" x14ac:dyDescent="0.15"/>
    <row r="8853" customFormat="1" x14ac:dyDescent="0.15"/>
    <row r="8854" customFormat="1" x14ac:dyDescent="0.15"/>
    <row r="8855" customFormat="1" x14ac:dyDescent="0.15"/>
    <row r="8856" customFormat="1" x14ac:dyDescent="0.15"/>
    <row r="8857" customFormat="1" x14ac:dyDescent="0.15"/>
    <row r="8858" customFormat="1" x14ac:dyDescent="0.15"/>
    <row r="8859" customFormat="1" x14ac:dyDescent="0.15"/>
    <row r="8860" customFormat="1" x14ac:dyDescent="0.15"/>
    <row r="8861" customFormat="1" x14ac:dyDescent="0.15"/>
    <row r="8862" customFormat="1" x14ac:dyDescent="0.15"/>
    <row r="8863" customFormat="1" x14ac:dyDescent="0.15"/>
    <row r="8864" customFormat="1" x14ac:dyDescent="0.15"/>
    <row r="8865" customFormat="1" x14ac:dyDescent="0.15"/>
    <row r="8866" customFormat="1" x14ac:dyDescent="0.15"/>
    <row r="8867" customFormat="1" x14ac:dyDescent="0.15"/>
    <row r="8868" customFormat="1" x14ac:dyDescent="0.15"/>
    <row r="8869" customFormat="1" x14ac:dyDescent="0.15"/>
    <row r="8870" customFormat="1" x14ac:dyDescent="0.15"/>
    <row r="8871" customFormat="1" x14ac:dyDescent="0.15"/>
    <row r="8872" customFormat="1" x14ac:dyDescent="0.15"/>
    <row r="8873" customFormat="1" x14ac:dyDescent="0.15"/>
    <row r="8874" customFormat="1" x14ac:dyDescent="0.15"/>
    <row r="8875" customFormat="1" x14ac:dyDescent="0.15"/>
    <row r="8876" customFormat="1" x14ac:dyDescent="0.15"/>
    <row r="8877" customFormat="1" x14ac:dyDescent="0.15"/>
    <row r="8878" customFormat="1" x14ac:dyDescent="0.15"/>
    <row r="8879" customFormat="1" x14ac:dyDescent="0.15"/>
    <row r="8880" customFormat="1" x14ac:dyDescent="0.15"/>
    <row r="8881" customFormat="1" x14ac:dyDescent="0.15"/>
    <row r="8882" customFormat="1" x14ac:dyDescent="0.15"/>
    <row r="8883" customFormat="1" x14ac:dyDescent="0.15"/>
    <row r="8884" customFormat="1" x14ac:dyDescent="0.15"/>
    <row r="8885" customFormat="1" x14ac:dyDescent="0.15"/>
    <row r="8886" customFormat="1" x14ac:dyDescent="0.15"/>
    <row r="8887" customFormat="1" x14ac:dyDescent="0.15"/>
    <row r="8888" customFormat="1" x14ac:dyDescent="0.15"/>
    <row r="8889" customFormat="1" x14ac:dyDescent="0.15"/>
    <row r="8890" customFormat="1" x14ac:dyDescent="0.15"/>
    <row r="8891" customFormat="1" x14ac:dyDescent="0.15"/>
    <row r="8892" customFormat="1" x14ac:dyDescent="0.15"/>
    <row r="8893" customFormat="1" x14ac:dyDescent="0.15"/>
    <row r="8894" customFormat="1" x14ac:dyDescent="0.15"/>
    <row r="8895" customFormat="1" x14ac:dyDescent="0.15"/>
    <row r="8896" customFormat="1" x14ac:dyDescent="0.15"/>
    <row r="8897" customFormat="1" x14ac:dyDescent="0.15"/>
    <row r="8898" customFormat="1" x14ac:dyDescent="0.15"/>
    <row r="8899" customFormat="1" x14ac:dyDescent="0.15"/>
    <row r="8900" customFormat="1" x14ac:dyDescent="0.15"/>
    <row r="8901" customFormat="1" x14ac:dyDescent="0.15"/>
    <row r="8902" customFormat="1" x14ac:dyDescent="0.15"/>
    <row r="8903" customFormat="1" x14ac:dyDescent="0.15"/>
    <row r="8904" customFormat="1" x14ac:dyDescent="0.15"/>
    <row r="8905" customFormat="1" x14ac:dyDescent="0.15"/>
    <row r="8906" customFormat="1" x14ac:dyDescent="0.15"/>
    <row r="8907" customFormat="1" x14ac:dyDescent="0.15"/>
    <row r="8908" customFormat="1" x14ac:dyDescent="0.15"/>
    <row r="8909" customFormat="1" x14ac:dyDescent="0.15"/>
    <row r="8910" customFormat="1" x14ac:dyDescent="0.15"/>
    <row r="8911" customFormat="1" x14ac:dyDescent="0.15"/>
    <row r="8912" customFormat="1" x14ac:dyDescent="0.15"/>
    <row r="8913" customFormat="1" x14ac:dyDescent="0.15"/>
    <row r="8914" customFormat="1" x14ac:dyDescent="0.15"/>
    <row r="8915" customFormat="1" x14ac:dyDescent="0.15"/>
    <row r="8916" customFormat="1" x14ac:dyDescent="0.15"/>
    <row r="8917" customFormat="1" x14ac:dyDescent="0.15"/>
    <row r="8918" customFormat="1" x14ac:dyDescent="0.15"/>
    <row r="8919" customFormat="1" x14ac:dyDescent="0.15"/>
    <row r="8920" customFormat="1" x14ac:dyDescent="0.15"/>
    <row r="8921" customFormat="1" x14ac:dyDescent="0.15"/>
    <row r="8922" customFormat="1" x14ac:dyDescent="0.15"/>
    <row r="8923" customFormat="1" x14ac:dyDescent="0.15"/>
    <row r="8924" customFormat="1" x14ac:dyDescent="0.15"/>
    <row r="8925" customFormat="1" x14ac:dyDescent="0.15"/>
    <row r="8926" customFormat="1" x14ac:dyDescent="0.15"/>
    <row r="8927" customFormat="1" x14ac:dyDescent="0.15"/>
    <row r="8928" customFormat="1" x14ac:dyDescent="0.15"/>
    <row r="8929" customFormat="1" x14ac:dyDescent="0.15"/>
    <row r="8930" customFormat="1" x14ac:dyDescent="0.15"/>
    <row r="8931" customFormat="1" x14ac:dyDescent="0.15"/>
    <row r="8932" customFormat="1" x14ac:dyDescent="0.15"/>
    <row r="8933" customFormat="1" x14ac:dyDescent="0.15"/>
    <row r="8934" customFormat="1" x14ac:dyDescent="0.15"/>
    <row r="8935" customFormat="1" x14ac:dyDescent="0.15"/>
    <row r="8936" customFormat="1" x14ac:dyDescent="0.15"/>
    <row r="8937" customFormat="1" x14ac:dyDescent="0.15"/>
    <row r="8938" customFormat="1" x14ac:dyDescent="0.15"/>
    <row r="8939" customFormat="1" x14ac:dyDescent="0.15"/>
    <row r="8940" customFormat="1" x14ac:dyDescent="0.15"/>
    <row r="8941" customFormat="1" x14ac:dyDescent="0.15"/>
    <row r="8942" customFormat="1" x14ac:dyDescent="0.15"/>
    <row r="8943" customFormat="1" x14ac:dyDescent="0.15"/>
    <row r="8944" customFormat="1" x14ac:dyDescent="0.15"/>
    <row r="8945" customFormat="1" x14ac:dyDescent="0.15"/>
    <row r="8946" customFormat="1" x14ac:dyDescent="0.15"/>
    <row r="8947" customFormat="1" x14ac:dyDescent="0.15"/>
    <row r="8948" customFormat="1" x14ac:dyDescent="0.15"/>
    <row r="8949" customFormat="1" x14ac:dyDescent="0.15"/>
    <row r="8950" customFormat="1" x14ac:dyDescent="0.15"/>
    <row r="8951" customFormat="1" x14ac:dyDescent="0.15"/>
    <row r="8952" customFormat="1" x14ac:dyDescent="0.15"/>
    <row r="8953" customFormat="1" x14ac:dyDescent="0.15"/>
    <row r="8954" customFormat="1" x14ac:dyDescent="0.15"/>
    <row r="8955" customFormat="1" x14ac:dyDescent="0.15"/>
    <row r="8956" customFormat="1" x14ac:dyDescent="0.15"/>
    <row r="8957" customFormat="1" x14ac:dyDescent="0.15"/>
    <row r="8958" customFormat="1" x14ac:dyDescent="0.15"/>
    <row r="8959" customFormat="1" x14ac:dyDescent="0.15"/>
    <row r="8960" customFormat="1" x14ac:dyDescent="0.15"/>
    <row r="8961" customFormat="1" x14ac:dyDescent="0.15"/>
    <row r="8962" customFormat="1" x14ac:dyDescent="0.15"/>
    <row r="8963" customFormat="1" x14ac:dyDescent="0.15"/>
    <row r="8964" customFormat="1" x14ac:dyDescent="0.15"/>
    <row r="8965" customFormat="1" x14ac:dyDescent="0.15"/>
    <row r="8966" customFormat="1" x14ac:dyDescent="0.15"/>
    <row r="8967" customFormat="1" x14ac:dyDescent="0.15"/>
    <row r="8968" customFormat="1" x14ac:dyDescent="0.15"/>
    <row r="8969" customFormat="1" x14ac:dyDescent="0.15"/>
    <row r="8970" customFormat="1" x14ac:dyDescent="0.15"/>
    <row r="8971" customFormat="1" x14ac:dyDescent="0.15"/>
    <row r="8972" customFormat="1" x14ac:dyDescent="0.15"/>
    <row r="8973" customFormat="1" x14ac:dyDescent="0.15"/>
    <row r="8974" customFormat="1" x14ac:dyDescent="0.15"/>
    <row r="8975" customFormat="1" x14ac:dyDescent="0.15"/>
    <row r="8976" customFormat="1" x14ac:dyDescent="0.15"/>
    <row r="8977" customFormat="1" x14ac:dyDescent="0.15"/>
    <row r="8978" customFormat="1" x14ac:dyDescent="0.15"/>
    <row r="8979" customFormat="1" x14ac:dyDescent="0.15"/>
    <row r="8980" customFormat="1" x14ac:dyDescent="0.15"/>
    <row r="8981" customFormat="1" x14ac:dyDescent="0.15"/>
    <row r="8982" customFormat="1" x14ac:dyDescent="0.15"/>
    <row r="8983" customFormat="1" x14ac:dyDescent="0.15"/>
    <row r="8984" customFormat="1" x14ac:dyDescent="0.15"/>
    <row r="8985" customFormat="1" x14ac:dyDescent="0.15"/>
    <row r="8986" customFormat="1" x14ac:dyDescent="0.15"/>
    <row r="8987" customFormat="1" x14ac:dyDescent="0.15"/>
    <row r="8988" customFormat="1" x14ac:dyDescent="0.15"/>
    <row r="8989" customFormat="1" x14ac:dyDescent="0.15"/>
    <row r="8990" customFormat="1" x14ac:dyDescent="0.15"/>
    <row r="8991" customFormat="1" x14ac:dyDescent="0.15"/>
    <row r="8992" customFormat="1" x14ac:dyDescent="0.15"/>
    <row r="8993" customFormat="1" x14ac:dyDescent="0.15"/>
    <row r="8994" customFormat="1" x14ac:dyDescent="0.15"/>
    <row r="8995" customFormat="1" x14ac:dyDescent="0.15"/>
    <row r="8996" customFormat="1" x14ac:dyDescent="0.15"/>
    <row r="8997" customFormat="1" x14ac:dyDescent="0.15"/>
    <row r="8998" customFormat="1" x14ac:dyDescent="0.15"/>
    <row r="8999" customFormat="1" x14ac:dyDescent="0.15"/>
    <row r="9000" customFormat="1" x14ac:dyDescent="0.15"/>
    <row r="9001" customFormat="1" x14ac:dyDescent="0.15"/>
    <row r="9002" customFormat="1" x14ac:dyDescent="0.15"/>
    <row r="9003" customFormat="1" x14ac:dyDescent="0.15"/>
    <row r="9004" customFormat="1" x14ac:dyDescent="0.15"/>
    <row r="9005" customFormat="1" x14ac:dyDescent="0.15"/>
    <row r="9006" customFormat="1" x14ac:dyDescent="0.15"/>
    <row r="9007" customFormat="1" x14ac:dyDescent="0.15"/>
    <row r="9008" customFormat="1" x14ac:dyDescent="0.15"/>
    <row r="9009" customFormat="1" x14ac:dyDescent="0.15"/>
    <row r="9010" customFormat="1" x14ac:dyDescent="0.15"/>
    <row r="9011" customFormat="1" x14ac:dyDescent="0.15"/>
    <row r="9012" customFormat="1" x14ac:dyDescent="0.15"/>
    <row r="9013" customFormat="1" x14ac:dyDescent="0.15"/>
    <row r="9014" customFormat="1" x14ac:dyDescent="0.15"/>
    <row r="9015" customFormat="1" x14ac:dyDescent="0.15"/>
    <row r="9016" customFormat="1" x14ac:dyDescent="0.15"/>
    <row r="9017" customFormat="1" x14ac:dyDescent="0.15"/>
    <row r="9018" customFormat="1" x14ac:dyDescent="0.15"/>
    <row r="9019" customFormat="1" x14ac:dyDescent="0.15"/>
    <row r="9020" customFormat="1" x14ac:dyDescent="0.15"/>
    <row r="9021" customFormat="1" x14ac:dyDescent="0.15"/>
    <row r="9022" customFormat="1" x14ac:dyDescent="0.15"/>
    <row r="9023" customFormat="1" x14ac:dyDescent="0.15"/>
    <row r="9024" customFormat="1" x14ac:dyDescent="0.15"/>
    <row r="9025" customFormat="1" x14ac:dyDescent="0.15"/>
    <row r="9026" customFormat="1" x14ac:dyDescent="0.15"/>
    <row r="9027" customFormat="1" x14ac:dyDescent="0.15"/>
    <row r="9028" customFormat="1" x14ac:dyDescent="0.15"/>
    <row r="9029" customFormat="1" x14ac:dyDescent="0.15"/>
    <row r="9030" customFormat="1" x14ac:dyDescent="0.15"/>
    <row r="9031" customFormat="1" x14ac:dyDescent="0.15"/>
    <row r="9032" customFormat="1" x14ac:dyDescent="0.15"/>
    <row r="9033" customFormat="1" x14ac:dyDescent="0.15"/>
    <row r="9034" customFormat="1" x14ac:dyDescent="0.15"/>
    <row r="9035" customFormat="1" x14ac:dyDescent="0.15"/>
    <row r="9036" customFormat="1" x14ac:dyDescent="0.15"/>
    <row r="9037" customFormat="1" x14ac:dyDescent="0.15"/>
    <row r="9038" customFormat="1" x14ac:dyDescent="0.15"/>
    <row r="9039" customFormat="1" x14ac:dyDescent="0.15"/>
    <row r="9040" customFormat="1" x14ac:dyDescent="0.15"/>
    <row r="9041" customFormat="1" x14ac:dyDescent="0.15"/>
    <row r="9042" customFormat="1" x14ac:dyDescent="0.15"/>
    <row r="9043" customFormat="1" x14ac:dyDescent="0.15"/>
    <row r="9044" customFormat="1" x14ac:dyDescent="0.15"/>
    <row r="9045" customFormat="1" x14ac:dyDescent="0.15"/>
    <row r="9046" customFormat="1" x14ac:dyDescent="0.15"/>
    <row r="9047" customFormat="1" x14ac:dyDescent="0.15"/>
    <row r="9048" customFormat="1" x14ac:dyDescent="0.15"/>
    <row r="9049" customFormat="1" x14ac:dyDescent="0.15"/>
    <row r="9050" customFormat="1" x14ac:dyDescent="0.15"/>
    <row r="9051" customFormat="1" x14ac:dyDescent="0.15"/>
    <row r="9052" customFormat="1" x14ac:dyDescent="0.15"/>
    <row r="9053" customFormat="1" x14ac:dyDescent="0.15"/>
    <row r="9054" customFormat="1" x14ac:dyDescent="0.15"/>
    <row r="9055" customFormat="1" x14ac:dyDescent="0.15"/>
    <row r="9056" customFormat="1" x14ac:dyDescent="0.15"/>
    <row r="9057" customFormat="1" x14ac:dyDescent="0.15"/>
    <row r="9058" customFormat="1" x14ac:dyDescent="0.15"/>
    <row r="9059" customFormat="1" x14ac:dyDescent="0.15"/>
    <row r="9060" customFormat="1" x14ac:dyDescent="0.15"/>
    <row r="9061" customFormat="1" x14ac:dyDescent="0.15"/>
    <row r="9062" customFormat="1" x14ac:dyDescent="0.15"/>
    <row r="9063" customFormat="1" x14ac:dyDescent="0.15"/>
    <row r="9064" customFormat="1" x14ac:dyDescent="0.15"/>
    <row r="9065" customFormat="1" x14ac:dyDescent="0.15"/>
    <row r="9066" customFormat="1" x14ac:dyDescent="0.15"/>
    <row r="9067" customFormat="1" x14ac:dyDescent="0.15"/>
    <row r="9068" customFormat="1" x14ac:dyDescent="0.15"/>
    <row r="9069" customFormat="1" x14ac:dyDescent="0.15"/>
    <row r="9070" customFormat="1" x14ac:dyDescent="0.15"/>
    <row r="9071" customFormat="1" x14ac:dyDescent="0.15"/>
    <row r="9072" customFormat="1" x14ac:dyDescent="0.15"/>
    <row r="9073" customFormat="1" x14ac:dyDescent="0.15"/>
    <row r="9074" customFormat="1" x14ac:dyDescent="0.15"/>
    <row r="9075" customFormat="1" x14ac:dyDescent="0.15"/>
    <row r="9076" customFormat="1" x14ac:dyDescent="0.15"/>
    <row r="9077" customFormat="1" x14ac:dyDescent="0.15"/>
    <row r="9078" customFormat="1" x14ac:dyDescent="0.15"/>
    <row r="9079" customFormat="1" x14ac:dyDescent="0.15"/>
    <row r="9080" customFormat="1" x14ac:dyDescent="0.15"/>
    <row r="9081" customFormat="1" x14ac:dyDescent="0.15"/>
    <row r="9082" customFormat="1" x14ac:dyDescent="0.15"/>
    <row r="9083" customFormat="1" x14ac:dyDescent="0.15"/>
    <row r="9084" customFormat="1" x14ac:dyDescent="0.15"/>
    <row r="9085" customFormat="1" x14ac:dyDescent="0.15"/>
    <row r="9086" customFormat="1" x14ac:dyDescent="0.15"/>
    <row r="9087" customFormat="1" x14ac:dyDescent="0.15"/>
    <row r="9088" customFormat="1" x14ac:dyDescent="0.15"/>
    <row r="9089" customFormat="1" x14ac:dyDescent="0.15"/>
    <row r="9090" customFormat="1" x14ac:dyDescent="0.15"/>
    <row r="9091" customFormat="1" x14ac:dyDescent="0.15"/>
    <row r="9092" customFormat="1" x14ac:dyDescent="0.15"/>
    <row r="9093" customFormat="1" x14ac:dyDescent="0.15"/>
    <row r="9094" customFormat="1" x14ac:dyDescent="0.15"/>
    <row r="9095" customFormat="1" x14ac:dyDescent="0.15"/>
    <row r="9096" customFormat="1" x14ac:dyDescent="0.15"/>
    <row r="9097" customFormat="1" x14ac:dyDescent="0.15"/>
    <row r="9098" customFormat="1" x14ac:dyDescent="0.15"/>
    <row r="9099" customFormat="1" x14ac:dyDescent="0.15"/>
    <row r="9100" customFormat="1" x14ac:dyDescent="0.15"/>
    <row r="9101" customFormat="1" x14ac:dyDescent="0.15"/>
    <row r="9102" customFormat="1" x14ac:dyDescent="0.15"/>
    <row r="9103" customFormat="1" x14ac:dyDescent="0.15"/>
    <row r="9104" customFormat="1" x14ac:dyDescent="0.15"/>
    <row r="9105" customFormat="1" x14ac:dyDescent="0.15"/>
    <row r="9106" customFormat="1" x14ac:dyDescent="0.15"/>
    <row r="9107" customFormat="1" x14ac:dyDescent="0.15"/>
    <row r="9108" customFormat="1" x14ac:dyDescent="0.15"/>
    <row r="9109" customFormat="1" x14ac:dyDescent="0.15"/>
    <row r="9110" customFormat="1" x14ac:dyDescent="0.15"/>
    <row r="9111" customFormat="1" x14ac:dyDescent="0.15"/>
    <row r="9112" customFormat="1" x14ac:dyDescent="0.15"/>
    <row r="9113" customFormat="1" x14ac:dyDescent="0.15"/>
    <row r="9114" customFormat="1" x14ac:dyDescent="0.15"/>
    <row r="9115" customFormat="1" x14ac:dyDescent="0.15"/>
    <row r="9116" customFormat="1" x14ac:dyDescent="0.15"/>
    <row r="9117" customFormat="1" x14ac:dyDescent="0.15"/>
    <row r="9118" customFormat="1" x14ac:dyDescent="0.15"/>
    <row r="9119" customFormat="1" x14ac:dyDescent="0.15"/>
    <row r="9120" customFormat="1" x14ac:dyDescent="0.15"/>
    <row r="9121" customFormat="1" x14ac:dyDescent="0.15"/>
    <row r="9122" customFormat="1" x14ac:dyDescent="0.15"/>
    <row r="9123" customFormat="1" x14ac:dyDescent="0.15"/>
    <row r="9124" customFormat="1" x14ac:dyDescent="0.15"/>
    <row r="9125" customFormat="1" x14ac:dyDescent="0.15"/>
    <row r="9126" customFormat="1" x14ac:dyDescent="0.15"/>
    <row r="9127" customFormat="1" x14ac:dyDescent="0.15"/>
    <row r="9128" customFormat="1" x14ac:dyDescent="0.15"/>
    <row r="9129" customFormat="1" x14ac:dyDescent="0.15"/>
    <row r="9130" customFormat="1" x14ac:dyDescent="0.15"/>
    <row r="9131" customFormat="1" x14ac:dyDescent="0.15"/>
    <row r="9132" customFormat="1" x14ac:dyDescent="0.15"/>
    <row r="9133" customFormat="1" x14ac:dyDescent="0.15"/>
    <row r="9134" customFormat="1" x14ac:dyDescent="0.15"/>
    <row r="9135" customFormat="1" x14ac:dyDescent="0.15"/>
    <row r="9136" customFormat="1" x14ac:dyDescent="0.15"/>
    <row r="9137" customFormat="1" x14ac:dyDescent="0.15"/>
    <row r="9138" customFormat="1" x14ac:dyDescent="0.15"/>
    <row r="9139" customFormat="1" x14ac:dyDescent="0.15"/>
    <row r="9140" customFormat="1" x14ac:dyDescent="0.15"/>
    <row r="9141" customFormat="1" x14ac:dyDescent="0.15"/>
    <row r="9142" customFormat="1" x14ac:dyDescent="0.15"/>
    <row r="9143" customFormat="1" x14ac:dyDescent="0.15"/>
    <row r="9144" customFormat="1" x14ac:dyDescent="0.15"/>
    <row r="9145" customFormat="1" x14ac:dyDescent="0.15"/>
    <row r="9146" customFormat="1" x14ac:dyDescent="0.15"/>
    <row r="9147" customFormat="1" x14ac:dyDescent="0.15"/>
    <row r="9148" customFormat="1" x14ac:dyDescent="0.15"/>
    <row r="9149" customFormat="1" x14ac:dyDescent="0.15"/>
    <row r="9150" customFormat="1" x14ac:dyDescent="0.15"/>
    <row r="9151" customFormat="1" x14ac:dyDescent="0.15"/>
    <row r="9152" customFormat="1" x14ac:dyDescent="0.15"/>
    <row r="9153" customFormat="1" x14ac:dyDescent="0.15"/>
    <row r="9154" customFormat="1" x14ac:dyDescent="0.15"/>
    <row r="9155" customFormat="1" x14ac:dyDescent="0.15"/>
    <row r="9156" customFormat="1" x14ac:dyDescent="0.15"/>
    <row r="9157" customFormat="1" x14ac:dyDescent="0.15"/>
    <row r="9158" customFormat="1" x14ac:dyDescent="0.15"/>
    <row r="9159" customFormat="1" x14ac:dyDescent="0.15"/>
    <row r="9160" customFormat="1" x14ac:dyDescent="0.15"/>
    <row r="9161" customFormat="1" x14ac:dyDescent="0.15"/>
    <row r="9162" customFormat="1" x14ac:dyDescent="0.15"/>
    <row r="9163" customFormat="1" x14ac:dyDescent="0.15"/>
    <row r="9164" customFormat="1" x14ac:dyDescent="0.15"/>
    <row r="9165" customFormat="1" x14ac:dyDescent="0.15"/>
    <row r="9166" customFormat="1" x14ac:dyDescent="0.15"/>
    <row r="9167" customFormat="1" x14ac:dyDescent="0.15"/>
    <row r="9168" customFormat="1" x14ac:dyDescent="0.15"/>
    <row r="9169" customFormat="1" x14ac:dyDescent="0.15"/>
    <row r="9170" customFormat="1" x14ac:dyDescent="0.15"/>
    <row r="9171" customFormat="1" x14ac:dyDescent="0.15"/>
    <row r="9172" customFormat="1" x14ac:dyDescent="0.15"/>
    <row r="9173" customFormat="1" x14ac:dyDescent="0.15"/>
    <row r="9174" customFormat="1" x14ac:dyDescent="0.15"/>
    <row r="9175" customFormat="1" x14ac:dyDescent="0.15"/>
    <row r="9176" customFormat="1" x14ac:dyDescent="0.15"/>
    <row r="9177" customFormat="1" x14ac:dyDescent="0.15"/>
    <row r="9178" customFormat="1" x14ac:dyDescent="0.15"/>
    <row r="9179" customFormat="1" x14ac:dyDescent="0.15"/>
    <row r="9180" customFormat="1" x14ac:dyDescent="0.15"/>
    <row r="9181" customFormat="1" x14ac:dyDescent="0.15"/>
    <row r="9182" customFormat="1" x14ac:dyDescent="0.15"/>
    <row r="9183" customFormat="1" x14ac:dyDescent="0.15"/>
    <row r="9184" customFormat="1" x14ac:dyDescent="0.15"/>
    <row r="9185" customFormat="1" x14ac:dyDescent="0.15"/>
    <row r="9186" customFormat="1" x14ac:dyDescent="0.15"/>
    <row r="9187" customFormat="1" x14ac:dyDescent="0.15"/>
    <row r="9188" customFormat="1" x14ac:dyDescent="0.15"/>
    <row r="9189" customFormat="1" x14ac:dyDescent="0.15"/>
    <row r="9190" customFormat="1" x14ac:dyDescent="0.15"/>
    <row r="9191" customFormat="1" x14ac:dyDescent="0.15"/>
    <row r="9192" customFormat="1" x14ac:dyDescent="0.15"/>
    <row r="9193" customFormat="1" x14ac:dyDescent="0.15"/>
    <row r="9194" customFormat="1" x14ac:dyDescent="0.15"/>
    <row r="9195" customFormat="1" x14ac:dyDescent="0.15"/>
    <row r="9196" customFormat="1" x14ac:dyDescent="0.15"/>
    <row r="9197" customFormat="1" x14ac:dyDescent="0.15"/>
    <row r="9198" customFormat="1" x14ac:dyDescent="0.15"/>
    <row r="9199" customFormat="1" x14ac:dyDescent="0.15"/>
    <row r="9200" customFormat="1" x14ac:dyDescent="0.15"/>
    <row r="9201" customFormat="1" x14ac:dyDescent="0.15"/>
    <row r="9202" customFormat="1" x14ac:dyDescent="0.15"/>
    <row r="9203" customFormat="1" x14ac:dyDescent="0.15"/>
    <row r="9204" customFormat="1" x14ac:dyDescent="0.15"/>
    <row r="9205" customFormat="1" x14ac:dyDescent="0.15"/>
    <row r="9206" customFormat="1" x14ac:dyDescent="0.15"/>
    <row r="9207" customFormat="1" x14ac:dyDescent="0.15"/>
    <row r="9208" customFormat="1" x14ac:dyDescent="0.15"/>
    <row r="9209" customFormat="1" x14ac:dyDescent="0.15"/>
    <row r="9210" customFormat="1" x14ac:dyDescent="0.15"/>
    <row r="9211" customFormat="1" x14ac:dyDescent="0.15"/>
    <row r="9212" customFormat="1" x14ac:dyDescent="0.15"/>
    <row r="9213" customFormat="1" x14ac:dyDescent="0.15"/>
    <row r="9214" customFormat="1" x14ac:dyDescent="0.15"/>
    <row r="9215" customFormat="1" x14ac:dyDescent="0.15"/>
    <row r="9216" customFormat="1" x14ac:dyDescent="0.15"/>
    <row r="9217" customFormat="1" x14ac:dyDescent="0.15"/>
    <row r="9218" customFormat="1" x14ac:dyDescent="0.15"/>
    <row r="9219" customFormat="1" x14ac:dyDescent="0.15"/>
    <row r="9220" customFormat="1" x14ac:dyDescent="0.15"/>
    <row r="9221" customFormat="1" x14ac:dyDescent="0.15"/>
    <row r="9222" customFormat="1" x14ac:dyDescent="0.15"/>
    <row r="9223" customFormat="1" x14ac:dyDescent="0.15"/>
    <row r="9224" customFormat="1" x14ac:dyDescent="0.15"/>
    <row r="9225" customFormat="1" x14ac:dyDescent="0.15"/>
    <row r="9226" customFormat="1" x14ac:dyDescent="0.15"/>
    <row r="9227" customFormat="1" x14ac:dyDescent="0.15"/>
    <row r="9228" customFormat="1" x14ac:dyDescent="0.15"/>
    <row r="9229" customFormat="1" x14ac:dyDescent="0.15"/>
    <row r="9230" customFormat="1" x14ac:dyDescent="0.15"/>
    <row r="9231" customFormat="1" x14ac:dyDescent="0.15"/>
    <row r="9232" customFormat="1" x14ac:dyDescent="0.15"/>
    <row r="9233" customFormat="1" x14ac:dyDescent="0.15"/>
    <row r="9234" customFormat="1" x14ac:dyDescent="0.15"/>
    <row r="9235" customFormat="1" x14ac:dyDescent="0.15"/>
    <row r="9236" customFormat="1" x14ac:dyDescent="0.15"/>
    <row r="9237" customFormat="1" x14ac:dyDescent="0.15"/>
    <row r="9238" customFormat="1" x14ac:dyDescent="0.15"/>
    <row r="9239" customFormat="1" x14ac:dyDescent="0.15"/>
    <row r="9240" customFormat="1" x14ac:dyDescent="0.15"/>
    <row r="9241" customFormat="1" x14ac:dyDescent="0.15"/>
    <row r="9242" customFormat="1" x14ac:dyDescent="0.15"/>
    <row r="9243" customFormat="1" x14ac:dyDescent="0.15"/>
    <row r="9244" customFormat="1" x14ac:dyDescent="0.15"/>
    <row r="9245" customFormat="1" x14ac:dyDescent="0.15"/>
    <row r="9246" customFormat="1" x14ac:dyDescent="0.15"/>
    <row r="9247" customFormat="1" x14ac:dyDescent="0.15"/>
    <row r="9248" customFormat="1" x14ac:dyDescent="0.15"/>
    <row r="9249" customFormat="1" x14ac:dyDescent="0.15"/>
    <row r="9250" customFormat="1" x14ac:dyDescent="0.15"/>
    <row r="9251" customFormat="1" x14ac:dyDescent="0.15"/>
    <row r="9252" customFormat="1" x14ac:dyDescent="0.15"/>
    <row r="9253" customFormat="1" x14ac:dyDescent="0.15"/>
    <row r="9254" customFormat="1" x14ac:dyDescent="0.15"/>
    <row r="9255" customFormat="1" x14ac:dyDescent="0.15"/>
    <row r="9256" customFormat="1" x14ac:dyDescent="0.15"/>
    <row r="9257" customFormat="1" x14ac:dyDescent="0.15"/>
    <row r="9258" customFormat="1" x14ac:dyDescent="0.15"/>
    <row r="9259" customFormat="1" x14ac:dyDescent="0.15"/>
    <row r="9260" customFormat="1" x14ac:dyDescent="0.15"/>
    <row r="9261" customFormat="1" x14ac:dyDescent="0.15"/>
    <row r="9262" customFormat="1" x14ac:dyDescent="0.15"/>
    <row r="9263" customFormat="1" x14ac:dyDescent="0.15"/>
    <row r="9264" customFormat="1" x14ac:dyDescent="0.15"/>
    <row r="9265" customFormat="1" x14ac:dyDescent="0.15"/>
    <row r="9266" customFormat="1" x14ac:dyDescent="0.15"/>
    <row r="9267" customFormat="1" x14ac:dyDescent="0.15"/>
    <row r="9268" customFormat="1" x14ac:dyDescent="0.15"/>
    <row r="9269" customFormat="1" x14ac:dyDescent="0.15"/>
    <row r="9270" customFormat="1" x14ac:dyDescent="0.15"/>
    <row r="9271" customFormat="1" x14ac:dyDescent="0.15"/>
    <row r="9272" customFormat="1" x14ac:dyDescent="0.15"/>
    <row r="9273" customFormat="1" x14ac:dyDescent="0.15"/>
    <row r="9274" customFormat="1" x14ac:dyDescent="0.15"/>
    <row r="9275" customFormat="1" x14ac:dyDescent="0.15"/>
    <row r="9276" customFormat="1" x14ac:dyDescent="0.15"/>
    <row r="9277" customFormat="1" x14ac:dyDescent="0.15"/>
    <row r="9278" customFormat="1" x14ac:dyDescent="0.15"/>
    <row r="9279" customFormat="1" x14ac:dyDescent="0.15"/>
    <row r="9280" customFormat="1" x14ac:dyDescent="0.15"/>
    <row r="9281" customFormat="1" x14ac:dyDescent="0.15"/>
    <row r="9282" customFormat="1" x14ac:dyDescent="0.15"/>
    <row r="9283" customFormat="1" x14ac:dyDescent="0.15"/>
    <row r="9284" customFormat="1" x14ac:dyDescent="0.15"/>
    <row r="9285" customFormat="1" x14ac:dyDescent="0.15"/>
    <row r="9286" customFormat="1" x14ac:dyDescent="0.15"/>
    <row r="9287" customFormat="1" x14ac:dyDescent="0.15"/>
    <row r="9288" customFormat="1" x14ac:dyDescent="0.15"/>
    <row r="9289" customFormat="1" x14ac:dyDescent="0.15"/>
    <row r="9290" customFormat="1" x14ac:dyDescent="0.15"/>
    <row r="9291" customFormat="1" x14ac:dyDescent="0.15"/>
    <row r="9292" customFormat="1" x14ac:dyDescent="0.15"/>
    <row r="9293" customFormat="1" x14ac:dyDescent="0.15"/>
    <row r="9294" customFormat="1" x14ac:dyDescent="0.15"/>
    <row r="9295" customFormat="1" x14ac:dyDescent="0.15"/>
    <row r="9296" customFormat="1" x14ac:dyDescent="0.15"/>
    <row r="9297" customFormat="1" x14ac:dyDescent="0.15"/>
    <row r="9298" customFormat="1" x14ac:dyDescent="0.15"/>
    <row r="9299" customFormat="1" x14ac:dyDescent="0.15"/>
    <row r="9300" customFormat="1" x14ac:dyDescent="0.15"/>
    <row r="9301" customFormat="1" x14ac:dyDescent="0.15"/>
    <row r="9302" customFormat="1" x14ac:dyDescent="0.15"/>
    <row r="9303" customFormat="1" x14ac:dyDescent="0.15"/>
    <row r="9304" customFormat="1" x14ac:dyDescent="0.15"/>
    <row r="9305" customFormat="1" x14ac:dyDescent="0.15"/>
    <row r="9306" customFormat="1" x14ac:dyDescent="0.15"/>
    <row r="9307" customFormat="1" x14ac:dyDescent="0.15"/>
    <row r="9308" customFormat="1" x14ac:dyDescent="0.15"/>
    <row r="9309" customFormat="1" x14ac:dyDescent="0.15"/>
    <row r="9310" customFormat="1" x14ac:dyDescent="0.15"/>
    <row r="9311" customFormat="1" x14ac:dyDescent="0.15"/>
    <row r="9312" customFormat="1" x14ac:dyDescent="0.15"/>
    <row r="9313" customFormat="1" x14ac:dyDescent="0.15"/>
    <row r="9314" customFormat="1" x14ac:dyDescent="0.15"/>
    <row r="9315" customFormat="1" x14ac:dyDescent="0.15"/>
    <row r="9316" customFormat="1" x14ac:dyDescent="0.15"/>
    <row r="9317" customFormat="1" x14ac:dyDescent="0.15"/>
    <row r="9318" customFormat="1" x14ac:dyDescent="0.15"/>
    <row r="9319" customFormat="1" x14ac:dyDescent="0.15"/>
    <row r="9320" customFormat="1" x14ac:dyDescent="0.15"/>
    <row r="9321" customFormat="1" x14ac:dyDescent="0.15"/>
    <row r="9322" customFormat="1" x14ac:dyDescent="0.15"/>
    <row r="9323" customFormat="1" x14ac:dyDescent="0.15"/>
    <row r="9324" customFormat="1" x14ac:dyDescent="0.15"/>
    <row r="9325" customFormat="1" x14ac:dyDescent="0.15"/>
    <row r="9326" customFormat="1" x14ac:dyDescent="0.15"/>
    <row r="9327" customFormat="1" x14ac:dyDescent="0.15"/>
    <row r="9328" customFormat="1" x14ac:dyDescent="0.15"/>
    <row r="9329" customFormat="1" x14ac:dyDescent="0.15"/>
    <row r="9330" customFormat="1" x14ac:dyDescent="0.15"/>
    <row r="9331" customFormat="1" x14ac:dyDescent="0.15"/>
    <row r="9332" customFormat="1" x14ac:dyDescent="0.15"/>
    <row r="9333" customFormat="1" x14ac:dyDescent="0.15"/>
    <row r="9334" customFormat="1" x14ac:dyDescent="0.15"/>
    <row r="9335" customFormat="1" x14ac:dyDescent="0.15"/>
    <row r="9336" customFormat="1" x14ac:dyDescent="0.15"/>
    <row r="9337" customFormat="1" x14ac:dyDescent="0.15"/>
    <row r="9338" customFormat="1" x14ac:dyDescent="0.15"/>
    <row r="9339" customFormat="1" x14ac:dyDescent="0.15"/>
    <row r="9340" customFormat="1" x14ac:dyDescent="0.15"/>
    <row r="9341" customFormat="1" x14ac:dyDescent="0.15"/>
    <row r="9342" customFormat="1" x14ac:dyDescent="0.15"/>
    <row r="9343" customFormat="1" x14ac:dyDescent="0.15"/>
    <row r="9344" customFormat="1" x14ac:dyDescent="0.15"/>
    <row r="9345" customFormat="1" x14ac:dyDescent="0.15"/>
    <row r="9346" customFormat="1" x14ac:dyDescent="0.15"/>
    <row r="9347" customFormat="1" x14ac:dyDescent="0.15"/>
    <row r="9348" customFormat="1" x14ac:dyDescent="0.15"/>
    <row r="9349" customFormat="1" x14ac:dyDescent="0.15"/>
    <row r="9350" customFormat="1" x14ac:dyDescent="0.15"/>
    <row r="9351" customFormat="1" x14ac:dyDescent="0.15"/>
    <row r="9352" customFormat="1" x14ac:dyDescent="0.15"/>
    <row r="9353" customFormat="1" x14ac:dyDescent="0.15"/>
    <row r="9354" customFormat="1" x14ac:dyDescent="0.15"/>
    <row r="9355" customFormat="1" x14ac:dyDescent="0.15"/>
    <row r="9356" customFormat="1" x14ac:dyDescent="0.15"/>
    <row r="9357" customFormat="1" x14ac:dyDescent="0.15"/>
    <row r="9358" customFormat="1" x14ac:dyDescent="0.15"/>
    <row r="9359" customFormat="1" x14ac:dyDescent="0.15"/>
    <row r="9360" customFormat="1" x14ac:dyDescent="0.15"/>
    <row r="9361" customFormat="1" x14ac:dyDescent="0.15"/>
    <row r="9362" customFormat="1" x14ac:dyDescent="0.15"/>
    <row r="9363" customFormat="1" x14ac:dyDescent="0.15"/>
    <row r="9364" customFormat="1" x14ac:dyDescent="0.15"/>
    <row r="9365" customFormat="1" x14ac:dyDescent="0.15"/>
    <row r="9366" customFormat="1" x14ac:dyDescent="0.15"/>
    <row r="9367" customFormat="1" x14ac:dyDescent="0.15"/>
    <row r="9368" customFormat="1" x14ac:dyDescent="0.15"/>
    <row r="9369" customFormat="1" x14ac:dyDescent="0.15"/>
    <row r="9370" customFormat="1" x14ac:dyDescent="0.15"/>
    <row r="9371" customFormat="1" x14ac:dyDescent="0.15"/>
    <row r="9372" customFormat="1" x14ac:dyDescent="0.15"/>
    <row r="9373" customFormat="1" x14ac:dyDescent="0.15"/>
    <row r="9374" customFormat="1" x14ac:dyDescent="0.15"/>
    <row r="9375" customFormat="1" x14ac:dyDescent="0.15"/>
    <row r="9376" customFormat="1" x14ac:dyDescent="0.15"/>
    <row r="9377" customFormat="1" x14ac:dyDescent="0.15"/>
    <row r="9378" customFormat="1" x14ac:dyDescent="0.15"/>
    <row r="9379" customFormat="1" x14ac:dyDescent="0.15"/>
    <row r="9380" customFormat="1" x14ac:dyDescent="0.15"/>
    <row r="9381" customFormat="1" x14ac:dyDescent="0.15"/>
    <row r="9382" customFormat="1" x14ac:dyDescent="0.15"/>
    <row r="9383" customFormat="1" x14ac:dyDescent="0.15"/>
    <row r="9384" customFormat="1" x14ac:dyDescent="0.15"/>
    <row r="9385" customFormat="1" x14ac:dyDescent="0.15"/>
    <row r="9386" customFormat="1" x14ac:dyDescent="0.15"/>
    <row r="9387" customFormat="1" x14ac:dyDescent="0.15"/>
    <row r="9388" customFormat="1" x14ac:dyDescent="0.15"/>
    <row r="9389" customFormat="1" x14ac:dyDescent="0.15"/>
    <row r="9390" customFormat="1" x14ac:dyDescent="0.15"/>
    <row r="9391" customFormat="1" x14ac:dyDescent="0.15"/>
    <row r="9392" customFormat="1" x14ac:dyDescent="0.15"/>
    <row r="9393" customFormat="1" x14ac:dyDescent="0.15"/>
    <row r="9394" customFormat="1" x14ac:dyDescent="0.15"/>
    <row r="9395" customFormat="1" x14ac:dyDescent="0.15"/>
    <row r="9396" customFormat="1" x14ac:dyDescent="0.15"/>
    <row r="9397" customFormat="1" x14ac:dyDescent="0.15"/>
    <row r="9398" customFormat="1" x14ac:dyDescent="0.15"/>
    <row r="9399" customFormat="1" x14ac:dyDescent="0.15"/>
    <row r="9400" customFormat="1" x14ac:dyDescent="0.15"/>
    <row r="9401" customFormat="1" x14ac:dyDescent="0.15"/>
    <row r="9402" customFormat="1" x14ac:dyDescent="0.15"/>
    <row r="9403" customFormat="1" x14ac:dyDescent="0.15"/>
    <row r="9404" customFormat="1" x14ac:dyDescent="0.15"/>
    <row r="9405" customFormat="1" x14ac:dyDescent="0.15"/>
    <row r="9406" customFormat="1" x14ac:dyDescent="0.15"/>
    <row r="9407" customFormat="1" x14ac:dyDescent="0.15"/>
    <row r="9408" customFormat="1" x14ac:dyDescent="0.15"/>
    <row r="9409" customFormat="1" x14ac:dyDescent="0.15"/>
    <row r="9410" customFormat="1" x14ac:dyDescent="0.15"/>
    <row r="9411" customFormat="1" x14ac:dyDescent="0.15"/>
    <row r="9412" customFormat="1" x14ac:dyDescent="0.15"/>
    <row r="9413" customFormat="1" x14ac:dyDescent="0.15"/>
    <row r="9414" customFormat="1" x14ac:dyDescent="0.15"/>
    <row r="9415" customFormat="1" x14ac:dyDescent="0.15"/>
    <row r="9416" customFormat="1" x14ac:dyDescent="0.15"/>
    <row r="9417" customFormat="1" x14ac:dyDescent="0.15"/>
    <row r="9418" customFormat="1" x14ac:dyDescent="0.15"/>
    <row r="9419" customFormat="1" x14ac:dyDescent="0.15"/>
    <row r="9420" customFormat="1" x14ac:dyDescent="0.15"/>
    <row r="9421" customFormat="1" x14ac:dyDescent="0.15"/>
    <row r="9422" customFormat="1" x14ac:dyDescent="0.15"/>
    <row r="9423" customFormat="1" x14ac:dyDescent="0.15"/>
    <row r="9424" customFormat="1" x14ac:dyDescent="0.15"/>
    <row r="9425" customFormat="1" x14ac:dyDescent="0.15"/>
    <row r="9426" customFormat="1" x14ac:dyDescent="0.15"/>
    <row r="9427" customFormat="1" x14ac:dyDescent="0.15"/>
    <row r="9428" customFormat="1" x14ac:dyDescent="0.15"/>
    <row r="9429" customFormat="1" x14ac:dyDescent="0.15"/>
    <row r="9430" customFormat="1" x14ac:dyDescent="0.15"/>
    <row r="9431" customFormat="1" x14ac:dyDescent="0.15"/>
    <row r="9432" customFormat="1" x14ac:dyDescent="0.15"/>
    <row r="9433" customFormat="1" x14ac:dyDescent="0.15"/>
    <row r="9434" customFormat="1" x14ac:dyDescent="0.15"/>
    <row r="9435" customFormat="1" x14ac:dyDescent="0.15"/>
    <row r="9436" customFormat="1" x14ac:dyDescent="0.15"/>
    <row r="9437" customFormat="1" x14ac:dyDescent="0.15"/>
    <row r="9438" customFormat="1" x14ac:dyDescent="0.15"/>
    <row r="9439" customFormat="1" x14ac:dyDescent="0.15"/>
    <row r="9440" customFormat="1" x14ac:dyDescent="0.15"/>
    <row r="9441" customFormat="1" x14ac:dyDescent="0.15"/>
    <row r="9442" customFormat="1" x14ac:dyDescent="0.15"/>
    <row r="9443" customFormat="1" x14ac:dyDescent="0.15"/>
    <row r="9444" customFormat="1" x14ac:dyDescent="0.15"/>
    <row r="9445" customFormat="1" x14ac:dyDescent="0.15"/>
    <row r="9446" customFormat="1" x14ac:dyDescent="0.15"/>
  </sheetData>
  <sheetProtection algorithmName="SHA-512" hashValue="aipUd3ta/PmhGalBF7kA2sLQQp4qebWW+zKTyIsMANSF2aPwX9ZofhhihRAnQoqQC+hjXXgE9gNViYCONdAy7Q==" saltValue="rCUcJ1iw43sNu1EYMO/ugA==" spinCount="100000" sheet="1" objects="1" scenarios="1"/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634D-D2A8-284E-ADF2-38330440502D}">
  <sheetPr codeName="Sheet14"/>
  <dimension ref="A1:AK39"/>
  <sheetViews>
    <sheetView zoomScale="120" zoomScaleNormal="120" workbookViewId="0">
      <selection activeCell="I21" sqref="I21"/>
    </sheetView>
  </sheetViews>
  <sheetFormatPr baseColWidth="10" defaultRowHeight="13" x14ac:dyDescent="0.15"/>
  <cols>
    <col min="1" max="1" width="6.1640625" customWidth="1"/>
    <col min="3" max="3" width="6.33203125" customWidth="1"/>
    <col min="4" max="4" width="24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7" ht="42" x14ac:dyDescent="0.15">
      <c r="A1" s="112" t="s">
        <v>234</v>
      </c>
      <c r="B1" s="112" t="s">
        <v>235</v>
      </c>
      <c r="C1" s="113" t="s">
        <v>236</v>
      </c>
      <c r="D1" s="114" t="s">
        <v>237</v>
      </c>
      <c r="E1" s="112" t="s">
        <v>192</v>
      </c>
      <c r="F1" s="113" t="s">
        <v>239</v>
      </c>
      <c r="G1" s="114" t="s">
        <v>240</v>
      </c>
      <c r="H1" s="115" t="s">
        <v>241</v>
      </c>
      <c r="I1" s="116" t="s">
        <v>242</v>
      </c>
      <c r="J1" s="116" t="s">
        <v>243</v>
      </c>
      <c r="K1" s="116" t="s">
        <v>244</v>
      </c>
      <c r="L1" s="116" t="s">
        <v>245</v>
      </c>
      <c r="M1" s="116" t="s">
        <v>246</v>
      </c>
      <c r="N1" s="117" t="s">
        <v>247</v>
      </c>
      <c r="O1" s="118" t="s">
        <v>248</v>
      </c>
      <c r="P1" s="118" t="s">
        <v>249</v>
      </c>
      <c r="Q1" s="118" t="s">
        <v>226</v>
      </c>
      <c r="R1" s="118" t="s">
        <v>285</v>
      </c>
      <c r="S1" s="118" t="s">
        <v>286</v>
      </c>
      <c r="T1" s="119" t="s">
        <v>287</v>
      </c>
      <c r="U1" s="120" t="s">
        <v>288</v>
      </c>
      <c r="V1" s="120" t="s">
        <v>289</v>
      </c>
      <c r="W1" s="120" t="s">
        <v>290</v>
      </c>
      <c r="X1" s="120" t="s">
        <v>148</v>
      </c>
      <c r="Y1" s="120" t="s">
        <v>149</v>
      </c>
      <c r="Z1" s="121" t="s">
        <v>150</v>
      </c>
      <c r="AA1" s="122" t="s">
        <v>151</v>
      </c>
      <c r="AB1" s="122" t="s">
        <v>152</v>
      </c>
      <c r="AC1" s="122" t="s">
        <v>153</v>
      </c>
      <c r="AD1" s="122" t="s">
        <v>154</v>
      </c>
      <c r="AE1" s="122" t="s">
        <v>267</v>
      </c>
      <c r="AF1" s="123" t="s">
        <v>268</v>
      </c>
      <c r="AG1" s="124" t="s">
        <v>269</v>
      </c>
      <c r="AH1" s="124" t="s">
        <v>270</v>
      </c>
      <c r="AI1" s="124" t="s">
        <v>271</v>
      </c>
      <c r="AJ1" s="125" t="s">
        <v>272</v>
      </c>
    </row>
    <row r="2" spans="1:37" x14ac:dyDescent="0.15">
      <c r="A2" s="210">
        <v>2095</v>
      </c>
      <c r="B2" s="211">
        <v>42560</v>
      </c>
      <c r="C2" s="212" t="s">
        <v>334</v>
      </c>
      <c r="D2" s="213" t="s">
        <v>355</v>
      </c>
      <c r="E2" s="214">
        <v>42551</v>
      </c>
      <c r="F2" s="212" t="s">
        <v>133</v>
      </c>
      <c r="G2" s="213" t="s">
        <v>380</v>
      </c>
      <c r="H2" s="215">
        <v>65.999999999999986</v>
      </c>
      <c r="I2" s="216" t="s">
        <v>323</v>
      </c>
      <c r="J2" s="217">
        <v>1200</v>
      </c>
      <c r="K2" s="217">
        <v>2400</v>
      </c>
      <c r="L2" s="217">
        <v>5400</v>
      </c>
      <c r="M2" s="217">
        <v>165400</v>
      </c>
      <c r="N2" s="217">
        <v>832000</v>
      </c>
      <c r="O2" s="218">
        <v>3.1545454545454543</v>
      </c>
      <c r="P2" s="218">
        <v>2.9818181818181815</v>
      </c>
      <c r="Q2" s="218">
        <v>2.8272727272727267</v>
      </c>
      <c r="R2" s="218">
        <v>2.8090909090909086</v>
      </c>
      <c r="S2" s="218">
        <v>2.6909090909090905</v>
      </c>
      <c r="T2" s="218">
        <v>2.4090909090909087</v>
      </c>
      <c r="U2" s="218" t="s">
        <v>370</v>
      </c>
      <c r="V2" s="218" t="s">
        <v>370</v>
      </c>
      <c r="W2" s="218" t="s">
        <v>370</v>
      </c>
      <c r="X2" s="218" t="s">
        <v>370</v>
      </c>
      <c r="Y2" s="218" t="s">
        <v>370</v>
      </c>
      <c r="Z2" s="218" t="s">
        <v>370</v>
      </c>
      <c r="AA2" s="218" t="s">
        <v>370</v>
      </c>
      <c r="AB2" s="218" t="s">
        <v>370</v>
      </c>
      <c r="AC2" s="218" t="s">
        <v>370</v>
      </c>
      <c r="AD2" s="218" t="s">
        <v>370</v>
      </c>
      <c r="AE2" s="218" t="s">
        <v>370</v>
      </c>
      <c r="AF2" s="218" t="s">
        <v>370</v>
      </c>
      <c r="AG2" s="219" t="s">
        <v>371</v>
      </c>
      <c r="AH2" s="219"/>
      <c r="AI2" s="219"/>
      <c r="AJ2" s="219"/>
      <c r="AK2" s="220" t="s">
        <v>381</v>
      </c>
    </row>
    <row r="3" spans="1:37" x14ac:dyDescent="0.15">
      <c r="A3" s="210">
        <v>1088</v>
      </c>
      <c r="B3" s="211">
        <v>42560</v>
      </c>
      <c r="C3" s="212" t="s">
        <v>334</v>
      </c>
      <c r="D3" s="213" t="s">
        <v>355</v>
      </c>
      <c r="E3" s="214">
        <v>42551</v>
      </c>
      <c r="F3" s="212" t="s">
        <v>328</v>
      </c>
      <c r="G3" s="213" t="s">
        <v>302</v>
      </c>
      <c r="H3" s="215">
        <v>79.5</v>
      </c>
      <c r="I3" s="216" t="s">
        <v>323</v>
      </c>
      <c r="J3" s="217">
        <v>1200</v>
      </c>
      <c r="K3" s="217">
        <v>2400</v>
      </c>
      <c r="L3" s="217">
        <v>5400</v>
      </c>
      <c r="M3" s="217">
        <v>165400</v>
      </c>
      <c r="N3" s="217">
        <v>832000</v>
      </c>
      <c r="O3" s="218">
        <v>3.7999999999999994</v>
      </c>
      <c r="P3" s="218">
        <v>2.3727272727272726</v>
      </c>
      <c r="Q3" s="218">
        <v>2.336363636363636</v>
      </c>
      <c r="R3" s="218">
        <v>2.2999999999999998</v>
      </c>
      <c r="S3" s="218">
        <v>2.2818181818181813</v>
      </c>
      <c r="T3" s="218">
        <v>2.1545454545454543</v>
      </c>
      <c r="U3" s="218" t="s">
        <v>370</v>
      </c>
      <c r="V3" s="218" t="s">
        <v>370</v>
      </c>
      <c r="W3" s="218" t="s">
        <v>370</v>
      </c>
      <c r="X3" s="218" t="s">
        <v>370</v>
      </c>
      <c r="Y3" s="218" t="s">
        <v>370</v>
      </c>
      <c r="Z3" s="218" t="s">
        <v>370</v>
      </c>
      <c r="AA3" s="218" t="s">
        <v>370</v>
      </c>
      <c r="AB3" s="218" t="s">
        <v>370</v>
      </c>
      <c r="AC3" s="218" t="s">
        <v>370</v>
      </c>
      <c r="AD3" s="218" t="s">
        <v>370</v>
      </c>
      <c r="AE3" s="218" t="s">
        <v>370</v>
      </c>
      <c r="AF3" s="218" t="s">
        <v>370</v>
      </c>
      <c r="AG3" s="219" t="s">
        <v>371</v>
      </c>
      <c r="AH3" s="213"/>
      <c r="AI3" s="213"/>
      <c r="AJ3" s="213"/>
      <c r="AK3" s="220" t="s">
        <v>382</v>
      </c>
    </row>
    <row r="4" spans="1:37" x14ac:dyDescent="0.15">
      <c r="A4" s="210">
        <v>2103</v>
      </c>
      <c r="B4" s="211">
        <v>42560</v>
      </c>
      <c r="C4" s="221" t="s">
        <v>334</v>
      </c>
      <c r="D4" s="213" t="s">
        <v>355</v>
      </c>
      <c r="E4" s="214">
        <v>42369</v>
      </c>
      <c r="F4" s="212" t="s">
        <v>372</v>
      </c>
      <c r="G4" s="213" t="s">
        <v>380</v>
      </c>
      <c r="H4" s="215">
        <v>59.1</v>
      </c>
      <c r="I4" s="216" t="s">
        <v>323</v>
      </c>
      <c r="J4" s="217">
        <v>1200</v>
      </c>
      <c r="K4" s="217">
        <v>2400</v>
      </c>
      <c r="L4" s="217">
        <v>5400</v>
      </c>
      <c r="M4" s="217">
        <v>165400</v>
      </c>
      <c r="N4" s="217">
        <v>832000</v>
      </c>
      <c r="O4" s="218">
        <v>4.0099999999999989</v>
      </c>
      <c r="P4" s="218">
        <v>2.65</v>
      </c>
      <c r="Q4" s="218">
        <v>2.4899999999999998</v>
      </c>
      <c r="R4" s="218">
        <v>2.46</v>
      </c>
      <c r="S4" s="218">
        <v>2.3499999999999996</v>
      </c>
      <c r="T4" s="218">
        <v>1.95</v>
      </c>
      <c r="U4" s="218" t="s">
        <v>370</v>
      </c>
      <c r="V4" s="218" t="s">
        <v>370</v>
      </c>
      <c r="W4" s="218" t="s">
        <v>370</v>
      </c>
      <c r="X4" s="218" t="s">
        <v>370</v>
      </c>
      <c r="Y4" s="218" t="s">
        <v>370</v>
      </c>
      <c r="Z4" s="218" t="s">
        <v>370</v>
      </c>
      <c r="AA4" s="218" t="s">
        <v>370</v>
      </c>
      <c r="AB4" s="218" t="s">
        <v>370</v>
      </c>
      <c r="AC4" s="218" t="s">
        <v>370</v>
      </c>
      <c r="AD4" s="218" t="s">
        <v>370</v>
      </c>
      <c r="AE4" s="218" t="s">
        <v>370</v>
      </c>
      <c r="AF4" s="218" t="s">
        <v>370</v>
      </c>
      <c r="AG4" s="219" t="s">
        <v>371</v>
      </c>
      <c r="AH4" s="219"/>
      <c r="AI4" s="219"/>
      <c r="AJ4" s="219"/>
      <c r="AK4" s="220" t="s">
        <v>383</v>
      </c>
    </row>
    <row r="5" spans="1:37" x14ac:dyDescent="0.15">
      <c r="A5" s="210">
        <v>2106</v>
      </c>
      <c r="B5" s="211">
        <v>42560</v>
      </c>
      <c r="C5" s="212" t="s">
        <v>334</v>
      </c>
      <c r="D5" s="213" t="s">
        <v>355</v>
      </c>
      <c r="E5" s="214">
        <v>42551</v>
      </c>
      <c r="F5" s="212" t="s">
        <v>373</v>
      </c>
      <c r="G5" s="213" t="s">
        <v>380</v>
      </c>
      <c r="H5" s="215">
        <v>60.399999999999991</v>
      </c>
      <c r="I5" s="216" t="s">
        <v>323</v>
      </c>
      <c r="J5" s="217">
        <v>1200</v>
      </c>
      <c r="K5" s="217">
        <v>2400</v>
      </c>
      <c r="L5" s="217">
        <v>5400</v>
      </c>
      <c r="M5" s="217">
        <v>165400</v>
      </c>
      <c r="N5" s="217">
        <v>832000</v>
      </c>
      <c r="O5" s="218">
        <v>3.7818181818181817</v>
      </c>
      <c r="P5" s="218">
        <v>2.6363636363636362</v>
      </c>
      <c r="Q5" s="218">
        <v>2.5181818181818181</v>
      </c>
      <c r="R5" s="218">
        <v>2.418181818181818</v>
      </c>
      <c r="S5" s="218">
        <v>2.3454545454545452</v>
      </c>
      <c r="T5" s="218">
        <v>2.0818181818181816</v>
      </c>
      <c r="U5" s="218" t="s">
        <v>370</v>
      </c>
      <c r="V5" s="218" t="s">
        <v>370</v>
      </c>
      <c r="W5" s="218" t="s">
        <v>370</v>
      </c>
      <c r="X5" s="218" t="s">
        <v>370</v>
      </c>
      <c r="Y5" s="218" t="s">
        <v>370</v>
      </c>
      <c r="Z5" s="218" t="s">
        <v>370</v>
      </c>
      <c r="AA5" s="218" t="s">
        <v>370</v>
      </c>
      <c r="AB5" s="218" t="s">
        <v>370</v>
      </c>
      <c r="AC5" s="218" t="s">
        <v>370</v>
      </c>
      <c r="AD5" s="218" t="s">
        <v>370</v>
      </c>
      <c r="AE5" s="218" t="s">
        <v>370</v>
      </c>
      <c r="AF5" s="218" t="s">
        <v>370</v>
      </c>
      <c r="AG5" s="219" t="s">
        <v>371</v>
      </c>
      <c r="AH5" s="213"/>
      <c r="AI5" s="213"/>
      <c r="AJ5" s="213"/>
      <c r="AK5" s="220" t="s">
        <v>384</v>
      </c>
    </row>
    <row r="6" spans="1:37" x14ac:dyDescent="0.15">
      <c r="A6" s="210">
        <v>2149</v>
      </c>
      <c r="B6" s="211">
        <v>42560</v>
      </c>
      <c r="C6" s="212" t="s">
        <v>334</v>
      </c>
      <c r="D6" s="213" t="s">
        <v>355</v>
      </c>
      <c r="E6" s="214">
        <v>42565</v>
      </c>
      <c r="F6" s="212" t="s">
        <v>374</v>
      </c>
      <c r="G6" s="213" t="s">
        <v>380</v>
      </c>
      <c r="H6" s="215">
        <v>59.1</v>
      </c>
      <c r="I6" s="216" t="s">
        <v>323</v>
      </c>
      <c r="J6" s="217">
        <v>1200</v>
      </c>
      <c r="K6" s="217">
        <v>165400</v>
      </c>
      <c r="L6" s="217">
        <v>165400</v>
      </c>
      <c r="M6" s="217">
        <v>165400</v>
      </c>
      <c r="N6" s="217">
        <v>165400</v>
      </c>
      <c r="O6" s="218">
        <v>3.5</v>
      </c>
      <c r="P6" s="218">
        <v>2.09</v>
      </c>
      <c r="Q6" s="218">
        <v>1.82</v>
      </c>
      <c r="R6" s="222">
        <v>1.82</v>
      </c>
      <c r="S6" s="222">
        <v>1.82</v>
      </c>
      <c r="T6" s="222">
        <v>1.82</v>
      </c>
      <c r="U6" s="218" t="s">
        <v>370</v>
      </c>
      <c r="V6" s="218" t="s">
        <v>370</v>
      </c>
      <c r="W6" s="218" t="s">
        <v>370</v>
      </c>
      <c r="X6" s="218" t="s">
        <v>370</v>
      </c>
      <c r="Y6" s="218" t="s">
        <v>370</v>
      </c>
      <c r="Z6" s="218" t="s">
        <v>370</v>
      </c>
      <c r="AA6" s="218" t="s">
        <v>370</v>
      </c>
      <c r="AB6" s="218" t="s">
        <v>370</v>
      </c>
      <c r="AC6" s="218" t="s">
        <v>370</v>
      </c>
      <c r="AD6" s="218" t="s">
        <v>370</v>
      </c>
      <c r="AE6" s="218" t="s">
        <v>370</v>
      </c>
      <c r="AF6" s="218" t="s">
        <v>370</v>
      </c>
      <c r="AG6" s="219" t="s">
        <v>371</v>
      </c>
      <c r="AH6" s="219"/>
      <c r="AI6" s="219"/>
      <c r="AJ6" s="219"/>
      <c r="AK6" s="220" t="s">
        <v>415</v>
      </c>
    </row>
    <row r="7" spans="1:37" x14ac:dyDescent="0.15">
      <c r="A7" s="210">
        <v>876</v>
      </c>
      <c r="B7" s="211">
        <v>42560</v>
      </c>
      <c r="C7" s="212" t="s">
        <v>334</v>
      </c>
      <c r="D7" s="213" t="s">
        <v>355</v>
      </c>
      <c r="E7" s="214">
        <v>42551</v>
      </c>
      <c r="F7" s="212" t="s">
        <v>327</v>
      </c>
      <c r="G7" s="213" t="s">
        <v>380</v>
      </c>
      <c r="H7" s="215">
        <v>64.8</v>
      </c>
      <c r="I7" s="216" t="s">
        <v>323</v>
      </c>
      <c r="J7" s="217">
        <v>1200</v>
      </c>
      <c r="K7" s="217">
        <v>2400</v>
      </c>
      <c r="L7" s="217">
        <v>5400</v>
      </c>
      <c r="M7" s="217">
        <v>165400</v>
      </c>
      <c r="N7" s="217">
        <v>165400</v>
      </c>
      <c r="O7" s="218">
        <v>4.1545454545454543</v>
      </c>
      <c r="P7" s="218">
        <v>2.8545454545454545</v>
      </c>
      <c r="Q7" s="218">
        <v>2.7</v>
      </c>
      <c r="R7" s="218">
        <v>2.6545454545454543</v>
      </c>
      <c r="S7" s="218">
        <v>2.5999999999999996</v>
      </c>
      <c r="T7" s="222">
        <v>2.5999999999999996</v>
      </c>
      <c r="U7" s="218" t="s">
        <v>370</v>
      </c>
      <c r="V7" s="218" t="s">
        <v>370</v>
      </c>
      <c r="W7" s="218" t="s">
        <v>370</v>
      </c>
      <c r="X7" s="218" t="s">
        <v>370</v>
      </c>
      <c r="Y7" s="218" t="s">
        <v>370</v>
      </c>
      <c r="Z7" s="218" t="s">
        <v>370</v>
      </c>
      <c r="AA7" s="218" t="s">
        <v>370</v>
      </c>
      <c r="AB7" s="218" t="s">
        <v>370</v>
      </c>
      <c r="AC7" s="218" t="s">
        <v>370</v>
      </c>
      <c r="AD7" s="218" t="s">
        <v>370</v>
      </c>
      <c r="AE7" s="218" t="s">
        <v>370</v>
      </c>
      <c r="AF7" s="218" t="s">
        <v>370</v>
      </c>
      <c r="AG7" s="219" t="s">
        <v>371</v>
      </c>
      <c r="AH7" s="213"/>
      <c r="AI7" s="213"/>
      <c r="AJ7" s="213"/>
      <c r="AK7" s="220" t="s">
        <v>385</v>
      </c>
    </row>
    <row r="8" spans="1:37" x14ac:dyDescent="0.15">
      <c r="A8" s="210">
        <v>1965</v>
      </c>
      <c r="B8" s="211">
        <v>42560</v>
      </c>
      <c r="C8" s="212" t="s">
        <v>334</v>
      </c>
      <c r="D8" s="213" t="s">
        <v>355</v>
      </c>
      <c r="E8" s="214">
        <v>42551</v>
      </c>
      <c r="F8" s="212" t="s">
        <v>340</v>
      </c>
      <c r="G8" s="213" t="s">
        <v>380</v>
      </c>
      <c r="H8" s="215">
        <v>42.999999999999993</v>
      </c>
      <c r="I8" s="216" t="s">
        <v>323</v>
      </c>
      <c r="J8" s="217">
        <v>1200</v>
      </c>
      <c r="K8" s="217">
        <v>2400</v>
      </c>
      <c r="L8" s="217">
        <v>5400</v>
      </c>
      <c r="M8" s="217">
        <v>165400</v>
      </c>
      <c r="N8" s="217">
        <v>832000</v>
      </c>
      <c r="O8" s="218">
        <v>4.4545454545454541</v>
      </c>
      <c r="P8" s="218">
        <v>2.9</v>
      </c>
      <c r="Q8" s="218">
        <v>2.8545454545454545</v>
      </c>
      <c r="R8" s="218">
        <v>2.8545454545454545</v>
      </c>
      <c r="S8" s="218">
        <v>2.8</v>
      </c>
      <c r="T8" s="218">
        <v>2.5999999999999996</v>
      </c>
      <c r="U8" s="218" t="s">
        <v>370</v>
      </c>
      <c r="V8" s="218" t="s">
        <v>370</v>
      </c>
      <c r="W8" s="218" t="s">
        <v>370</v>
      </c>
      <c r="X8" s="218" t="s">
        <v>370</v>
      </c>
      <c r="Y8" s="218" t="s">
        <v>370</v>
      </c>
      <c r="Z8" s="218" t="s">
        <v>370</v>
      </c>
      <c r="AA8" s="218" t="s">
        <v>370</v>
      </c>
      <c r="AB8" s="218" t="s">
        <v>370</v>
      </c>
      <c r="AC8" s="218" t="s">
        <v>370</v>
      </c>
      <c r="AD8" s="218" t="s">
        <v>370</v>
      </c>
      <c r="AE8" s="218" t="s">
        <v>370</v>
      </c>
      <c r="AF8" s="218" t="s">
        <v>370</v>
      </c>
      <c r="AG8" s="219" t="s">
        <v>371</v>
      </c>
      <c r="AH8" s="219"/>
      <c r="AI8" s="219"/>
      <c r="AJ8" s="219"/>
      <c r="AK8" s="220" t="s">
        <v>386</v>
      </c>
    </row>
    <row r="9" spans="1:37" x14ac:dyDescent="0.15">
      <c r="A9" s="210">
        <v>2105</v>
      </c>
      <c r="B9" s="211">
        <v>42560</v>
      </c>
      <c r="C9" s="212" t="s">
        <v>334</v>
      </c>
      <c r="D9" s="213" t="s">
        <v>355</v>
      </c>
      <c r="E9" s="214">
        <v>42551</v>
      </c>
      <c r="F9" s="212" t="s">
        <v>375</v>
      </c>
      <c r="G9" s="213" t="s">
        <v>380</v>
      </c>
      <c r="H9" s="215">
        <v>42.999999999999993</v>
      </c>
      <c r="I9" s="216" t="s">
        <v>323</v>
      </c>
      <c r="J9" s="217">
        <v>1200</v>
      </c>
      <c r="K9" s="217">
        <v>2400</v>
      </c>
      <c r="L9" s="217">
        <v>5400</v>
      </c>
      <c r="M9" s="217">
        <v>165400</v>
      </c>
      <c r="N9" s="217">
        <v>832000</v>
      </c>
      <c r="O9" s="218">
        <v>4.4545454545454541</v>
      </c>
      <c r="P9" s="218">
        <v>2.9</v>
      </c>
      <c r="Q9" s="218">
        <v>2.8545454545454545</v>
      </c>
      <c r="R9" s="218">
        <v>2.8545454545454545</v>
      </c>
      <c r="S9" s="218">
        <v>2.8</v>
      </c>
      <c r="T9" s="218">
        <v>2.5999999999999996</v>
      </c>
      <c r="U9" s="218" t="s">
        <v>370</v>
      </c>
      <c r="V9" s="218" t="s">
        <v>370</v>
      </c>
      <c r="W9" s="218" t="s">
        <v>370</v>
      </c>
      <c r="X9" s="218" t="s">
        <v>370</v>
      </c>
      <c r="Y9" s="218" t="s">
        <v>370</v>
      </c>
      <c r="Z9" s="218" t="s">
        <v>370</v>
      </c>
      <c r="AA9" s="218" t="s">
        <v>370</v>
      </c>
      <c r="AB9" s="218" t="s">
        <v>370</v>
      </c>
      <c r="AC9" s="218" t="s">
        <v>370</v>
      </c>
      <c r="AD9" s="218" t="s">
        <v>370</v>
      </c>
      <c r="AE9" s="218" t="s">
        <v>370</v>
      </c>
      <c r="AF9" s="218" t="s">
        <v>370</v>
      </c>
      <c r="AG9" s="219" t="s">
        <v>371</v>
      </c>
      <c r="AH9" s="219"/>
      <c r="AI9" s="219"/>
      <c r="AJ9" s="219"/>
      <c r="AK9" s="220" t="s">
        <v>387</v>
      </c>
    </row>
    <row r="10" spans="1:37" x14ac:dyDescent="0.15">
      <c r="A10" s="210">
        <v>1092</v>
      </c>
      <c r="B10" s="211">
        <v>42560</v>
      </c>
      <c r="C10" s="221" t="s">
        <v>334</v>
      </c>
      <c r="D10" s="213" t="s">
        <v>355</v>
      </c>
      <c r="E10" s="214">
        <v>42551</v>
      </c>
      <c r="F10" s="212" t="s">
        <v>376</v>
      </c>
      <c r="G10" s="213" t="s">
        <v>380</v>
      </c>
      <c r="H10" s="215">
        <v>52.999999999999993</v>
      </c>
      <c r="I10" s="216" t="s">
        <v>323</v>
      </c>
      <c r="J10" s="217">
        <v>1200</v>
      </c>
      <c r="K10" s="217">
        <v>2400</v>
      </c>
      <c r="L10" s="217">
        <v>5400</v>
      </c>
      <c r="M10" s="217">
        <v>165400</v>
      </c>
      <c r="N10" s="217">
        <v>832000</v>
      </c>
      <c r="O10" s="218">
        <v>3.4090909090909087</v>
      </c>
      <c r="P10" s="218">
        <v>2.2727272727272725</v>
      </c>
      <c r="Q10" s="218">
        <v>2.1</v>
      </c>
      <c r="R10" s="218">
        <v>2.0818181818181816</v>
      </c>
      <c r="S10" s="218">
        <v>1.9818181818181817</v>
      </c>
      <c r="T10" s="218">
        <v>1.1272727272727272</v>
      </c>
      <c r="U10" s="218" t="s">
        <v>370</v>
      </c>
      <c r="V10" s="218" t="s">
        <v>370</v>
      </c>
      <c r="W10" s="218" t="s">
        <v>370</v>
      </c>
      <c r="X10" s="218" t="s">
        <v>370</v>
      </c>
      <c r="Y10" s="218" t="s">
        <v>370</v>
      </c>
      <c r="Z10" s="218" t="s">
        <v>370</v>
      </c>
      <c r="AA10" s="218" t="s">
        <v>370</v>
      </c>
      <c r="AB10" s="218" t="s">
        <v>370</v>
      </c>
      <c r="AC10" s="218" t="s">
        <v>370</v>
      </c>
      <c r="AD10" s="218" t="s">
        <v>370</v>
      </c>
      <c r="AE10" s="218" t="s">
        <v>370</v>
      </c>
      <c r="AF10" s="218" t="s">
        <v>370</v>
      </c>
      <c r="AG10" s="219" t="s">
        <v>371</v>
      </c>
      <c r="AH10" s="219"/>
      <c r="AI10" s="219"/>
      <c r="AJ10" s="219"/>
      <c r="AK10" s="220" t="s">
        <v>388</v>
      </c>
    </row>
    <row r="11" spans="1:37" x14ac:dyDescent="0.15">
      <c r="A11" s="210"/>
      <c r="B11" s="211">
        <v>42560</v>
      </c>
      <c r="C11" s="221" t="s">
        <v>334</v>
      </c>
      <c r="D11" s="213" t="s">
        <v>355</v>
      </c>
      <c r="E11" s="214">
        <v>42551</v>
      </c>
      <c r="F11" s="212" t="s">
        <v>389</v>
      </c>
      <c r="G11" s="213" t="s">
        <v>380</v>
      </c>
      <c r="H11" s="215">
        <v>54.999999999999993</v>
      </c>
      <c r="I11" s="216" t="s">
        <v>323</v>
      </c>
      <c r="J11" s="217">
        <v>1200</v>
      </c>
      <c r="K11" s="217">
        <v>2400</v>
      </c>
      <c r="L11" s="217">
        <v>5400</v>
      </c>
      <c r="M11" s="217">
        <v>165400</v>
      </c>
      <c r="N11" s="217">
        <v>832000</v>
      </c>
      <c r="O11" s="218">
        <v>4</v>
      </c>
      <c r="P11" s="218">
        <v>2.8</v>
      </c>
      <c r="Q11" s="218">
        <v>2.6545454545454543</v>
      </c>
      <c r="R11" s="218">
        <v>2.6545454545454543</v>
      </c>
      <c r="S11" s="218">
        <v>2.5</v>
      </c>
      <c r="T11" s="218">
        <v>2.1999999999999997</v>
      </c>
      <c r="U11" s="218" t="s">
        <v>370</v>
      </c>
      <c r="V11" s="218" t="s">
        <v>370</v>
      </c>
      <c r="W11" s="218" t="s">
        <v>370</v>
      </c>
      <c r="X11" s="218" t="s">
        <v>370</v>
      </c>
      <c r="Y11" s="218" t="s">
        <v>370</v>
      </c>
      <c r="Z11" s="218" t="s">
        <v>370</v>
      </c>
      <c r="AA11" s="218" t="s">
        <v>370</v>
      </c>
      <c r="AB11" s="218" t="s">
        <v>370</v>
      </c>
      <c r="AC11" s="218" t="s">
        <v>370</v>
      </c>
      <c r="AD11" s="218" t="s">
        <v>370</v>
      </c>
      <c r="AE11" s="218" t="s">
        <v>370</v>
      </c>
      <c r="AF11" s="218" t="s">
        <v>370</v>
      </c>
      <c r="AG11" s="219" t="s">
        <v>371</v>
      </c>
      <c r="AH11" s="219"/>
      <c r="AI11" s="219"/>
      <c r="AJ11" s="219"/>
      <c r="AK11" s="220" t="s">
        <v>390</v>
      </c>
    </row>
    <row r="12" spans="1:37" x14ac:dyDescent="0.15">
      <c r="A12" s="210"/>
      <c r="B12" s="211">
        <v>42560</v>
      </c>
      <c r="C12" s="221" t="s">
        <v>334</v>
      </c>
      <c r="D12" s="213" t="s">
        <v>355</v>
      </c>
      <c r="E12" s="214">
        <v>42551</v>
      </c>
      <c r="F12" s="212" t="s">
        <v>391</v>
      </c>
      <c r="G12" s="213" t="s">
        <v>380</v>
      </c>
      <c r="H12" s="215">
        <v>63.25454545454545</v>
      </c>
      <c r="I12" s="216" t="s">
        <v>323</v>
      </c>
      <c r="J12" s="217">
        <v>1200</v>
      </c>
      <c r="K12" s="217">
        <v>2400</v>
      </c>
      <c r="L12" s="217">
        <v>5400</v>
      </c>
      <c r="M12" s="217">
        <v>165400</v>
      </c>
      <c r="N12" s="217">
        <v>832000</v>
      </c>
      <c r="O12" s="218">
        <v>4.836363636363636</v>
      </c>
      <c r="P12" s="218">
        <v>2.9727272727272727</v>
      </c>
      <c r="Q12" s="218">
        <v>2.918181818181818</v>
      </c>
      <c r="R12" s="218">
        <v>2.8636363636363633</v>
      </c>
      <c r="S12" s="218">
        <v>2.5909090909090908</v>
      </c>
      <c r="T12" s="218">
        <v>2.1999999999999997</v>
      </c>
      <c r="U12" s="218" t="s">
        <v>370</v>
      </c>
      <c r="V12" s="218" t="s">
        <v>370</v>
      </c>
      <c r="W12" s="218" t="s">
        <v>370</v>
      </c>
      <c r="X12" s="218" t="s">
        <v>370</v>
      </c>
      <c r="Y12" s="218" t="s">
        <v>370</v>
      </c>
      <c r="Z12" s="218" t="s">
        <v>370</v>
      </c>
      <c r="AA12" s="218" t="s">
        <v>370</v>
      </c>
      <c r="AB12" s="218" t="s">
        <v>370</v>
      </c>
      <c r="AC12" s="218" t="s">
        <v>370</v>
      </c>
      <c r="AD12" s="218" t="s">
        <v>370</v>
      </c>
      <c r="AE12" s="218" t="s">
        <v>370</v>
      </c>
      <c r="AF12" s="218" t="s">
        <v>370</v>
      </c>
      <c r="AG12" s="219" t="s">
        <v>371</v>
      </c>
      <c r="AH12" s="219"/>
      <c r="AI12" s="219"/>
      <c r="AJ12" s="219"/>
      <c r="AK12" s="220" t="s">
        <v>392</v>
      </c>
    </row>
    <row r="13" spans="1:37" x14ac:dyDescent="0.15">
      <c r="A13" s="210"/>
      <c r="B13" s="211">
        <v>42560</v>
      </c>
      <c r="C13" s="221" t="s">
        <v>334</v>
      </c>
      <c r="D13" s="213" t="s">
        <v>355</v>
      </c>
      <c r="E13" s="214">
        <v>42468</v>
      </c>
      <c r="F13" s="212" t="s">
        <v>393</v>
      </c>
      <c r="G13" s="213" t="s">
        <v>380</v>
      </c>
      <c r="H13" s="215">
        <v>80</v>
      </c>
      <c r="I13" s="216" t="s">
        <v>323</v>
      </c>
      <c r="J13" s="217">
        <v>1200</v>
      </c>
      <c r="K13" s="217">
        <v>2400</v>
      </c>
      <c r="L13" s="217">
        <v>5400</v>
      </c>
      <c r="M13" s="217">
        <v>165400</v>
      </c>
      <c r="N13" s="217">
        <v>832000</v>
      </c>
      <c r="O13" s="218">
        <v>4</v>
      </c>
      <c r="P13" s="218">
        <v>2.8</v>
      </c>
      <c r="Q13" s="218">
        <v>2.5999999999999996</v>
      </c>
      <c r="R13" s="218">
        <v>2.5</v>
      </c>
      <c r="S13" s="218">
        <v>2.4</v>
      </c>
      <c r="T13" s="222">
        <v>2.4</v>
      </c>
      <c r="U13" s="218" t="s">
        <v>370</v>
      </c>
      <c r="V13" s="218" t="s">
        <v>370</v>
      </c>
      <c r="W13" s="218" t="s">
        <v>370</v>
      </c>
      <c r="X13" s="218" t="s">
        <v>370</v>
      </c>
      <c r="Y13" s="218" t="s">
        <v>370</v>
      </c>
      <c r="Z13" s="218" t="s">
        <v>370</v>
      </c>
      <c r="AA13" s="218" t="s">
        <v>370</v>
      </c>
      <c r="AB13" s="218" t="s">
        <v>370</v>
      </c>
      <c r="AC13" s="218" t="s">
        <v>370</v>
      </c>
      <c r="AD13" s="218" t="s">
        <v>370</v>
      </c>
      <c r="AE13" s="218" t="s">
        <v>370</v>
      </c>
      <c r="AF13" s="218" t="s">
        <v>370</v>
      </c>
      <c r="AG13" s="219" t="s">
        <v>371</v>
      </c>
      <c r="AH13" s="219"/>
      <c r="AI13" s="219"/>
      <c r="AJ13" s="219"/>
      <c r="AK13" s="220" t="s">
        <v>394</v>
      </c>
    </row>
    <row r="14" spans="1:37" x14ac:dyDescent="0.15">
      <c r="A14" s="210"/>
      <c r="B14" s="223">
        <v>42564</v>
      </c>
      <c r="C14" s="221" t="s">
        <v>334</v>
      </c>
      <c r="D14" s="213" t="s">
        <v>355</v>
      </c>
      <c r="E14" s="214">
        <v>42551</v>
      </c>
      <c r="F14" s="212" t="s">
        <v>395</v>
      </c>
      <c r="G14" s="213" t="s">
        <v>380</v>
      </c>
      <c r="H14" s="215">
        <v>72</v>
      </c>
      <c r="I14" s="216" t="s">
        <v>323</v>
      </c>
      <c r="J14" s="217">
        <v>37260</v>
      </c>
      <c r="K14" s="217"/>
      <c r="L14" s="217"/>
      <c r="M14" s="217"/>
      <c r="N14" s="217"/>
      <c r="O14" s="218">
        <v>3.9</v>
      </c>
      <c r="P14" s="218">
        <v>2.7</v>
      </c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9" t="s">
        <v>371</v>
      </c>
      <c r="AH14" s="219"/>
      <c r="AI14" s="219"/>
      <c r="AJ14" s="219"/>
      <c r="AK14" s="220" t="s">
        <v>396</v>
      </c>
    </row>
    <row r="15" spans="1:37" x14ac:dyDescent="0.15">
      <c r="A15" s="210">
        <v>871</v>
      </c>
      <c r="B15" s="223">
        <v>42564</v>
      </c>
      <c r="C15" s="212" t="s">
        <v>334</v>
      </c>
      <c r="D15" s="213" t="s">
        <v>360</v>
      </c>
      <c r="E15" s="214">
        <v>42551</v>
      </c>
      <c r="F15" s="212" t="s">
        <v>397</v>
      </c>
      <c r="G15" s="213" t="s">
        <v>380</v>
      </c>
      <c r="H15" s="215">
        <v>58.754545454545443</v>
      </c>
      <c r="I15" s="216" t="s">
        <v>323</v>
      </c>
      <c r="J15" s="217">
        <v>1200</v>
      </c>
      <c r="K15" s="217">
        <v>2400</v>
      </c>
      <c r="L15" s="217">
        <v>5400</v>
      </c>
      <c r="M15" s="217">
        <v>165400</v>
      </c>
      <c r="N15" s="217">
        <v>832000</v>
      </c>
      <c r="O15" s="218">
        <v>3.8909090909090907</v>
      </c>
      <c r="P15" s="218">
        <v>2.5818181818181816</v>
      </c>
      <c r="Q15" s="218">
        <v>2.545454545454545</v>
      </c>
      <c r="R15" s="218">
        <v>2.4727272727272727</v>
      </c>
      <c r="S15" s="218">
        <v>2.2909090909090906</v>
      </c>
      <c r="T15" s="218">
        <v>0.5</v>
      </c>
      <c r="U15" s="218" t="s">
        <v>370</v>
      </c>
      <c r="V15" s="218" t="s">
        <v>370</v>
      </c>
      <c r="W15" s="218" t="s">
        <v>370</v>
      </c>
      <c r="X15" s="218" t="s">
        <v>370</v>
      </c>
      <c r="Y15" s="218" t="s">
        <v>370</v>
      </c>
      <c r="Z15" s="218" t="s">
        <v>370</v>
      </c>
      <c r="AA15" s="218" t="s">
        <v>370</v>
      </c>
      <c r="AB15" s="218" t="s">
        <v>370</v>
      </c>
      <c r="AC15" s="218" t="s">
        <v>370</v>
      </c>
      <c r="AD15" s="218" t="s">
        <v>370</v>
      </c>
      <c r="AE15" s="218" t="s">
        <v>370</v>
      </c>
      <c r="AF15" s="218" t="s">
        <v>370</v>
      </c>
      <c r="AG15" s="219" t="s">
        <v>371</v>
      </c>
      <c r="AH15" s="213"/>
      <c r="AI15" s="213"/>
      <c r="AJ15" s="213"/>
      <c r="AK15" t="s">
        <v>413</v>
      </c>
    </row>
    <row r="16" spans="1:37" x14ac:dyDescent="0.15">
      <c r="A16" s="210">
        <v>2108</v>
      </c>
      <c r="B16" s="223">
        <v>42564</v>
      </c>
      <c r="C16" s="212" t="s">
        <v>334</v>
      </c>
      <c r="D16" s="213" t="s">
        <v>360</v>
      </c>
      <c r="E16" s="214">
        <v>42551</v>
      </c>
      <c r="F16" s="212" t="s">
        <v>373</v>
      </c>
      <c r="G16" s="213" t="s">
        <v>380</v>
      </c>
      <c r="H16" s="215">
        <v>60.29999999999999</v>
      </c>
      <c r="I16" s="216" t="s">
        <v>323</v>
      </c>
      <c r="J16" s="217">
        <v>1200</v>
      </c>
      <c r="K16" s="217">
        <v>2400</v>
      </c>
      <c r="L16" s="217">
        <v>5400</v>
      </c>
      <c r="M16" s="217">
        <v>165400</v>
      </c>
      <c r="N16" s="217">
        <v>832000</v>
      </c>
      <c r="O16" s="218">
        <v>4.1363636363636358</v>
      </c>
      <c r="P16" s="218">
        <v>2.7636363636363632</v>
      </c>
      <c r="Q16" s="218">
        <v>2.6454545454545455</v>
      </c>
      <c r="R16" s="218">
        <v>2.545454545454545</v>
      </c>
      <c r="S16" s="218">
        <v>2.4363636363636365</v>
      </c>
      <c r="T16" s="218">
        <v>2.1181818181818182</v>
      </c>
      <c r="U16" s="218" t="s">
        <v>370</v>
      </c>
      <c r="V16" s="218" t="s">
        <v>370</v>
      </c>
      <c r="W16" s="218" t="s">
        <v>370</v>
      </c>
      <c r="X16" s="218" t="s">
        <v>370</v>
      </c>
      <c r="Y16" s="218" t="s">
        <v>370</v>
      </c>
      <c r="Z16" s="218" t="s">
        <v>370</v>
      </c>
      <c r="AA16" s="218" t="s">
        <v>370</v>
      </c>
      <c r="AB16" s="218" t="s">
        <v>370</v>
      </c>
      <c r="AC16" s="218" t="s">
        <v>370</v>
      </c>
      <c r="AD16" s="218" t="s">
        <v>370</v>
      </c>
      <c r="AE16" s="218" t="s">
        <v>370</v>
      </c>
      <c r="AF16" s="218" t="s">
        <v>370</v>
      </c>
      <c r="AG16" s="219" t="s">
        <v>371</v>
      </c>
      <c r="AH16" s="213"/>
      <c r="AI16" s="213"/>
      <c r="AJ16" s="213"/>
      <c r="AK16" t="s">
        <v>398</v>
      </c>
    </row>
    <row r="17" spans="1:37" x14ac:dyDescent="0.15">
      <c r="A17" s="210">
        <v>872</v>
      </c>
      <c r="B17" s="223">
        <v>42564</v>
      </c>
      <c r="C17" s="212" t="s">
        <v>334</v>
      </c>
      <c r="D17" s="213" t="s">
        <v>361</v>
      </c>
      <c r="E17" s="214">
        <v>42551</v>
      </c>
      <c r="F17" s="212" t="s">
        <v>397</v>
      </c>
      <c r="G17" s="213" t="s">
        <v>380</v>
      </c>
      <c r="H17" s="215">
        <v>81.354545454545445</v>
      </c>
      <c r="I17" s="216" t="s">
        <v>323</v>
      </c>
      <c r="J17" s="217">
        <v>2460</v>
      </c>
      <c r="K17" s="217">
        <v>28980</v>
      </c>
      <c r="L17" s="217">
        <v>118320</v>
      </c>
      <c r="M17" s="217">
        <v>118320</v>
      </c>
      <c r="N17" s="217">
        <v>118320</v>
      </c>
      <c r="O17" s="218">
        <v>3.1545454545454543</v>
      </c>
      <c r="P17" s="218">
        <v>2.627272727272727</v>
      </c>
      <c r="Q17" s="218">
        <v>2.5363636363636362</v>
      </c>
      <c r="R17" s="218">
        <v>2.5090909090909088</v>
      </c>
      <c r="S17" s="218">
        <v>0</v>
      </c>
      <c r="T17" s="218">
        <v>0</v>
      </c>
      <c r="U17" s="218" t="s">
        <v>370</v>
      </c>
      <c r="V17" s="218" t="s">
        <v>370</v>
      </c>
      <c r="W17" s="218" t="s">
        <v>370</v>
      </c>
      <c r="X17" s="218" t="s">
        <v>370</v>
      </c>
      <c r="Y17" s="218" t="s">
        <v>370</v>
      </c>
      <c r="Z17" s="218" t="s">
        <v>370</v>
      </c>
      <c r="AA17" s="218" t="s">
        <v>370</v>
      </c>
      <c r="AB17" s="218" t="s">
        <v>370</v>
      </c>
      <c r="AC17" s="218" t="s">
        <v>370</v>
      </c>
      <c r="AD17" s="218" t="s">
        <v>370</v>
      </c>
      <c r="AE17" s="218" t="s">
        <v>370</v>
      </c>
      <c r="AF17" s="218" t="s">
        <v>370</v>
      </c>
      <c r="AG17" s="219" t="s">
        <v>371</v>
      </c>
      <c r="AH17" s="219"/>
      <c r="AI17" s="219"/>
      <c r="AJ17" s="219"/>
      <c r="AK17" t="s">
        <v>398</v>
      </c>
    </row>
    <row r="18" spans="1:37" x14ac:dyDescent="0.15">
      <c r="A18" s="210">
        <v>2109</v>
      </c>
      <c r="B18" s="211">
        <v>42560</v>
      </c>
      <c r="C18" s="212" t="s">
        <v>334</v>
      </c>
      <c r="D18" s="213" t="s">
        <v>361</v>
      </c>
      <c r="E18" s="214">
        <v>42467</v>
      </c>
      <c r="F18" s="212" t="s">
        <v>373</v>
      </c>
      <c r="G18" s="213" t="s">
        <v>380</v>
      </c>
      <c r="H18" s="215">
        <v>73.199999999999989</v>
      </c>
      <c r="I18" s="216" t="s">
        <v>323</v>
      </c>
      <c r="J18" s="217">
        <v>2460</v>
      </c>
      <c r="K18" s="217">
        <v>164700</v>
      </c>
      <c r="L18" s="217">
        <v>822540</v>
      </c>
      <c r="M18" s="217">
        <v>822540</v>
      </c>
      <c r="N18" s="217">
        <v>822540</v>
      </c>
      <c r="O18" s="218">
        <v>3.0363636363636362</v>
      </c>
      <c r="P18" s="218">
        <v>3.0909090909090904</v>
      </c>
      <c r="Q18" s="218">
        <v>2.6727272727272724</v>
      </c>
      <c r="R18" s="218">
        <v>2.4636363636363634</v>
      </c>
      <c r="S18" s="218">
        <v>0</v>
      </c>
      <c r="T18" s="218">
        <v>0</v>
      </c>
      <c r="U18" s="218" t="s">
        <v>370</v>
      </c>
      <c r="V18" s="218" t="s">
        <v>370</v>
      </c>
      <c r="W18" s="218" t="s">
        <v>370</v>
      </c>
      <c r="X18" s="218" t="s">
        <v>370</v>
      </c>
      <c r="Y18" s="218" t="s">
        <v>370</v>
      </c>
      <c r="Z18" s="218" t="s">
        <v>370</v>
      </c>
      <c r="AA18" s="218" t="s">
        <v>370</v>
      </c>
      <c r="AB18" s="218" t="s">
        <v>370</v>
      </c>
      <c r="AC18" s="218" t="s">
        <v>370</v>
      </c>
      <c r="AD18" s="218" t="s">
        <v>370</v>
      </c>
      <c r="AE18" s="218" t="s">
        <v>370</v>
      </c>
      <c r="AF18" s="218" t="s">
        <v>370</v>
      </c>
      <c r="AG18" s="219" t="s">
        <v>371</v>
      </c>
      <c r="AH18" s="219"/>
      <c r="AI18" s="219"/>
      <c r="AJ18" s="219"/>
      <c r="AK18" s="220" t="s">
        <v>399</v>
      </c>
    </row>
    <row r="19" spans="1:37" x14ac:dyDescent="0.15">
      <c r="A19" s="210">
        <v>873</v>
      </c>
      <c r="B19" s="223">
        <v>42564</v>
      </c>
      <c r="C19" s="212" t="s">
        <v>334</v>
      </c>
      <c r="D19" s="213" t="s">
        <v>362</v>
      </c>
      <c r="E19" s="214">
        <v>42551</v>
      </c>
      <c r="F19" s="212" t="s">
        <v>397</v>
      </c>
      <c r="G19" s="213" t="s">
        <v>380</v>
      </c>
      <c r="H19" s="215">
        <v>87.490909090909085</v>
      </c>
      <c r="I19" s="216"/>
      <c r="J19" s="217"/>
      <c r="K19" s="217"/>
      <c r="L19" s="217"/>
      <c r="M19" s="217"/>
      <c r="N19" s="217"/>
      <c r="O19" s="218">
        <v>2.8909090909090907</v>
      </c>
      <c r="P19" s="218"/>
      <c r="Q19" s="218"/>
      <c r="R19" s="218"/>
      <c r="S19" s="218"/>
      <c r="T19" s="218"/>
      <c r="U19" s="218" t="s">
        <v>370</v>
      </c>
      <c r="V19" s="218" t="s">
        <v>370</v>
      </c>
      <c r="W19" s="218" t="s">
        <v>370</v>
      </c>
      <c r="X19" s="218" t="s">
        <v>370</v>
      </c>
      <c r="Y19" s="218" t="s">
        <v>370</v>
      </c>
      <c r="Z19" s="218" t="s">
        <v>370</v>
      </c>
      <c r="AA19" s="218" t="s">
        <v>370</v>
      </c>
      <c r="AB19" s="218" t="s">
        <v>370</v>
      </c>
      <c r="AC19" s="218" t="s">
        <v>370</v>
      </c>
      <c r="AD19" s="218" t="s">
        <v>370</v>
      </c>
      <c r="AE19" s="218" t="s">
        <v>370</v>
      </c>
      <c r="AF19" s="218" t="s">
        <v>370</v>
      </c>
      <c r="AG19" s="219" t="s">
        <v>371</v>
      </c>
      <c r="AH19" s="219"/>
      <c r="AI19" s="219"/>
      <c r="AJ19" s="219"/>
      <c r="AK19" t="s">
        <v>398</v>
      </c>
    </row>
    <row r="20" spans="1:37" x14ac:dyDescent="0.15">
      <c r="A20" s="210">
        <v>2110</v>
      </c>
      <c r="B20" s="211">
        <v>42560</v>
      </c>
      <c r="C20" s="212" t="s">
        <v>334</v>
      </c>
      <c r="D20" s="213" t="s">
        <v>363</v>
      </c>
      <c r="E20" s="214">
        <v>42467</v>
      </c>
      <c r="F20" s="212" t="s">
        <v>373</v>
      </c>
      <c r="G20" s="213" t="s">
        <v>380</v>
      </c>
      <c r="H20" s="215">
        <v>79.599999999999994</v>
      </c>
      <c r="I20" s="216" t="s">
        <v>323</v>
      </c>
      <c r="J20" s="217">
        <v>6000</v>
      </c>
      <c r="K20" s="217">
        <v>12000</v>
      </c>
      <c r="L20" s="217">
        <v>84000</v>
      </c>
      <c r="M20" s="217">
        <v>84000</v>
      </c>
      <c r="N20" s="217">
        <v>84000</v>
      </c>
      <c r="O20" s="218">
        <v>2.5</v>
      </c>
      <c r="P20" s="218">
        <v>2.3181818181818179</v>
      </c>
      <c r="Q20" s="218">
        <v>2.2636363636363637</v>
      </c>
      <c r="R20" s="218">
        <v>2.2636363636363637</v>
      </c>
      <c r="S20" s="218">
        <v>0</v>
      </c>
      <c r="T20" s="218">
        <v>0</v>
      </c>
      <c r="U20" s="218" t="s">
        <v>370</v>
      </c>
      <c r="V20" s="218" t="s">
        <v>370</v>
      </c>
      <c r="W20" s="218" t="s">
        <v>370</v>
      </c>
      <c r="X20" s="218" t="s">
        <v>370</v>
      </c>
      <c r="Y20" s="218" t="s">
        <v>370</v>
      </c>
      <c r="Z20" s="218" t="s">
        <v>370</v>
      </c>
      <c r="AA20" s="218" t="s">
        <v>370</v>
      </c>
      <c r="AB20" s="218" t="s">
        <v>370</v>
      </c>
      <c r="AC20" s="218" t="s">
        <v>370</v>
      </c>
      <c r="AD20" s="218" t="s">
        <v>370</v>
      </c>
      <c r="AE20" s="218" t="s">
        <v>370</v>
      </c>
      <c r="AF20" s="218" t="s">
        <v>370</v>
      </c>
      <c r="AG20" s="219" t="s">
        <v>371</v>
      </c>
      <c r="AH20" s="219"/>
      <c r="AI20" s="219"/>
      <c r="AJ20" s="219"/>
      <c r="AK20" s="220" t="s">
        <v>400</v>
      </c>
    </row>
    <row r="21" spans="1:37" x14ac:dyDescent="0.15">
      <c r="A21" s="210">
        <v>2153</v>
      </c>
      <c r="B21" s="211">
        <v>42560</v>
      </c>
      <c r="C21" s="212" t="s">
        <v>334</v>
      </c>
      <c r="D21" s="213" t="s">
        <v>363</v>
      </c>
      <c r="E21" s="214">
        <v>42565</v>
      </c>
      <c r="F21" s="212" t="s">
        <v>374</v>
      </c>
      <c r="G21" s="213" t="s">
        <v>380</v>
      </c>
      <c r="H21" s="215">
        <v>54.518181818181816</v>
      </c>
      <c r="I21" s="216" t="s">
        <v>348</v>
      </c>
      <c r="J21" s="217">
        <v>1650</v>
      </c>
      <c r="K21" s="217">
        <v>1650</v>
      </c>
      <c r="L21" s="217">
        <v>1650</v>
      </c>
      <c r="M21" s="217">
        <v>1650</v>
      </c>
      <c r="N21" s="217">
        <v>1650</v>
      </c>
      <c r="O21" s="218">
        <v>2.09</v>
      </c>
      <c r="P21" s="218">
        <v>1.77</v>
      </c>
      <c r="Q21" s="218">
        <v>1.77</v>
      </c>
      <c r="R21" s="218">
        <v>1.77</v>
      </c>
      <c r="S21" s="218">
        <v>1.77</v>
      </c>
      <c r="T21" s="218">
        <v>1.77</v>
      </c>
      <c r="U21" s="218" t="s">
        <v>370</v>
      </c>
      <c r="V21" s="218" t="s">
        <v>370</v>
      </c>
      <c r="W21" s="218" t="s">
        <v>370</v>
      </c>
      <c r="X21" s="218" t="s">
        <v>370</v>
      </c>
      <c r="Y21" s="218" t="s">
        <v>370</v>
      </c>
      <c r="Z21" s="218" t="s">
        <v>370</v>
      </c>
      <c r="AA21" s="218" t="s">
        <v>370</v>
      </c>
      <c r="AB21" s="218" t="s">
        <v>370</v>
      </c>
      <c r="AC21" s="218" t="s">
        <v>370</v>
      </c>
      <c r="AD21" s="218" t="s">
        <v>370</v>
      </c>
      <c r="AE21" s="218" t="s">
        <v>370</v>
      </c>
      <c r="AF21" s="218" t="s">
        <v>370</v>
      </c>
      <c r="AG21" s="219" t="s">
        <v>371</v>
      </c>
      <c r="AH21" s="219"/>
      <c r="AI21" s="219"/>
      <c r="AJ21" s="219"/>
      <c r="AK21" s="220" t="s">
        <v>416</v>
      </c>
    </row>
    <row r="22" spans="1:37" x14ac:dyDescent="0.15">
      <c r="A22" s="210">
        <v>2097</v>
      </c>
      <c r="B22" s="211">
        <v>42560</v>
      </c>
      <c r="C22" s="212" t="s">
        <v>334</v>
      </c>
      <c r="D22" s="213" t="s">
        <v>363</v>
      </c>
      <c r="E22" s="214">
        <v>42551</v>
      </c>
      <c r="F22" s="212" t="s">
        <v>133</v>
      </c>
      <c r="G22" s="213" t="s">
        <v>380</v>
      </c>
      <c r="H22" s="215">
        <v>64.172727272727272</v>
      </c>
      <c r="I22" s="216" t="s">
        <v>323</v>
      </c>
      <c r="J22" s="217">
        <v>1650</v>
      </c>
      <c r="K22" s="217">
        <v>2960</v>
      </c>
      <c r="L22" s="217">
        <v>2960</v>
      </c>
      <c r="M22" s="217">
        <v>2960</v>
      </c>
      <c r="N22" s="217">
        <v>2960</v>
      </c>
      <c r="O22" s="218">
        <v>2.2181818181818178</v>
      </c>
      <c r="P22" s="218">
        <v>2</v>
      </c>
      <c r="Q22" s="218">
        <v>1.8909090909090909</v>
      </c>
      <c r="R22" s="218">
        <v>0</v>
      </c>
      <c r="S22" s="218">
        <v>0</v>
      </c>
      <c r="T22" s="218">
        <v>0</v>
      </c>
      <c r="U22" s="218" t="s">
        <v>370</v>
      </c>
      <c r="V22" s="218" t="s">
        <v>370</v>
      </c>
      <c r="W22" s="218" t="s">
        <v>370</v>
      </c>
      <c r="X22" s="218" t="s">
        <v>370</v>
      </c>
      <c r="Y22" s="218" t="s">
        <v>370</v>
      </c>
      <c r="Z22" s="218" t="s">
        <v>370</v>
      </c>
      <c r="AA22" s="218" t="s">
        <v>370</v>
      </c>
      <c r="AB22" s="218" t="s">
        <v>370</v>
      </c>
      <c r="AC22" s="218" t="s">
        <v>370</v>
      </c>
      <c r="AD22" s="218" t="s">
        <v>370</v>
      </c>
      <c r="AE22" s="218" t="s">
        <v>370</v>
      </c>
      <c r="AF22" s="218" t="s">
        <v>370</v>
      </c>
      <c r="AG22" s="219" t="s">
        <v>371</v>
      </c>
      <c r="AH22" s="219"/>
      <c r="AI22" s="219"/>
      <c r="AJ22" s="219"/>
      <c r="AK22" s="220" t="s">
        <v>401</v>
      </c>
    </row>
    <row r="23" spans="1:37" x14ac:dyDescent="0.15">
      <c r="A23" s="210"/>
      <c r="B23" s="211">
        <v>42560</v>
      </c>
      <c r="C23" s="212" t="s">
        <v>334</v>
      </c>
      <c r="D23" s="213" t="s">
        <v>363</v>
      </c>
      <c r="E23" s="214">
        <v>42551</v>
      </c>
      <c r="F23" s="212" t="s">
        <v>327</v>
      </c>
      <c r="G23" s="213" t="s">
        <v>380</v>
      </c>
      <c r="H23" s="215">
        <v>64.854545454545459</v>
      </c>
      <c r="I23" s="216" t="s">
        <v>323</v>
      </c>
      <c r="J23" s="217">
        <v>1650</v>
      </c>
      <c r="K23" s="217">
        <v>2960</v>
      </c>
      <c r="L23" s="217">
        <v>2960</v>
      </c>
      <c r="M23" s="217">
        <v>2960</v>
      </c>
      <c r="N23" s="217">
        <v>2960</v>
      </c>
      <c r="O23" s="218">
        <v>2.1363636363636362</v>
      </c>
      <c r="P23" s="218">
        <v>1.918181818181818</v>
      </c>
      <c r="Q23" s="218">
        <v>1.7999999999999998</v>
      </c>
      <c r="R23" s="218">
        <v>0</v>
      </c>
      <c r="S23" s="218">
        <v>0</v>
      </c>
      <c r="T23" s="218">
        <v>0</v>
      </c>
      <c r="U23" s="218" t="s">
        <v>370</v>
      </c>
      <c r="V23" s="218" t="s">
        <v>370</v>
      </c>
      <c r="W23" s="218" t="s">
        <v>370</v>
      </c>
      <c r="X23" s="218" t="s">
        <v>370</v>
      </c>
      <c r="Y23" s="218" t="s">
        <v>370</v>
      </c>
      <c r="Z23" s="218" t="s">
        <v>370</v>
      </c>
      <c r="AA23" s="218" t="s">
        <v>370</v>
      </c>
      <c r="AB23" s="218" t="s">
        <v>370</v>
      </c>
      <c r="AC23" s="218" t="s">
        <v>370</v>
      </c>
      <c r="AD23" s="218" t="s">
        <v>370</v>
      </c>
      <c r="AE23" s="218" t="s">
        <v>370</v>
      </c>
      <c r="AF23" s="218" t="s">
        <v>370</v>
      </c>
      <c r="AG23" s="219" t="s">
        <v>371</v>
      </c>
      <c r="AH23" s="219"/>
      <c r="AI23" s="219"/>
      <c r="AJ23" s="219"/>
      <c r="AK23" s="220" t="s">
        <v>402</v>
      </c>
    </row>
    <row r="24" spans="1:37" x14ac:dyDescent="0.15">
      <c r="A24" s="210">
        <v>2111</v>
      </c>
      <c r="B24" s="211">
        <v>42560</v>
      </c>
      <c r="C24" s="212" t="s">
        <v>334</v>
      </c>
      <c r="D24" s="213" t="s">
        <v>364</v>
      </c>
      <c r="E24" s="214">
        <v>42467</v>
      </c>
      <c r="F24" s="212" t="s">
        <v>373</v>
      </c>
      <c r="G24" s="213" t="s">
        <v>380</v>
      </c>
      <c r="H24" s="215">
        <v>76.400000000000006</v>
      </c>
      <c r="I24" s="216" t="s">
        <v>323</v>
      </c>
      <c r="J24" s="217">
        <v>6000</v>
      </c>
      <c r="K24" s="217">
        <v>12000</v>
      </c>
      <c r="L24" s="217">
        <v>84000</v>
      </c>
      <c r="M24" s="217">
        <v>84000</v>
      </c>
      <c r="N24" s="217">
        <v>84000</v>
      </c>
      <c r="O24" s="218">
        <v>3.6363636363636362</v>
      </c>
      <c r="P24" s="218">
        <v>3.2363636363636363</v>
      </c>
      <c r="Q24" s="218">
        <v>2.8818181818181814</v>
      </c>
      <c r="R24" s="218">
        <v>2.8818181818181814</v>
      </c>
      <c r="S24" s="218">
        <v>0</v>
      </c>
      <c r="T24" s="218">
        <v>0</v>
      </c>
      <c r="U24" s="218" t="s">
        <v>370</v>
      </c>
      <c r="V24" s="218" t="s">
        <v>370</v>
      </c>
      <c r="W24" s="218" t="s">
        <v>370</v>
      </c>
      <c r="X24" s="218" t="s">
        <v>370</v>
      </c>
      <c r="Y24" s="218" t="s">
        <v>370</v>
      </c>
      <c r="Z24" s="218" t="s">
        <v>370</v>
      </c>
      <c r="AA24" s="218" t="s">
        <v>370</v>
      </c>
      <c r="AB24" s="218" t="s">
        <v>370</v>
      </c>
      <c r="AC24" s="218" t="s">
        <v>370</v>
      </c>
      <c r="AD24" s="218" t="s">
        <v>370</v>
      </c>
      <c r="AE24" s="218" t="s">
        <v>370</v>
      </c>
      <c r="AF24" s="218" t="s">
        <v>370</v>
      </c>
      <c r="AG24" s="219" t="s">
        <v>371</v>
      </c>
      <c r="AH24" s="219"/>
      <c r="AI24" s="219"/>
      <c r="AJ24" s="219"/>
      <c r="AK24" s="220" t="s">
        <v>403</v>
      </c>
    </row>
    <row r="25" spans="1:37" x14ac:dyDescent="0.15">
      <c r="A25" s="210">
        <v>2157</v>
      </c>
      <c r="B25" s="211">
        <v>42560</v>
      </c>
      <c r="C25" s="212" t="s">
        <v>334</v>
      </c>
      <c r="D25" s="213" t="s">
        <v>364</v>
      </c>
      <c r="E25" s="214">
        <v>42565</v>
      </c>
      <c r="F25" s="212" t="s">
        <v>374</v>
      </c>
      <c r="G25" s="213" t="s">
        <v>380</v>
      </c>
      <c r="H25" s="215">
        <v>62.290909090909082</v>
      </c>
      <c r="I25" s="216" t="s">
        <v>348</v>
      </c>
      <c r="J25" s="217">
        <v>1650</v>
      </c>
      <c r="K25" s="217">
        <v>1650</v>
      </c>
      <c r="L25" s="217">
        <v>1650</v>
      </c>
      <c r="M25" s="217">
        <v>1650</v>
      </c>
      <c r="N25" s="217">
        <v>1650</v>
      </c>
      <c r="O25" s="218">
        <v>3.21</v>
      </c>
      <c r="P25" s="218">
        <v>2.37</v>
      </c>
      <c r="Q25" s="218">
        <v>2.37</v>
      </c>
      <c r="R25" s="218">
        <v>2.37</v>
      </c>
      <c r="S25" s="218">
        <v>2.37</v>
      </c>
      <c r="T25" s="218">
        <v>2.37</v>
      </c>
      <c r="U25" s="218" t="s">
        <v>370</v>
      </c>
      <c r="V25" s="218" t="s">
        <v>370</v>
      </c>
      <c r="W25" s="218" t="s">
        <v>370</v>
      </c>
      <c r="X25" s="218" t="s">
        <v>370</v>
      </c>
      <c r="Y25" s="218" t="s">
        <v>370</v>
      </c>
      <c r="Z25" s="218" t="s">
        <v>370</v>
      </c>
      <c r="AA25" s="218" t="s">
        <v>370</v>
      </c>
      <c r="AB25" s="218" t="s">
        <v>370</v>
      </c>
      <c r="AC25" s="218" t="s">
        <v>370</v>
      </c>
      <c r="AD25" s="218" t="s">
        <v>370</v>
      </c>
      <c r="AE25" s="218" t="s">
        <v>370</v>
      </c>
      <c r="AF25" s="218" t="s">
        <v>370</v>
      </c>
      <c r="AG25" s="219" t="s">
        <v>371</v>
      </c>
      <c r="AH25" s="219"/>
      <c r="AI25" s="219"/>
      <c r="AJ25" s="219"/>
      <c r="AK25" s="220" t="s">
        <v>417</v>
      </c>
    </row>
    <row r="26" spans="1:37" x14ac:dyDescent="0.15">
      <c r="A26" s="210">
        <v>2098</v>
      </c>
      <c r="B26" s="211">
        <v>42560</v>
      </c>
      <c r="C26" s="212" t="s">
        <v>334</v>
      </c>
      <c r="D26" s="213" t="s">
        <v>364</v>
      </c>
      <c r="E26" s="214">
        <v>42551</v>
      </c>
      <c r="F26" s="212" t="s">
        <v>133</v>
      </c>
      <c r="G26" s="213" t="s">
        <v>380</v>
      </c>
      <c r="H26" s="215">
        <v>73.490909090909085</v>
      </c>
      <c r="I26" s="216" t="s">
        <v>323</v>
      </c>
      <c r="J26" s="217">
        <v>1650</v>
      </c>
      <c r="K26" s="217">
        <v>2960</v>
      </c>
      <c r="L26" s="217">
        <v>2960</v>
      </c>
      <c r="M26" s="217">
        <v>2960</v>
      </c>
      <c r="N26" s="217">
        <v>2960</v>
      </c>
      <c r="O26" s="218">
        <v>3.4818181818181815</v>
      </c>
      <c r="P26" s="218">
        <v>3.1636363636363636</v>
      </c>
      <c r="Q26" s="218">
        <v>2.5272727272727269</v>
      </c>
      <c r="R26" s="218">
        <v>0</v>
      </c>
      <c r="S26" s="218">
        <v>0</v>
      </c>
      <c r="T26" s="218">
        <v>0</v>
      </c>
      <c r="U26" s="218" t="s">
        <v>370</v>
      </c>
      <c r="V26" s="218" t="s">
        <v>370</v>
      </c>
      <c r="W26" s="218" t="s">
        <v>370</v>
      </c>
      <c r="X26" s="218" t="s">
        <v>370</v>
      </c>
      <c r="Y26" s="218" t="s">
        <v>370</v>
      </c>
      <c r="Z26" s="218" t="s">
        <v>370</v>
      </c>
      <c r="AA26" s="218" t="s">
        <v>370</v>
      </c>
      <c r="AB26" s="218" t="s">
        <v>370</v>
      </c>
      <c r="AC26" s="218" t="s">
        <v>370</v>
      </c>
      <c r="AD26" s="218" t="s">
        <v>370</v>
      </c>
      <c r="AE26" s="218" t="s">
        <v>370</v>
      </c>
      <c r="AF26" s="218" t="s">
        <v>370</v>
      </c>
      <c r="AG26" s="219" t="s">
        <v>371</v>
      </c>
      <c r="AH26" s="219"/>
      <c r="AI26" s="219"/>
      <c r="AJ26" s="219"/>
      <c r="AK26" s="220" t="s">
        <v>404</v>
      </c>
    </row>
    <row r="27" spans="1:37" x14ac:dyDescent="0.15">
      <c r="A27" s="210"/>
      <c r="B27" s="211">
        <v>42560</v>
      </c>
      <c r="C27" s="212" t="s">
        <v>334</v>
      </c>
      <c r="D27" s="213" t="s">
        <v>364</v>
      </c>
      <c r="E27" s="214">
        <v>42551</v>
      </c>
      <c r="F27" s="212" t="s">
        <v>327</v>
      </c>
      <c r="G27" s="213" t="s">
        <v>380</v>
      </c>
      <c r="H27" s="215">
        <v>69.281818181818167</v>
      </c>
      <c r="I27" s="216" t="s">
        <v>323</v>
      </c>
      <c r="J27" s="217">
        <v>1650</v>
      </c>
      <c r="K27" s="217">
        <v>2960</v>
      </c>
      <c r="L27" s="217">
        <v>2960</v>
      </c>
      <c r="M27" s="217">
        <v>2960</v>
      </c>
      <c r="N27" s="217">
        <v>2960</v>
      </c>
      <c r="O27" s="218">
        <v>3.1818181818181817</v>
      </c>
      <c r="P27" s="218">
        <v>2.9454545454545453</v>
      </c>
      <c r="Q27" s="218">
        <v>2.3545454545454541</v>
      </c>
      <c r="R27" s="218">
        <v>0</v>
      </c>
      <c r="S27" s="218">
        <v>0</v>
      </c>
      <c r="T27" s="218">
        <v>0</v>
      </c>
      <c r="U27" s="218" t="s">
        <v>370</v>
      </c>
      <c r="V27" s="218" t="s">
        <v>370</v>
      </c>
      <c r="W27" s="218" t="s">
        <v>370</v>
      </c>
      <c r="X27" s="218" t="s">
        <v>370</v>
      </c>
      <c r="Y27" s="218" t="s">
        <v>370</v>
      </c>
      <c r="Z27" s="218" t="s">
        <v>370</v>
      </c>
      <c r="AA27" s="218" t="s">
        <v>370</v>
      </c>
      <c r="AB27" s="218" t="s">
        <v>370</v>
      </c>
      <c r="AC27" s="218" t="s">
        <v>370</v>
      </c>
      <c r="AD27" s="218" t="s">
        <v>370</v>
      </c>
      <c r="AE27" s="218" t="s">
        <v>370</v>
      </c>
      <c r="AF27" s="218" t="s">
        <v>370</v>
      </c>
      <c r="AG27" s="219" t="s">
        <v>371</v>
      </c>
      <c r="AH27" s="219"/>
      <c r="AI27" s="219"/>
      <c r="AJ27" s="219"/>
      <c r="AK27" s="220" t="s">
        <v>405</v>
      </c>
    </row>
    <row r="28" spans="1:37" x14ac:dyDescent="0.15">
      <c r="A28" s="210">
        <v>2161</v>
      </c>
      <c r="B28" s="211">
        <v>42560</v>
      </c>
      <c r="C28" s="212" t="s">
        <v>334</v>
      </c>
      <c r="D28" s="213" t="s">
        <v>365</v>
      </c>
      <c r="E28" s="214">
        <v>42565</v>
      </c>
      <c r="F28" s="212" t="s">
        <v>374</v>
      </c>
      <c r="G28" s="213" t="s">
        <v>380</v>
      </c>
      <c r="H28" s="215">
        <v>70.900000000000006</v>
      </c>
      <c r="I28" s="216"/>
      <c r="J28" s="213"/>
      <c r="K28" s="213"/>
      <c r="L28" s="213"/>
      <c r="M28" s="213"/>
      <c r="N28" s="213"/>
      <c r="O28" s="218">
        <v>2.68</v>
      </c>
      <c r="P28" s="218" t="s">
        <v>370</v>
      </c>
      <c r="Q28" s="218"/>
      <c r="R28" s="218"/>
      <c r="S28" s="218"/>
      <c r="T28" s="218"/>
      <c r="U28" s="218" t="s">
        <v>370</v>
      </c>
      <c r="V28" s="218" t="s">
        <v>370</v>
      </c>
      <c r="W28" s="218" t="s">
        <v>370</v>
      </c>
      <c r="X28" s="218" t="s">
        <v>370</v>
      </c>
      <c r="Y28" s="218" t="s">
        <v>370</v>
      </c>
      <c r="Z28" s="218" t="s">
        <v>370</v>
      </c>
      <c r="AA28" s="218" t="s">
        <v>370</v>
      </c>
      <c r="AB28" s="218" t="s">
        <v>370</v>
      </c>
      <c r="AC28" s="218" t="s">
        <v>370</v>
      </c>
      <c r="AD28" s="218" t="s">
        <v>370</v>
      </c>
      <c r="AE28" s="218" t="s">
        <v>370</v>
      </c>
      <c r="AF28" s="218" t="s">
        <v>370</v>
      </c>
      <c r="AG28" s="219" t="s">
        <v>371</v>
      </c>
      <c r="AH28" s="219"/>
      <c r="AI28" s="219"/>
      <c r="AJ28" s="219"/>
      <c r="AK28" s="220" t="s">
        <v>418</v>
      </c>
    </row>
    <row r="29" spans="1:37" x14ac:dyDescent="0.15">
      <c r="A29" s="210">
        <v>874</v>
      </c>
      <c r="B29" s="211">
        <v>42560</v>
      </c>
      <c r="C29" s="212" t="s">
        <v>334</v>
      </c>
      <c r="D29" s="213" t="s">
        <v>365</v>
      </c>
      <c r="E29" s="214">
        <v>42551</v>
      </c>
      <c r="F29" s="212" t="s">
        <v>327</v>
      </c>
      <c r="G29" s="213" t="s">
        <v>380</v>
      </c>
      <c r="H29" s="215">
        <v>72.609090909090909</v>
      </c>
      <c r="I29" s="216"/>
      <c r="J29" s="217"/>
      <c r="K29" s="217"/>
      <c r="L29" s="217"/>
      <c r="M29" s="217"/>
      <c r="N29" s="217"/>
      <c r="O29" s="218">
        <v>3.1</v>
      </c>
      <c r="P29" s="218" t="s">
        <v>370</v>
      </c>
      <c r="Q29" s="218"/>
      <c r="R29" s="218"/>
      <c r="S29" s="218"/>
      <c r="T29" s="218"/>
      <c r="U29" s="218" t="s">
        <v>370</v>
      </c>
      <c r="V29" s="218" t="s">
        <v>370</v>
      </c>
      <c r="W29" s="218" t="s">
        <v>370</v>
      </c>
      <c r="X29" s="218" t="s">
        <v>370</v>
      </c>
      <c r="Y29" s="218" t="s">
        <v>370</v>
      </c>
      <c r="Z29" s="218" t="s">
        <v>370</v>
      </c>
      <c r="AA29" s="218" t="s">
        <v>370</v>
      </c>
      <c r="AB29" s="218" t="s">
        <v>370</v>
      </c>
      <c r="AC29" s="218" t="s">
        <v>370</v>
      </c>
      <c r="AD29" s="218" t="s">
        <v>370</v>
      </c>
      <c r="AE29" s="218" t="s">
        <v>370</v>
      </c>
      <c r="AF29" s="218" t="s">
        <v>370</v>
      </c>
      <c r="AG29" s="219" t="s">
        <v>371</v>
      </c>
      <c r="AH29" s="213"/>
      <c r="AI29" s="213"/>
      <c r="AJ29" s="213"/>
      <c r="AK29" s="220" t="s">
        <v>406</v>
      </c>
    </row>
    <row r="30" spans="1:37" x14ac:dyDescent="0.15">
      <c r="A30" s="210">
        <v>2173</v>
      </c>
      <c r="B30" s="211">
        <v>42560</v>
      </c>
      <c r="C30" s="212" t="s">
        <v>334</v>
      </c>
      <c r="D30" s="213" t="s">
        <v>366</v>
      </c>
      <c r="E30" s="214">
        <v>42565</v>
      </c>
      <c r="F30" s="212" t="s">
        <v>374</v>
      </c>
      <c r="G30" s="213" t="s">
        <v>380</v>
      </c>
      <c r="H30" s="215">
        <v>75.900000000000006</v>
      </c>
      <c r="I30" s="216"/>
      <c r="J30" s="213"/>
      <c r="K30" s="213"/>
      <c r="L30" s="213"/>
      <c r="M30" s="213"/>
      <c r="N30" s="213"/>
      <c r="O30" s="218">
        <v>2.68</v>
      </c>
      <c r="P30" s="218" t="s">
        <v>370</v>
      </c>
      <c r="Q30" s="218"/>
      <c r="R30" s="218"/>
      <c r="S30" s="218"/>
      <c r="T30" s="218"/>
      <c r="U30" s="218" t="s">
        <v>370</v>
      </c>
      <c r="V30" s="218" t="s">
        <v>370</v>
      </c>
      <c r="W30" s="218" t="s">
        <v>370</v>
      </c>
      <c r="X30" s="218" t="s">
        <v>370</v>
      </c>
      <c r="Y30" s="218" t="s">
        <v>370</v>
      </c>
      <c r="Z30" s="218" t="s">
        <v>370</v>
      </c>
      <c r="AA30" s="218" t="s">
        <v>370</v>
      </c>
      <c r="AB30" s="218" t="s">
        <v>370</v>
      </c>
      <c r="AC30" s="218" t="s">
        <v>370</v>
      </c>
      <c r="AD30" s="218" t="s">
        <v>370</v>
      </c>
      <c r="AE30" s="218" t="s">
        <v>370</v>
      </c>
      <c r="AF30" s="218" t="s">
        <v>370</v>
      </c>
      <c r="AG30" s="219" t="s">
        <v>371</v>
      </c>
      <c r="AH30" s="219"/>
      <c r="AI30" s="219"/>
      <c r="AJ30" s="219"/>
      <c r="AK30" s="220" t="s">
        <v>422</v>
      </c>
    </row>
    <row r="31" spans="1:37" x14ac:dyDescent="0.15">
      <c r="A31" s="210">
        <v>2096</v>
      </c>
      <c r="B31" s="211">
        <v>42560</v>
      </c>
      <c r="C31" s="212" t="s">
        <v>334</v>
      </c>
      <c r="D31" s="213" t="s">
        <v>366</v>
      </c>
      <c r="E31" s="214">
        <v>42551</v>
      </c>
      <c r="F31" s="212" t="s">
        <v>133</v>
      </c>
      <c r="G31" s="213" t="s">
        <v>380</v>
      </c>
      <c r="H31" s="215">
        <v>87.98181818181817</v>
      </c>
      <c r="I31" s="216"/>
      <c r="J31" s="213"/>
      <c r="K31" s="213"/>
      <c r="L31" s="213"/>
      <c r="M31" s="213"/>
      <c r="N31" s="213"/>
      <c r="O31" s="218">
        <v>2.9545454545454541</v>
      </c>
      <c r="P31" s="218" t="s">
        <v>370</v>
      </c>
      <c r="Q31" s="218"/>
      <c r="R31" s="218"/>
      <c r="S31" s="218"/>
      <c r="T31" s="218"/>
      <c r="U31" s="218" t="s">
        <v>370</v>
      </c>
      <c r="V31" s="218" t="s">
        <v>370</v>
      </c>
      <c r="W31" s="218" t="s">
        <v>370</v>
      </c>
      <c r="X31" s="218" t="s">
        <v>370</v>
      </c>
      <c r="Y31" s="218" t="s">
        <v>370</v>
      </c>
      <c r="Z31" s="218" t="s">
        <v>370</v>
      </c>
      <c r="AA31" s="218" t="s">
        <v>370</v>
      </c>
      <c r="AB31" s="218" t="s">
        <v>370</v>
      </c>
      <c r="AC31" s="218" t="s">
        <v>370</v>
      </c>
      <c r="AD31" s="218" t="s">
        <v>370</v>
      </c>
      <c r="AE31" s="218" t="s">
        <v>370</v>
      </c>
      <c r="AF31" s="218" t="s">
        <v>370</v>
      </c>
      <c r="AG31" s="219" t="s">
        <v>371</v>
      </c>
      <c r="AH31" s="219"/>
      <c r="AI31" s="219"/>
      <c r="AJ31" s="219"/>
      <c r="AK31" s="220" t="s">
        <v>407</v>
      </c>
    </row>
    <row r="32" spans="1:37" x14ac:dyDescent="0.15">
      <c r="A32" s="210"/>
      <c r="B32" s="211">
        <v>42560</v>
      </c>
      <c r="C32" s="212" t="s">
        <v>334</v>
      </c>
      <c r="D32" s="213" t="s">
        <v>366</v>
      </c>
      <c r="E32" s="214">
        <v>42551</v>
      </c>
      <c r="F32" s="212" t="s">
        <v>327</v>
      </c>
      <c r="G32" s="213" t="s">
        <v>380</v>
      </c>
      <c r="H32" s="215">
        <v>65</v>
      </c>
      <c r="I32" s="216"/>
      <c r="J32" s="213"/>
      <c r="K32" s="213"/>
      <c r="L32" s="213"/>
      <c r="M32" s="213"/>
      <c r="N32" s="213"/>
      <c r="O32" s="218">
        <v>2.6545454545454543</v>
      </c>
      <c r="P32" s="218" t="s">
        <v>370</v>
      </c>
      <c r="Q32" s="218"/>
      <c r="R32" s="218"/>
      <c r="S32" s="218"/>
      <c r="T32" s="218"/>
      <c r="U32" s="218" t="s">
        <v>370</v>
      </c>
      <c r="V32" s="218" t="s">
        <v>370</v>
      </c>
      <c r="W32" s="218" t="s">
        <v>370</v>
      </c>
      <c r="X32" s="218" t="s">
        <v>370</v>
      </c>
      <c r="Y32" s="218" t="s">
        <v>370</v>
      </c>
      <c r="Z32" s="218" t="s">
        <v>370</v>
      </c>
      <c r="AA32" s="218" t="s">
        <v>370</v>
      </c>
      <c r="AB32" s="218" t="s">
        <v>370</v>
      </c>
      <c r="AC32" s="218" t="s">
        <v>370</v>
      </c>
      <c r="AD32" s="218" t="s">
        <v>370</v>
      </c>
      <c r="AE32" s="218" t="s">
        <v>370</v>
      </c>
      <c r="AF32" s="218" t="s">
        <v>370</v>
      </c>
      <c r="AG32" s="219" t="s">
        <v>371</v>
      </c>
      <c r="AH32" s="219"/>
      <c r="AI32" s="219"/>
      <c r="AJ32" s="219"/>
      <c r="AK32" s="220" t="s">
        <v>408</v>
      </c>
    </row>
    <row r="33" spans="1:37" x14ac:dyDescent="0.15">
      <c r="A33" s="210">
        <v>2177</v>
      </c>
      <c r="B33" s="211">
        <v>42560</v>
      </c>
      <c r="C33" s="212" t="s">
        <v>334</v>
      </c>
      <c r="D33" s="213" t="s">
        <v>367</v>
      </c>
      <c r="E33" s="214">
        <v>42565</v>
      </c>
      <c r="F33" s="212" t="s">
        <v>374</v>
      </c>
      <c r="G33" s="213" t="s">
        <v>380</v>
      </c>
      <c r="H33" s="215">
        <v>81.400000000000006</v>
      </c>
      <c r="I33" s="216"/>
      <c r="J33" s="213"/>
      <c r="K33" s="213"/>
      <c r="L33" s="213"/>
      <c r="M33" s="213"/>
      <c r="N33" s="213"/>
      <c r="O33" s="218">
        <v>2.68</v>
      </c>
      <c r="P33" s="218" t="s">
        <v>370</v>
      </c>
      <c r="Q33" s="218"/>
      <c r="R33" s="218"/>
      <c r="S33" s="218"/>
      <c r="T33" s="218"/>
      <c r="U33" s="218" t="s">
        <v>370</v>
      </c>
      <c r="V33" s="218" t="s">
        <v>370</v>
      </c>
      <c r="W33" s="218" t="s">
        <v>370</v>
      </c>
      <c r="X33" s="218" t="s">
        <v>370</v>
      </c>
      <c r="Y33" s="218" t="s">
        <v>370</v>
      </c>
      <c r="Z33" s="218" t="s">
        <v>370</v>
      </c>
      <c r="AA33" s="218" t="s">
        <v>370</v>
      </c>
      <c r="AB33" s="218" t="s">
        <v>370</v>
      </c>
      <c r="AC33" s="218" t="s">
        <v>370</v>
      </c>
      <c r="AD33" s="218" t="s">
        <v>370</v>
      </c>
      <c r="AE33" s="218" t="s">
        <v>370</v>
      </c>
      <c r="AF33" s="218" t="s">
        <v>370</v>
      </c>
      <c r="AG33" s="219" t="s">
        <v>371</v>
      </c>
      <c r="AH33" s="219"/>
      <c r="AI33" s="219"/>
      <c r="AJ33" s="219"/>
      <c r="AK33" s="220" t="s">
        <v>419</v>
      </c>
    </row>
    <row r="34" spans="1:37" x14ac:dyDescent="0.15">
      <c r="A34" s="210">
        <v>875</v>
      </c>
      <c r="B34" s="211">
        <v>42560</v>
      </c>
      <c r="C34" s="212" t="s">
        <v>334</v>
      </c>
      <c r="D34" s="213" t="s">
        <v>367</v>
      </c>
      <c r="E34" s="214">
        <v>42551</v>
      </c>
      <c r="F34" s="212" t="s">
        <v>327</v>
      </c>
      <c r="G34" s="213" t="s">
        <v>380</v>
      </c>
      <c r="H34" s="215">
        <v>83.018181818181802</v>
      </c>
      <c r="I34" s="216"/>
      <c r="J34" s="217"/>
      <c r="K34" s="217"/>
      <c r="L34" s="217"/>
      <c r="M34" s="217"/>
      <c r="N34" s="217"/>
      <c r="O34" s="218">
        <v>3.1</v>
      </c>
      <c r="P34" s="218" t="s">
        <v>370</v>
      </c>
      <c r="Q34" s="218"/>
      <c r="R34" s="218"/>
      <c r="S34" s="218"/>
      <c r="T34" s="218"/>
      <c r="U34" s="218" t="s">
        <v>370</v>
      </c>
      <c r="V34" s="218" t="s">
        <v>370</v>
      </c>
      <c r="W34" s="218" t="s">
        <v>370</v>
      </c>
      <c r="X34" s="218" t="s">
        <v>370</v>
      </c>
      <c r="Y34" s="218" t="s">
        <v>370</v>
      </c>
      <c r="Z34" s="218" t="s">
        <v>370</v>
      </c>
      <c r="AA34" s="218" t="s">
        <v>370</v>
      </c>
      <c r="AB34" s="218" t="s">
        <v>370</v>
      </c>
      <c r="AC34" s="218" t="s">
        <v>370</v>
      </c>
      <c r="AD34" s="218" t="s">
        <v>370</v>
      </c>
      <c r="AE34" s="218" t="s">
        <v>370</v>
      </c>
      <c r="AF34" s="218" t="s">
        <v>370</v>
      </c>
      <c r="AG34" s="219" t="s">
        <v>371</v>
      </c>
      <c r="AH34" s="213"/>
      <c r="AI34" s="213"/>
      <c r="AJ34" s="213"/>
      <c r="AK34" s="220" t="s">
        <v>409</v>
      </c>
    </row>
    <row r="35" spans="1:37" x14ac:dyDescent="0.15">
      <c r="A35" s="210">
        <v>2165</v>
      </c>
      <c r="B35" s="211">
        <v>42560</v>
      </c>
      <c r="C35" s="212" t="s">
        <v>334</v>
      </c>
      <c r="D35" s="213" t="s">
        <v>368</v>
      </c>
      <c r="E35" s="214">
        <v>42565</v>
      </c>
      <c r="F35" s="212" t="s">
        <v>374</v>
      </c>
      <c r="G35" s="213" t="s">
        <v>380</v>
      </c>
      <c r="H35" s="215">
        <v>86.4</v>
      </c>
      <c r="I35" s="216"/>
      <c r="J35" s="213"/>
      <c r="K35" s="213"/>
      <c r="L35" s="213"/>
      <c r="M35" s="213"/>
      <c r="N35" s="213"/>
      <c r="O35" s="218">
        <v>2.2200000000000002</v>
      </c>
      <c r="P35" s="218" t="s">
        <v>370</v>
      </c>
      <c r="Q35" s="218"/>
      <c r="R35" s="218"/>
      <c r="S35" s="218"/>
      <c r="T35" s="218"/>
      <c r="U35" s="218" t="s">
        <v>370</v>
      </c>
      <c r="V35" s="218" t="s">
        <v>370</v>
      </c>
      <c r="W35" s="218" t="s">
        <v>370</v>
      </c>
      <c r="X35" s="218" t="s">
        <v>370</v>
      </c>
      <c r="Y35" s="218" t="s">
        <v>370</v>
      </c>
      <c r="Z35" s="218" t="s">
        <v>370</v>
      </c>
      <c r="AA35" s="218" t="s">
        <v>370</v>
      </c>
      <c r="AB35" s="218" t="s">
        <v>370</v>
      </c>
      <c r="AC35" s="218" t="s">
        <v>370</v>
      </c>
      <c r="AD35" s="218" t="s">
        <v>370</v>
      </c>
      <c r="AE35" s="218" t="s">
        <v>370</v>
      </c>
      <c r="AF35" s="218" t="s">
        <v>370</v>
      </c>
      <c r="AG35" s="219" t="s">
        <v>371</v>
      </c>
      <c r="AH35" s="219"/>
      <c r="AI35" s="219"/>
      <c r="AJ35" s="219"/>
      <c r="AK35" s="220" t="s">
        <v>420</v>
      </c>
    </row>
    <row r="36" spans="1:37" x14ac:dyDescent="0.15">
      <c r="A36" s="210">
        <v>2099</v>
      </c>
      <c r="B36" s="211">
        <v>42560</v>
      </c>
      <c r="C36" s="212" t="s">
        <v>334</v>
      </c>
      <c r="D36" s="213" t="s">
        <v>368</v>
      </c>
      <c r="E36" s="214">
        <v>42551</v>
      </c>
      <c r="F36" s="212" t="s">
        <v>133</v>
      </c>
      <c r="G36" s="213" t="s">
        <v>380</v>
      </c>
      <c r="H36" s="215">
        <v>99.36363636363636</v>
      </c>
      <c r="I36" s="216"/>
      <c r="J36" s="213"/>
      <c r="K36" s="213"/>
      <c r="L36" s="213"/>
      <c r="M36" s="213"/>
      <c r="N36" s="213"/>
      <c r="O36" s="218">
        <v>2.418181818181818</v>
      </c>
      <c r="P36" s="218" t="s">
        <v>370</v>
      </c>
      <c r="Q36" s="218"/>
      <c r="R36" s="218"/>
      <c r="S36" s="218"/>
      <c r="T36" s="218"/>
      <c r="U36" s="218" t="s">
        <v>370</v>
      </c>
      <c r="V36" s="218" t="s">
        <v>370</v>
      </c>
      <c r="W36" s="218" t="s">
        <v>370</v>
      </c>
      <c r="X36" s="218" t="s">
        <v>370</v>
      </c>
      <c r="Y36" s="218" t="s">
        <v>370</v>
      </c>
      <c r="Z36" s="218" t="s">
        <v>370</v>
      </c>
      <c r="AA36" s="218" t="s">
        <v>370</v>
      </c>
      <c r="AB36" s="218" t="s">
        <v>370</v>
      </c>
      <c r="AC36" s="218" t="s">
        <v>370</v>
      </c>
      <c r="AD36" s="218" t="s">
        <v>370</v>
      </c>
      <c r="AE36" s="218" t="s">
        <v>370</v>
      </c>
      <c r="AF36" s="218" t="s">
        <v>370</v>
      </c>
      <c r="AG36" s="219" t="s">
        <v>371</v>
      </c>
      <c r="AH36" s="219"/>
      <c r="AI36" s="219"/>
      <c r="AJ36" s="219"/>
      <c r="AK36" s="220" t="s">
        <v>410</v>
      </c>
    </row>
    <row r="37" spans="1:37" x14ac:dyDescent="0.15">
      <c r="A37" s="210"/>
      <c r="B37" s="211">
        <v>42560</v>
      </c>
      <c r="C37" s="212" t="s">
        <v>334</v>
      </c>
      <c r="D37" s="213" t="s">
        <v>368</v>
      </c>
      <c r="E37" s="214">
        <v>42467</v>
      </c>
      <c r="F37" s="212" t="s">
        <v>373</v>
      </c>
      <c r="G37" s="213" t="s">
        <v>380</v>
      </c>
      <c r="H37" s="215">
        <v>97.1</v>
      </c>
      <c r="I37" s="216"/>
      <c r="J37" s="213"/>
      <c r="K37" s="213"/>
      <c r="L37" s="213"/>
      <c r="M37" s="213"/>
      <c r="N37" s="213"/>
      <c r="O37" s="218">
        <v>2.5181818181818181</v>
      </c>
      <c r="P37" s="218" t="s">
        <v>370</v>
      </c>
      <c r="Q37" s="218"/>
      <c r="R37" s="218"/>
      <c r="S37" s="218"/>
      <c r="T37" s="218"/>
      <c r="U37" s="218" t="s">
        <v>370</v>
      </c>
      <c r="V37" s="218" t="s">
        <v>370</v>
      </c>
      <c r="W37" s="218" t="s">
        <v>370</v>
      </c>
      <c r="X37" s="218" t="s">
        <v>370</v>
      </c>
      <c r="Y37" s="218" t="s">
        <v>370</v>
      </c>
      <c r="Z37" s="218" t="s">
        <v>370</v>
      </c>
      <c r="AA37" s="218" t="s">
        <v>370</v>
      </c>
      <c r="AB37" s="218" t="s">
        <v>370</v>
      </c>
      <c r="AC37" s="218" t="s">
        <v>370</v>
      </c>
      <c r="AD37" s="218" t="s">
        <v>370</v>
      </c>
      <c r="AE37" s="218" t="s">
        <v>370</v>
      </c>
      <c r="AF37" s="218" t="s">
        <v>370</v>
      </c>
      <c r="AG37" s="219" t="s">
        <v>371</v>
      </c>
      <c r="AH37" s="219"/>
      <c r="AI37" s="219"/>
      <c r="AJ37" s="219"/>
      <c r="AK37" s="220" t="s">
        <v>411</v>
      </c>
    </row>
    <row r="38" spans="1:37" x14ac:dyDescent="0.15">
      <c r="A38" s="210"/>
      <c r="B38" s="211">
        <v>42560</v>
      </c>
      <c r="C38" s="212" t="s">
        <v>334</v>
      </c>
      <c r="D38" s="213" t="s">
        <v>368</v>
      </c>
      <c r="E38" s="214">
        <v>42551</v>
      </c>
      <c r="F38" s="212" t="s">
        <v>327</v>
      </c>
      <c r="G38" s="213" t="s">
        <v>380</v>
      </c>
      <c r="H38" s="215">
        <v>87</v>
      </c>
      <c r="I38" s="216"/>
      <c r="J38" s="213"/>
      <c r="K38" s="213"/>
      <c r="L38" s="213"/>
      <c r="M38" s="213"/>
      <c r="N38" s="213"/>
      <c r="O38" s="218">
        <v>2.2545454545454544</v>
      </c>
      <c r="P38" s="218" t="s">
        <v>370</v>
      </c>
      <c r="Q38" s="218"/>
      <c r="R38" s="218"/>
      <c r="S38" s="218"/>
      <c r="T38" s="218"/>
      <c r="U38" s="218" t="s">
        <v>370</v>
      </c>
      <c r="V38" s="218" t="s">
        <v>370</v>
      </c>
      <c r="W38" s="218" t="s">
        <v>370</v>
      </c>
      <c r="X38" s="218" t="s">
        <v>370</v>
      </c>
      <c r="Y38" s="218" t="s">
        <v>370</v>
      </c>
      <c r="Z38" s="218" t="s">
        <v>370</v>
      </c>
      <c r="AA38" s="218" t="s">
        <v>370</v>
      </c>
      <c r="AB38" s="218" t="s">
        <v>370</v>
      </c>
      <c r="AC38" s="218" t="s">
        <v>370</v>
      </c>
      <c r="AD38" s="218" t="s">
        <v>370</v>
      </c>
      <c r="AE38" s="218" t="s">
        <v>370</v>
      </c>
      <c r="AF38" s="218" t="s">
        <v>370</v>
      </c>
      <c r="AG38" s="219" t="s">
        <v>371</v>
      </c>
      <c r="AH38" s="219"/>
      <c r="AI38" s="219"/>
      <c r="AJ38" s="219"/>
      <c r="AK38" s="220" t="s">
        <v>412</v>
      </c>
    </row>
    <row r="39" spans="1:37" x14ac:dyDescent="0.15">
      <c r="A39" s="210">
        <v>2169</v>
      </c>
      <c r="B39" s="211">
        <v>42560</v>
      </c>
      <c r="C39" s="212" t="s">
        <v>334</v>
      </c>
      <c r="D39" s="213" t="s">
        <v>369</v>
      </c>
      <c r="E39" s="214">
        <v>42565</v>
      </c>
      <c r="F39" s="212" t="s">
        <v>374</v>
      </c>
      <c r="G39" s="213" t="s">
        <v>380</v>
      </c>
      <c r="H39" s="215">
        <v>63.6</v>
      </c>
      <c r="I39" s="216"/>
      <c r="J39" s="213"/>
      <c r="K39" s="213"/>
      <c r="L39" s="213"/>
      <c r="M39" s="213"/>
      <c r="N39" s="213"/>
      <c r="O39" s="218">
        <v>3.86</v>
      </c>
      <c r="P39" s="218" t="s">
        <v>370</v>
      </c>
      <c r="Q39" s="218"/>
      <c r="R39" s="218"/>
      <c r="S39" s="218"/>
      <c r="T39" s="218"/>
      <c r="U39" s="218" t="s">
        <v>370</v>
      </c>
      <c r="V39" s="218" t="s">
        <v>370</v>
      </c>
      <c r="W39" s="218" t="s">
        <v>370</v>
      </c>
      <c r="X39" s="218" t="s">
        <v>370</v>
      </c>
      <c r="Y39" s="218" t="s">
        <v>370</v>
      </c>
      <c r="Z39" s="218" t="s">
        <v>370</v>
      </c>
      <c r="AA39" s="218" t="s">
        <v>370</v>
      </c>
      <c r="AB39" s="218" t="s">
        <v>370</v>
      </c>
      <c r="AC39" s="218" t="s">
        <v>370</v>
      </c>
      <c r="AD39" s="218" t="s">
        <v>370</v>
      </c>
      <c r="AE39" s="218" t="s">
        <v>370</v>
      </c>
      <c r="AF39" s="218" t="s">
        <v>370</v>
      </c>
      <c r="AG39" s="219" t="s">
        <v>371</v>
      </c>
      <c r="AH39" s="219"/>
      <c r="AI39" s="219"/>
      <c r="AJ39" s="219"/>
      <c r="AK39" s="220" t="s">
        <v>421</v>
      </c>
    </row>
  </sheetData>
  <sheetProtection algorithmName="SHA-512" hashValue="YxjT3a2ZWFGSeF7ofS1jFVNLWK0FgDdSqyUmmse737YIr6F5J62t7v0Yij3D7Sk9hCcyfGFr55t0HW0UaqLUxg==" saltValue="D4Y/F5Z8f7nevlJf9nLnAg==" spinCount="100000" sheet="1" objects="1" scenarios="1"/>
  <hyperlinks>
    <hyperlink ref="AK2" r:id="rId1" xr:uid="{F0FBE0C7-DF1C-384F-942E-FCB1E47A03D9}"/>
    <hyperlink ref="AK4" r:id="rId2" xr:uid="{59F999EA-96C2-8840-80CB-50163542D423}"/>
    <hyperlink ref="AK3" r:id="rId3" xr:uid="{A0420EE3-EF0E-3741-9557-E2D22939FFF5}"/>
    <hyperlink ref="AK8" r:id="rId4" xr:uid="{7F02E3D2-1758-2345-9B33-048D4E064B72}"/>
    <hyperlink ref="AK9" r:id="rId5" xr:uid="{E21AA1DB-645A-AC4C-8296-FD7F98605970}"/>
    <hyperlink ref="AK5" r:id="rId6" xr:uid="{6B776437-A8C9-A24C-8796-6BB6E684E45F}"/>
    <hyperlink ref="AK11" r:id="rId7" xr:uid="{05925526-800A-5F4B-97CD-6684E4DD16AC}"/>
    <hyperlink ref="AK12" r:id="rId8" xr:uid="{D55A65EF-9595-4340-8855-61B68A9360D9}"/>
    <hyperlink ref="AK7" r:id="rId9" xr:uid="{0D29CD3A-C9C1-C74A-B9E6-88C1E1097E7A}"/>
    <hyperlink ref="AK10" r:id="rId10" xr:uid="{7D62CB05-A471-5E4E-8C82-F09FBF213041}"/>
    <hyperlink ref="AK13" r:id="rId11" xr:uid="{55BB58E1-CA6D-794B-BCCA-97F97959F9C5}"/>
    <hyperlink ref="AK22" r:id="rId12" xr:uid="{07E5FA53-8039-D446-A594-86FD6BF776BA}"/>
    <hyperlink ref="AK26" r:id="rId13" xr:uid="{C7C8A8A0-B5ED-8E4A-B5F4-58FB7D90B9B4}"/>
    <hyperlink ref="AK31" r:id="rId14" xr:uid="{394353EA-248C-1647-8238-5CD1612697A1}"/>
    <hyperlink ref="AK36" r:id="rId15" xr:uid="{D49A3158-2253-9644-9B1B-EF7545792CEC}"/>
    <hyperlink ref="AK20" r:id="rId16" xr:uid="{440448F0-2990-9849-9132-D509F88B3C35}"/>
    <hyperlink ref="AK23" r:id="rId17" xr:uid="{6E3C7597-82CA-8B4B-B2D2-56AA1D86E5A9}"/>
    <hyperlink ref="AK24" r:id="rId18" xr:uid="{422FF0E6-B92E-C149-BA5B-AEF68585C333}"/>
    <hyperlink ref="AK27" r:id="rId19" xr:uid="{1694C23A-7A0A-EF43-94FE-85104E24DC82}"/>
    <hyperlink ref="AK29" r:id="rId20" xr:uid="{C0A09B4A-A0FB-3C42-990A-D3CE245425BA}"/>
    <hyperlink ref="AK32" r:id="rId21" xr:uid="{A189F996-035A-BE44-9772-E3EC579A268C}"/>
    <hyperlink ref="AK34" r:id="rId22" xr:uid="{07E2D5BF-6EDC-554A-A98A-5BDFB0FDF0B8}"/>
    <hyperlink ref="AK37" r:id="rId23" xr:uid="{99728E6D-232C-BF41-93FE-FE40C91CC5DD}"/>
    <hyperlink ref="AK38" r:id="rId24" xr:uid="{195225C1-F06C-E845-AA31-E601D49CCFC7}"/>
    <hyperlink ref="AK18" r:id="rId25" xr:uid="{6831EFB2-EF63-D345-B9CE-71960B8F0E08}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C740-7631-E543-9D03-EF05258F6CB7}">
  <sheetPr codeName="Sheet15"/>
  <dimension ref="A1:AJ30"/>
  <sheetViews>
    <sheetView zoomScale="120" zoomScaleNormal="120" workbookViewId="0">
      <selection activeCell="A20" sqref="A20:XFD20"/>
    </sheetView>
  </sheetViews>
  <sheetFormatPr baseColWidth="10" defaultRowHeight="13" x14ac:dyDescent="0.15"/>
  <cols>
    <col min="1" max="1" width="6.1640625" customWidth="1"/>
    <col min="3" max="3" width="6.33203125" customWidth="1"/>
    <col min="4" max="4" width="24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6" ht="42" x14ac:dyDescent="0.15">
      <c r="A1" s="112" t="s">
        <v>234</v>
      </c>
      <c r="B1" s="112" t="s">
        <v>235</v>
      </c>
      <c r="C1" s="113" t="s">
        <v>236</v>
      </c>
      <c r="D1" s="114" t="s">
        <v>237</v>
      </c>
      <c r="E1" s="112" t="s">
        <v>192</v>
      </c>
      <c r="F1" s="113" t="s">
        <v>239</v>
      </c>
      <c r="G1" s="114" t="s">
        <v>240</v>
      </c>
      <c r="H1" s="115" t="s">
        <v>241</v>
      </c>
      <c r="I1" s="116" t="s">
        <v>242</v>
      </c>
      <c r="J1" s="116" t="s">
        <v>243</v>
      </c>
      <c r="K1" s="116" t="s">
        <v>244</v>
      </c>
      <c r="L1" s="116" t="s">
        <v>245</v>
      </c>
      <c r="M1" s="116" t="s">
        <v>246</v>
      </c>
      <c r="N1" s="117" t="s">
        <v>247</v>
      </c>
      <c r="O1" s="118" t="s">
        <v>248</v>
      </c>
      <c r="P1" s="118" t="s">
        <v>249</v>
      </c>
      <c r="Q1" s="118" t="s">
        <v>226</v>
      </c>
      <c r="R1" s="118" t="s">
        <v>285</v>
      </c>
      <c r="S1" s="118" t="s">
        <v>286</v>
      </c>
      <c r="T1" s="119" t="s">
        <v>287</v>
      </c>
      <c r="U1" s="120" t="s">
        <v>288</v>
      </c>
      <c r="V1" s="120" t="s">
        <v>289</v>
      </c>
      <c r="W1" s="120" t="s">
        <v>290</v>
      </c>
      <c r="X1" s="120" t="s">
        <v>148</v>
      </c>
      <c r="Y1" s="120" t="s">
        <v>149</v>
      </c>
      <c r="Z1" s="121" t="s">
        <v>150</v>
      </c>
      <c r="AA1" s="122" t="s">
        <v>151</v>
      </c>
      <c r="AB1" s="122" t="s">
        <v>152</v>
      </c>
      <c r="AC1" s="122" t="s">
        <v>153</v>
      </c>
      <c r="AD1" s="122" t="s">
        <v>154</v>
      </c>
      <c r="AE1" s="122" t="s">
        <v>267</v>
      </c>
      <c r="AF1" s="123" t="s">
        <v>268</v>
      </c>
      <c r="AG1" s="124" t="s">
        <v>269</v>
      </c>
      <c r="AH1" s="124" t="s">
        <v>270</v>
      </c>
      <c r="AI1" s="124" t="s">
        <v>271</v>
      </c>
      <c r="AJ1" s="125" t="s">
        <v>272</v>
      </c>
    </row>
    <row r="2" spans="1:36" x14ac:dyDescent="0.15">
      <c r="A2" s="126">
        <v>2095</v>
      </c>
      <c r="B2" s="172">
        <v>42202</v>
      </c>
      <c r="C2" s="128" t="s">
        <v>303</v>
      </c>
      <c r="D2" s="193" t="s">
        <v>355</v>
      </c>
      <c r="E2" s="201">
        <v>42185</v>
      </c>
      <c r="F2" s="128" t="s">
        <v>356</v>
      </c>
      <c r="G2" s="196" t="s">
        <v>302</v>
      </c>
      <c r="H2" s="194">
        <v>65.999999999999986</v>
      </c>
      <c r="I2" s="131" t="s">
        <v>347</v>
      </c>
      <c r="J2" s="133">
        <v>1200</v>
      </c>
      <c r="K2" s="133">
        <v>2400</v>
      </c>
      <c r="L2" s="133">
        <v>5400</v>
      </c>
      <c r="M2" s="133">
        <v>165400</v>
      </c>
      <c r="N2" s="133">
        <v>832000</v>
      </c>
      <c r="O2" s="195">
        <v>3.1545454545454543</v>
      </c>
      <c r="P2" s="195">
        <v>2.9818181818181815</v>
      </c>
      <c r="Q2" s="195">
        <v>2.8272727272727267</v>
      </c>
      <c r="R2" s="195">
        <v>2.8090909090909086</v>
      </c>
      <c r="S2" s="195">
        <v>2.6909090909090905</v>
      </c>
      <c r="T2" s="195">
        <v>2.4090909090909087</v>
      </c>
      <c r="U2" s="195" t="s">
        <v>370</v>
      </c>
      <c r="V2" s="195" t="s">
        <v>370</v>
      </c>
      <c r="W2" s="195" t="s">
        <v>370</v>
      </c>
      <c r="X2" s="195" t="s">
        <v>370</v>
      </c>
      <c r="Y2" s="195" t="s">
        <v>370</v>
      </c>
      <c r="Z2" s="195" t="s">
        <v>370</v>
      </c>
      <c r="AA2" s="195" t="s">
        <v>370</v>
      </c>
      <c r="AB2" s="195" t="s">
        <v>370</v>
      </c>
      <c r="AC2" s="195" t="s">
        <v>370</v>
      </c>
      <c r="AD2" s="195" t="s">
        <v>370</v>
      </c>
      <c r="AE2" s="195" t="s">
        <v>370</v>
      </c>
      <c r="AF2" s="195" t="s">
        <v>370</v>
      </c>
      <c r="AG2" s="132" t="s">
        <v>315</v>
      </c>
      <c r="AH2" s="132"/>
      <c r="AI2" s="132"/>
      <c r="AJ2" s="132"/>
    </row>
    <row r="3" spans="1:36" x14ac:dyDescent="0.15">
      <c r="A3" s="126">
        <v>1088</v>
      </c>
      <c r="B3" s="172">
        <v>42202</v>
      </c>
      <c r="C3" s="128" t="s">
        <v>303</v>
      </c>
      <c r="D3" s="193" t="s">
        <v>355</v>
      </c>
      <c r="E3" s="201">
        <v>42185</v>
      </c>
      <c r="F3" s="128" t="s">
        <v>305</v>
      </c>
      <c r="G3" s="196" t="s">
        <v>302</v>
      </c>
      <c r="H3" s="194">
        <v>79.5</v>
      </c>
      <c r="I3" s="131" t="s">
        <v>347</v>
      </c>
      <c r="J3" s="133">
        <v>1200</v>
      </c>
      <c r="K3" s="133">
        <v>2400</v>
      </c>
      <c r="L3" s="133">
        <v>5400</v>
      </c>
      <c r="M3" s="133">
        <v>165400</v>
      </c>
      <c r="N3" s="133">
        <v>832000</v>
      </c>
      <c r="O3" s="195">
        <v>4.2181818181818178</v>
      </c>
      <c r="P3" s="195">
        <v>2.7363636363636359</v>
      </c>
      <c r="Q3" s="195">
        <v>2.5909090909090908</v>
      </c>
      <c r="R3" s="195">
        <v>2.5909090909090908</v>
      </c>
      <c r="S3" s="195">
        <v>2.4909090909090907</v>
      </c>
      <c r="T3" s="195">
        <v>2.1545454545454543</v>
      </c>
      <c r="U3" s="195" t="s">
        <v>370</v>
      </c>
      <c r="V3" s="195" t="s">
        <v>370</v>
      </c>
      <c r="W3" s="195" t="s">
        <v>370</v>
      </c>
      <c r="X3" s="195" t="s">
        <v>370</v>
      </c>
      <c r="Y3" s="195" t="s">
        <v>370</v>
      </c>
      <c r="Z3" s="195" t="s">
        <v>370</v>
      </c>
      <c r="AA3" s="195" t="s">
        <v>370</v>
      </c>
      <c r="AB3" s="195" t="s">
        <v>370</v>
      </c>
      <c r="AC3" s="195" t="s">
        <v>370</v>
      </c>
      <c r="AD3" s="195" t="s">
        <v>370</v>
      </c>
      <c r="AE3" s="195" t="s">
        <v>370</v>
      </c>
      <c r="AF3" s="195" t="s">
        <v>370</v>
      </c>
      <c r="AG3" s="132" t="s">
        <v>315</v>
      </c>
      <c r="AH3" s="129"/>
      <c r="AI3" s="129"/>
      <c r="AJ3" s="129"/>
    </row>
    <row r="4" spans="1:36" x14ac:dyDescent="0.15">
      <c r="A4" s="126">
        <v>2103</v>
      </c>
      <c r="B4" s="172">
        <v>42202</v>
      </c>
      <c r="C4" s="173" t="s">
        <v>334</v>
      </c>
      <c r="D4" s="193" t="s">
        <v>355</v>
      </c>
      <c r="E4" s="201">
        <v>42185</v>
      </c>
      <c r="F4" s="128" t="s">
        <v>357</v>
      </c>
      <c r="G4" s="196" t="s">
        <v>302</v>
      </c>
      <c r="H4" s="194">
        <v>59.1</v>
      </c>
      <c r="I4" s="131" t="s">
        <v>347</v>
      </c>
      <c r="J4" s="133">
        <v>1200</v>
      </c>
      <c r="K4" s="133">
        <v>2400</v>
      </c>
      <c r="L4" s="133">
        <v>5400</v>
      </c>
      <c r="M4" s="133">
        <v>165400</v>
      </c>
      <c r="N4" s="133">
        <v>832000</v>
      </c>
      <c r="O4" s="195">
        <v>3.1090909090909089</v>
      </c>
      <c r="P4" s="195">
        <v>2.0545454545454542</v>
      </c>
      <c r="Q4" s="195">
        <v>1.9272727272727272</v>
      </c>
      <c r="R4" s="195">
        <v>1.8999999999999997</v>
      </c>
      <c r="S4" s="195">
        <v>1.8181818181818181</v>
      </c>
      <c r="T4" s="195">
        <v>1.5090909090909088</v>
      </c>
      <c r="U4" s="195" t="s">
        <v>370</v>
      </c>
      <c r="V4" s="195" t="s">
        <v>370</v>
      </c>
      <c r="W4" s="195" t="s">
        <v>370</v>
      </c>
      <c r="X4" s="195" t="s">
        <v>370</v>
      </c>
      <c r="Y4" s="195" t="s">
        <v>370</v>
      </c>
      <c r="Z4" s="195" t="s">
        <v>370</v>
      </c>
      <c r="AA4" s="195" t="s">
        <v>370</v>
      </c>
      <c r="AB4" s="195" t="s">
        <v>370</v>
      </c>
      <c r="AC4" s="195" t="s">
        <v>370</v>
      </c>
      <c r="AD4" s="195" t="s">
        <v>370</v>
      </c>
      <c r="AE4" s="195" t="s">
        <v>370</v>
      </c>
      <c r="AF4" s="195" t="s">
        <v>370</v>
      </c>
      <c r="AG4" s="132" t="s">
        <v>371</v>
      </c>
      <c r="AH4" s="132"/>
      <c r="AI4" s="132"/>
      <c r="AJ4" s="132"/>
    </row>
    <row r="5" spans="1:36" x14ac:dyDescent="0.15">
      <c r="A5" s="126">
        <v>2106</v>
      </c>
      <c r="B5" s="172">
        <v>42202</v>
      </c>
      <c r="C5" s="128" t="s">
        <v>303</v>
      </c>
      <c r="D5" s="193" t="s">
        <v>355</v>
      </c>
      <c r="E5" s="130">
        <v>42214</v>
      </c>
      <c r="F5" s="128" t="s">
        <v>308</v>
      </c>
      <c r="G5" s="196" t="s">
        <v>302</v>
      </c>
      <c r="H5" s="194">
        <v>59.3</v>
      </c>
      <c r="I5" s="131" t="s">
        <v>347</v>
      </c>
      <c r="J5" s="133">
        <v>1200</v>
      </c>
      <c r="K5" s="133">
        <v>2400</v>
      </c>
      <c r="L5" s="133">
        <v>5400</v>
      </c>
      <c r="M5" s="133">
        <v>165400</v>
      </c>
      <c r="N5" s="133">
        <v>832000</v>
      </c>
      <c r="O5" s="195">
        <v>4.07</v>
      </c>
      <c r="P5" s="195">
        <v>2.72</v>
      </c>
      <c r="Q5" s="195">
        <v>2.6</v>
      </c>
      <c r="R5" s="195">
        <v>2.5</v>
      </c>
      <c r="S5" s="195">
        <v>2.4</v>
      </c>
      <c r="T5" s="195">
        <v>2.08</v>
      </c>
      <c r="U5" s="195" t="s">
        <v>370</v>
      </c>
      <c r="V5" s="195" t="s">
        <v>370</v>
      </c>
      <c r="W5" s="195" t="s">
        <v>370</v>
      </c>
      <c r="X5" s="195" t="s">
        <v>370</v>
      </c>
      <c r="Y5" s="195" t="s">
        <v>370</v>
      </c>
      <c r="Z5" s="195" t="s">
        <v>370</v>
      </c>
      <c r="AA5" s="195" t="s">
        <v>370</v>
      </c>
      <c r="AB5" s="195" t="s">
        <v>370</v>
      </c>
      <c r="AC5" s="195" t="s">
        <v>370</v>
      </c>
      <c r="AD5" s="195" t="s">
        <v>370</v>
      </c>
      <c r="AE5" s="195" t="s">
        <v>370</v>
      </c>
      <c r="AF5" s="195" t="s">
        <v>370</v>
      </c>
      <c r="AG5" s="132" t="s">
        <v>315</v>
      </c>
      <c r="AH5" s="129"/>
      <c r="AI5" s="129"/>
      <c r="AJ5" s="129"/>
    </row>
    <row r="6" spans="1:36" x14ac:dyDescent="0.15">
      <c r="A6" s="126">
        <v>2149</v>
      </c>
      <c r="B6" s="172">
        <v>42202</v>
      </c>
      <c r="C6" s="128" t="s">
        <v>303</v>
      </c>
      <c r="D6" s="193" t="s">
        <v>355</v>
      </c>
      <c r="E6" s="201">
        <v>42185</v>
      </c>
      <c r="F6" s="128" t="s">
        <v>309</v>
      </c>
      <c r="G6" s="196" t="s">
        <v>302</v>
      </c>
      <c r="H6" s="194">
        <v>61.036363636363632</v>
      </c>
      <c r="I6" s="131" t="s">
        <v>323</v>
      </c>
      <c r="J6" s="133">
        <v>1200</v>
      </c>
      <c r="K6" s="133">
        <v>2400</v>
      </c>
      <c r="L6" s="133">
        <v>165400</v>
      </c>
      <c r="M6" s="133">
        <v>832000</v>
      </c>
      <c r="N6" s="133">
        <v>832000</v>
      </c>
      <c r="O6" s="195">
        <v>3.6818181818181812</v>
      </c>
      <c r="P6" s="195">
        <v>2.5090909090909088</v>
      </c>
      <c r="Q6" s="195">
        <v>2.418181818181818</v>
      </c>
      <c r="R6" s="195">
        <v>2.127272727272727</v>
      </c>
      <c r="S6" s="195">
        <v>2.0272727272727269</v>
      </c>
      <c r="T6" s="203">
        <v>2.0272727272727269</v>
      </c>
      <c r="U6" s="195" t="s">
        <v>370</v>
      </c>
      <c r="V6" s="195" t="s">
        <v>370</v>
      </c>
      <c r="W6" s="195" t="s">
        <v>370</v>
      </c>
      <c r="X6" s="195" t="s">
        <v>370</v>
      </c>
      <c r="Y6" s="195" t="s">
        <v>370</v>
      </c>
      <c r="Z6" s="195" t="s">
        <v>370</v>
      </c>
      <c r="AA6" s="195" t="s">
        <v>370</v>
      </c>
      <c r="AB6" s="195" t="s">
        <v>370</v>
      </c>
      <c r="AC6" s="195" t="s">
        <v>370</v>
      </c>
      <c r="AD6" s="195" t="s">
        <v>370</v>
      </c>
      <c r="AE6" s="195" t="s">
        <v>370</v>
      </c>
      <c r="AF6" s="195" t="s">
        <v>370</v>
      </c>
      <c r="AG6" s="132" t="s">
        <v>315</v>
      </c>
      <c r="AH6" s="132"/>
      <c r="AI6" s="132"/>
      <c r="AJ6" s="132"/>
    </row>
    <row r="7" spans="1:36" x14ac:dyDescent="0.15">
      <c r="A7" s="126">
        <v>876</v>
      </c>
      <c r="B7" s="172">
        <v>42202</v>
      </c>
      <c r="C7" s="128" t="s">
        <v>303</v>
      </c>
      <c r="D7" s="193" t="s">
        <v>355</v>
      </c>
      <c r="E7" s="201">
        <v>42185</v>
      </c>
      <c r="F7" s="128" t="s">
        <v>310</v>
      </c>
      <c r="G7" s="196" t="s">
        <v>302</v>
      </c>
      <c r="H7" s="194">
        <v>64.8</v>
      </c>
      <c r="I7" s="131" t="s">
        <v>347</v>
      </c>
      <c r="J7" s="133">
        <v>1200</v>
      </c>
      <c r="K7" s="133">
        <v>2400</v>
      </c>
      <c r="L7" s="133">
        <v>5400</v>
      </c>
      <c r="M7" s="133">
        <v>165400</v>
      </c>
      <c r="N7" s="133">
        <v>165400</v>
      </c>
      <c r="O7" s="195">
        <v>4.1500000000000004</v>
      </c>
      <c r="P7" s="195">
        <v>2.85</v>
      </c>
      <c r="Q7" s="195">
        <v>2.7</v>
      </c>
      <c r="R7" s="195">
        <v>2.65</v>
      </c>
      <c r="S7" s="195">
        <v>2.6</v>
      </c>
      <c r="T7" s="203">
        <v>2.6</v>
      </c>
      <c r="U7" s="195" t="s">
        <v>370</v>
      </c>
      <c r="V7" s="195" t="s">
        <v>370</v>
      </c>
      <c r="W7" s="195" t="s">
        <v>370</v>
      </c>
      <c r="X7" s="195" t="s">
        <v>370</v>
      </c>
      <c r="Y7" s="195" t="s">
        <v>370</v>
      </c>
      <c r="Z7" s="195" t="s">
        <v>370</v>
      </c>
      <c r="AA7" s="195" t="s">
        <v>370</v>
      </c>
      <c r="AB7" s="195" t="s">
        <v>370</v>
      </c>
      <c r="AC7" s="195" t="s">
        <v>370</v>
      </c>
      <c r="AD7" s="195" t="s">
        <v>370</v>
      </c>
      <c r="AE7" s="195" t="s">
        <v>370</v>
      </c>
      <c r="AF7" s="195" t="s">
        <v>370</v>
      </c>
      <c r="AG7" s="132" t="s">
        <v>315</v>
      </c>
      <c r="AH7" s="129"/>
      <c r="AI7" s="129"/>
      <c r="AJ7" s="129"/>
    </row>
    <row r="8" spans="1:36" x14ac:dyDescent="0.15">
      <c r="A8" s="126">
        <v>1965</v>
      </c>
      <c r="B8" s="172">
        <v>42202</v>
      </c>
      <c r="C8" s="128" t="s">
        <v>303</v>
      </c>
      <c r="D8" s="193" t="s">
        <v>355</v>
      </c>
      <c r="E8" s="130">
        <v>42203</v>
      </c>
      <c r="F8" s="128" t="s">
        <v>340</v>
      </c>
      <c r="G8" s="196" t="s">
        <v>302</v>
      </c>
      <c r="H8" s="194">
        <v>43</v>
      </c>
      <c r="I8" s="131" t="s">
        <v>347</v>
      </c>
      <c r="J8" s="133">
        <v>1200</v>
      </c>
      <c r="K8" s="133">
        <v>2400</v>
      </c>
      <c r="L8" s="133">
        <v>5400</v>
      </c>
      <c r="M8" s="133">
        <v>165400</v>
      </c>
      <c r="N8" s="133">
        <v>832000</v>
      </c>
      <c r="O8" s="195">
        <v>4.45</v>
      </c>
      <c r="P8" s="195">
        <v>2.9</v>
      </c>
      <c r="Q8" s="195">
        <v>2.85</v>
      </c>
      <c r="R8" s="195">
        <v>2.85</v>
      </c>
      <c r="S8" s="195">
        <v>2.8</v>
      </c>
      <c r="T8" s="195">
        <v>2.6</v>
      </c>
      <c r="U8" s="195" t="s">
        <v>370</v>
      </c>
      <c r="V8" s="195" t="s">
        <v>370</v>
      </c>
      <c r="W8" s="195" t="s">
        <v>370</v>
      </c>
      <c r="X8" s="195" t="s">
        <v>370</v>
      </c>
      <c r="Y8" s="195" t="s">
        <v>370</v>
      </c>
      <c r="Z8" s="195" t="s">
        <v>370</v>
      </c>
      <c r="AA8" s="195" t="s">
        <v>370</v>
      </c>
      <c r="AB8" s="195" t="s">
        <v>370</v>
      </c>
      <c r="AC8" s="195" t="s">
        <v>370</v>
      </c>
      <c r="AD8" s="195" t="s">
        <v>370</v>
      </c>
      <c r="AE8" s="195" t="s">
        <v>370</v>
      </c>
      <c r="AF8" s="195" t="s">
        <v>370</v>
      </c>
      <c r="AG8" s="132" t="s">
        <v>315</v>
      </c>
      <c r="AH8" s="132"/>
      <c r="AI8" s="132"/>
      <c r="AJ8" s="132"/>
    </row>
    <row r="9" spans="1:36" x14ac:dyDescent="0.15">
      <c r="A9" s="126">
        <v>2105</v>
      </c>
      <c r="B9" s="172">
        <v>42202</v>
      </c>
      <c r="C9" s="128" t="s">
        <v>303</v>
      </c>
      <c r="D9" s="193" t="s">
        <v>355</v>
      </c>
      <c r="E9" s="130">
        <v>42203</v>
      </c>
      <c r="F9" s="128" t="s">
        <v>358</v>
      </c>
      <c r="G9" s="196" t="s">
        <v>302</v>
      </c>
      <c r="H9" s="194">
        <v>43</v>
      </c>
      <c r="I9" s="131" t="s">
        <v>347</v>
      </c>
      <c r="J9" s="133">
        <v>1200</v>
      </c>
      <c r="K9" s="133">
        <v>2400</v>
      </c>
      <c r="L9" s="133">
        <v>5400</v>
      </c>
      <c r="M9" s="133">
        <v>165400</v>
      </c>
      <c r="N9" s="133">
        <v>832000</v>
      </c>
      <c r="O9" s="195">
        <v>4.45</v>
      </c>
      <c r="P9" s="195">
        <v>2.9</v>
      </c>
      <c r="Q9" s="195">
        <v>2.85</v>
      </c>
      <c r="R9" s="195">
        <v>2.85</v>
      </c>
      <c r="S9" s="195">
        <v>2.8</v>
      </c>
      <c r="T9" s="195">
        <v>2.6</v>
      </c>
      <c r="U9" s="195" t="s">
        <v>370</v>
      </c>
      <c r="V9" s="195" t="s">
        <v>370</v>
      </c>
      <c r="W9" s="195" t="s">
        <v>370</v>
      </c>
      <c r="X9" s="195" t="s">
        <v>370</v>
      </c>
      <c r="Y9" s="195" t="s">
        <v>370</v>
      </c>
      <c r="Z9" s="195" t="s">
        <v>370</v>
      </c>
      <c r="AA9" s="195" t="s">
        <v>370</v>
      </c>
      <c r="AB9" s="195" t="s">
        <v>370</v>
      </c>
      <c r="AC9" s="195" t="s">
        <v>370</v>
      </c>
      <c r="AD9" s="195" t="s">
        <v>370</v>
      </c>
      <c r="AE9" s="195" t="s">
        <v>370</v>
      </c>
      <c r="AF9" s="195" t="s">
        <v>370</v>
      </c>
      <c r="AG9" s="132" t="s">
        <v>315</v>
      </c>
      <c r="AH9" s="132"/>
      <c r="AI9" s="132"/>
      <c r="AJ9" s="132"/>
    </row>
    <row r="10" spans="1:36" x14ac:dyDescent="0.15">
      <c r="A10" s="126">
        <v>1092</v>
      </c>
      <c r="B10" s="172">
        <v>42202</v>
      </c>
      <c r="C10" s="173" t="s">
        <v>334</v>
      </c>
      <c r="D10" s="193" t="s">
        <v>355</v>
      </c>
      <c r="E10" s="202">
        <v>42192</v>
      </c>
      <c r="F10" s="128" t="s">
        <v>359</v>
      </c>
      <c r="G10" s="196" t="s">
        <v>302</v>
      </c>
      <c r="H10" s="194">
        <v>60.22727272727272</v>
      </c>
      <c r="I10" s="131" t="s">
        <v>347</v>
      </c>
      <c r="J10" s="133">
        <v>1200</v>
      </c>
      <c r="K10" s="133">
        <v>2400</v>
      </c>
      <c r="L10" s="133">
        <v>5400</v>
      </c>
      <c r="M10" s="133">
        <v>165400</v>
      </c>
      <c r="N10" s="133">
        <v>832000</v>
      </c>
      <c r="O10" s="195">
        <v>3.8818181818181809</v>
      </c>
      <c r="P10" s="195">
        <v>2.5818181818181816</v>
      </c>
      <c r="Q10" s="195">
        <v>2.3909090909090907</v>
      </c>
      <c r="R10" s="195">
        <v>2.3636363636363633</v>
      </c>
      <c r="S10" s="195">
        <v>2.2545454545454544</v>
      </c>
      <c r="T10" s="195">
        <v>1.2818181818181817</v>
      </c>
      <c r="U10" s="195" t="s">
        <v>370</v>
      </c>
      <c r="V10" s="195" t="s">
        <v>370</v>
      </c>
      <c r="W10" s="195" t="s">
        <v>370</v>
      </c>
      <c r="X10" s="195" t="s">
        <v>370</v>
      </c>
      <c r="Y10" s="195" t="s">
        <v>370</v>
      </c>
      <c r="Z10" s="195" t="s">
        <v>370</v>
      </c>
      <c r="AA10" s="195" t="s">
        <v>370</v>
      </c>
      <c r="AB10" s="195" t="s">
        <v>370</v>
      </c>
      <c r="AC10" s="195" t="s">
        <v>370</v>
      </c>
      <c r="AD10" s="195" t="s">
        <v>370</v>
      </c>
      <c r="AE10" s="195" t="s">
        <v>370</v>
      </c>
      <c r="AF10" s="195" t="s">
        <v>370</v>
      </c>
      <c r="AG10" s="132" t="s">
        <v>371</v>
      </c>
      <c r="AH10" s="132"/>
      <c r="AI10" s="132"/>
      <c r="AJ10" s="132"/>
    </row>
    <row r="11" spans="1:36" x14ac:dyDescent="0.15">
      <c r="A11" s="126">
        <v>871</v>
      </c>
      <c r="B11" s="172">
        <v>42202</v>
      </c>
      <c r="C11" s="128" t="s">
        <v>303</v>
      </c>
      <c r="D11" s="193" t="s">
        <v>360</v>
      </c>
      <c r="E11" s="201">
        <v>42185</v>
      </c>
      <c r="F11" s="128" t="s">
        <v>311</v>
      </c>
      <c r="G11" s="196" t="s">
        <v>302</v>
      </c>
      <c r="H11" s="194">
        <v>71.809090909090898</v>
      </c>
      <c r="I11" s="131" t="s">
        <v>347</v>
      </c>
      <c r="J11" s="133">
        <v>1200</v>
      </c>
      <c r="K11" s="133">
        <v>2400</v>
      </c>
      <c r="L11" s="133">
        <v>5400</v>
      </c>
      <c r="M11" s="133">
        <v>165400</v>
      </c>
      <c r="N11" s="133">
        <v>832000</v>
      </c>
      <c r="O11" s="195">
        <v>3.9818181818181815</v>
      </c>
      <c r="P11" s="195">
        <v>2.6545454545454543</v>
      </c>
      <c r="Q11" s="195">
        <v>2.5909090909090908</v>
      </c>
      <c r="R11" s="195">
        <v>2.5</v>
      </c>
      <c r="S11" s="195">
        <v>2.4090909090909087</v>
      </c>
      <c r="T11" s="195">
        <v>0.53636363636363626</v>
      </c>
      <c r="U11" s="195" t="s">
        <v>370</v>
      </c>
      <c r="V11" s="195" t="s">
        <v>370</v>
      </c>
      <c r="W11" s="195" t="s">
        <v>370</v>
      </c>
      <c r="X11" s="195" t="s">
        <v>370</v>
      </c>
      <c r="Y11" s="195" t="s">
        <v>370</v>
      </c>
      <c r="Z11" s="195" t="s">
        <v>370</v>
      </c>
      <c r="AA11" s="195" t="s">
        <v>370</v>
      </c>
      <c r="AB11" s="195" t="s">
        <v>370</v>
      </c>
      <c r="AC11" s="195" t="s">
        <v>370</v>
      </c>
      <c r="AD11" s="195" t="s">
        <v>370</v>
      </c>
      <c r="AE11" s="195" t="s">
        <v>370</v>
      </c>
      <c r="AF11" s="195" t="s">
        <v>370</v>
      </c>
      <c r="AG11" s="132" t="s">
        <v>315</v>
      </c>
      <c r="AH11" s="129"/>
      <c r="AI11" s="129"/>
      <c r="AJ11" s="129"/>
    </row>
    <row r="12" spans="1:36" x14ac:dyDescent="0.15">
      <c r="A12" s="126">
        <v>2108</v>
      </c>
      <c r="B12" s="172">
        <v>42202</v>
      </c>
      <c r="C12" s="128" t="s">
        <v>303</v>
      </c>
      <c r="D12" s="193" t="s">
        <v>360</v>
      </c>
      <c r="E12" s="130">
        <v>42214</v>
      </c>
      <c r="F12" s="128" t="s">
        <v>308</v>
      </c>
      <c r="G12" s="196" t="s">
        <v>302</v>
      </c>
      <c r="H12" s="194">
        <v>57.827272727272721</v>
      </c>
      <c r="I12" s="131" t="s">
        <v>347</v>
      </c>
      <c r="J12" s="133">
        <v>1200</v>
      </c>
      <c r="K12" s="133">
        <v>2400</v>
      </c>
      <c r="L12" s="133">
        <v>5400</v>
      </c>
      <c r="M12" s="133">
        <v>165400</v>
      </c>
      <c r="N12" s="133">
        <v>832000</v>
      </c>
      <c r="O12" s="195">
        <v>3.9909090909090903</v>
      </c>
      <c r="P12" s="195">
        <v>2.6727272727272724</v>
      </c>
      <c r="Q12" s="195">
        <v>2.5545454545454542</v>
      </c>
      <c r="R12" s="195">
        <v>2.4545454545454546</v>
      </c>
      <c r="S12" s="195">
        <v>2.3545454545454541</v>
      </c>
      <c r="T12" s="195">
        <v>2.0363636363636366</v>
      </c>
      <c r="U12" s="195" t="s">
        <v>370</v>
      </c>
      <c r="V12" s="195" t="s">
        <v>370</v>
      </c>
      <c r="W12" s="195" t="s">
        <v>370</v>
      </c>
      <c r="X12" s="195" t="s">
        <v>370</v>
      </c>
      <c r="Y12" s="195" t="s">
        <v>370</v>
      </c>
      <c r="Z12" s="195" t="s">
        <v>370</v>
      </c>
      <c r="AA12" s="195" t="s">
        <v>370</v>
      </c>
      <c r="AB12" s="195" t="s">
        <v>370</v>
      </c>
      <c r="AC12" s="195" t="s">
        <v>370</v>
      </c>
      <c r="AD12" s="195" t="s">
        <v>370</v>
      </c>
      <c r="AE12" s="195" t="s">
        <v>370</v>
      </c>
      <c r="AF12" s="195" t="s">
        <v>370</v>
      </c>
      <c r="AG12" s="132" t="s">
        <v>315</v>
      </c>
      <c r="AH12" s="129"/>
      <c r="AI12" s="129"/>
      <c r="AJ12" s="129"/>
    </row>
    <row r="13" spans="1:36" x14ac:dyDescent="0.15">
      <c r="A13" s="126">
        <v>872</v>
      </c>
      <c r="B13" s="172">
        <v>42202</v>
      </c>
      <c r="C13" s="128" t="s">
        <v>303</v>
      </c>
      <c r="D13" s="193" t="s">
        <v>361</v>
      </c>
      <c r="E13" s="201">
        <v>42185</v>
      </c>
      <c r="F13" s="128" t="s">
        <v>311</v>
      </c>
      <c r="G13" s="196" t="s">
        <v>302</v>
      </c>
      <c r="H13" s="194">
        <v>81.354545454545445</v>
      </c>
      <c r="I13" s="131" t="s">
        <v>347</v>
      </c>
      <c r="J13" s="133">
        <v>2460</v>
      </c>
      <c r="K13" s="133">
        <v>28980</v>
      </c>
      <c r="L13" s="133">
        <v>118320</v>
      </c>
      <c r="M13" s="133">
        <v>118320</v>
      </c>
      <c r="N13" s="133">
        <v>118320</v>
      </c>
      <c r="O13" s="195">
        <v>3.1545454545454543</v>
      </c>
      <c r="P13" s="195">
        <v>2.627272727272727</v>
      </c>
      <c r="Q13" s="195">
        <v>2.5363636363636362</v>
      </c>
      <c r="R13" s="195">
        <v>2.5090909090909088</v>
      </c>
      <c r="S13" s="195">
        <v>0</v>
      </c>
      <c r="T13" s="195">
        <v>0</v>
      </c>
      <c r="U13" s="195" t="s">
        <v>370</v>
      </c>
      <c r="V13" s="195" t="s">
        <v>370</v>
      </c>
      <c r="W13" s="195" t="s">
        <v>370</v>
      </c>
      <c r="X13" s="195" t="s">
        <v>370</v>
      </c>
      <c r="Y13" s="195" t="s">
        <v>370</v>
      </c>
      <c r="Z13" s="195" t="s">
        <v>370</v>
      </c>
      <c r="AA13" s="195" t="s">
        <v>370</v>
      </c>
      <c r="AB13" s="195" t="s">
        <v>370</v>
      </c>
      <c r="AC13" s="195" t="s">
        <v>370</v>
      </c>
      <c r="AD13" s="195" t="s">
        <v>370</v>
      </c>
      <c r="AE13" s="195" t="s">
        <v>370</v>
      </c>
      <c r="AF13" s="195" t="s">
        <v>370</v>
      </c>
      <c r="AG13" s="132" t="s">
        <v>315</v>
      </c>
      <c r="AH13" s="132"/>
      <c r="AI13" s="132"/>
      <c r="AJ13" s="132"/>
    </row>
    <row r="14" spans="1:36" x14ac:dyDescent="0.15">
      <c r="A14" s="126">
        <v>2109</v>
      </c>
      <c r="B14" s="172">
        <v>42202</v>
      </c>
      <c r="C14" s="128" t="s">
        <v>303</v>
      </c>
      <c r="D14" s="193" t="s">
        <v>361</v>
      </c>
      <c r="E14" s="130">
        <v>42214</v>
      </c>
      <c r="F14" s="128" t="s">
        <v>308</v>
      </c>
      <c r="G14" s="196" t="s">
        <v>302</v>
      </c>
      <c r="H14" s="194">
        <v>72</v>
      </c>
      <c r="I14" s="131" t="s">
        <v>347</v>
      </c>
      <c r="J14" s="133">
        <v>2460</v>
      </c>
      <c r="K14" s="133">
        <v>164700</v>
      </c>
      <c r="L14" s="133">
        <v>822540</v>
      </c>
      <c r="M14" s="133">
        <v>822540</v>
      </c>
      <c r="N14" s="133">
        <v>822540</v>
      </c>
      <c r="O14" s="195">
        <v>2.99</v>
      </c>
      <c r="P14" s="195">
        <v>2.72</v>
      </c>
      <c r="Q14" s="195">
        <v>2.63</v>
      </c>
      <c r="R14" s="195">
        <v>2.42</v>
      </c>
      <c r="S14" s="195">
        <v>0</v>
      </c>
      <c r="T14" s="195">
        <v>0</v>
      </c>
      <c r="U14" s="195" t="s">
        <v>370</v>
      </c>
      <c r="V14" s="195" t="s">
        <v>370</v>
      </c>
      <c r="W14" s="195" t="s">
        <v>370</v>
      </c>
      <c r="X14" s="195" t="s">
        <v>370</v>
      </c>
      <c r="Y14" s="195" t="s">
        <v>370</v>
      </c>
      <c r="Z14" s="195" t="s">
        <v>370</v>
      </c>
      <c r="AA14" s="195" t="s">
        <v>370</v>
      </c>
      <c r="AB14" s="195" t="s">
        <v>370</v>
      </c>
      <c r="AC14" s="195" t="s">
        <v>370</v>
      </c>
      <c r="AD14" s="195" t="s">
        <v>370</v>
      </c>
      <c r="AE14" s="195" t="s">
        <v>370</v>
      </c>
      <c r="AF14" s="195" t="s">
        <v>370</v>
      </c>
      <c r="AG14" s="132" t="s">
        <v>315</v>
      </c>
      <c r="AH14" s="132"/>
      <c r="AI14" s="132"/>
      <c r="AJ14" s="132"/>
    </row>
    <row r="15" spans="1:36" x14ac:dyDescent="0.15">
      <c r="A15" s="126">
        <v>873</v>
      </c>
      <c r="B15" s="172">
        <v>42202</v>
      </c>
      <c r="C15" s="128" t="s">
        <v>303</v>
      </c>
      <c r="D15" s="193" t="s">
        <v>362</v>
      </c>
      <c r="E15" s="201">
        <v>42185</v>
      </c>
      <c r="F15" s="128" t="s">
        <v>311</v>
      </c>
      <c r="G15" s="196" t="s">
        <v>302</v>
      </c>
      <c r="H15" s="194">
        <v>87.490909090909085</v>
      </c>
      <c r="I15" s="131"/>
      <c r="J15" s="133"/>
      <c r="K15" s="133"/>
      <c r="L15" s="133"/>
      <c r="M15" s="133"/>
      <c r="N15" s="133"/>
      <c r="O15" s="195">
        <v>2.8909090909090907</v>
      </c>
      <c r="P15" s="195" t="s">
        <v>370</v>
      </c>
      <c r="Q15" s="195" t="s">
        <v>370</v>
      </c>
      <c r="R15" s="195" t="s">
        <v>370</v>
      </c>
      <c r="S15" s="195" t="s">
        <v>370</v>
      </c>
      <c r="T15" s="195" t="s">
        <v>370</v>
      </c>
      <c r="U15" s="195" t="s">
        <v>370</v>
      </c>
      <c r="V15" s="195" t="s">
        <v>370</v>
      </c>
      <c r="W15" s="195" t="s">
        <v>370</v>
      </c>
      <c r="X15" s="195" t="s">
        <v>370</v>
      </c>
      <c r="Y15" s="195" t="s">
        <v>370</v>
      </c>
      <c r="Z15" s="195" t="s">
        <v>370</v>
      </c>
      <c r="AA15" s="195" t="s">
        <v>370</v>
      </c>
      <c r="AB15" s="195" t="s">
        <v>370</v>
      </c>
      <c r="AC15" s="195" t="s">
        <v>370</v>
      </c>
      <c r="AD15" s="195" t="s">
        <v>370</v>
      </c>
      <c r="AE15" s="195" t="s">
        <v>370</v>
      </c>
      <c r="AF15" s="195" t="s">
        <v>370</v>
      </c>
      <c r="AG15" s="132" t="s">
        <v>315</v>
      </c>
      <c r="AH15" s="132"/>
      <c r="AI15" s="132"/>
      <c r="AJ15" s="132"/>
    </row>
    <row r="16" spans="1:36" x14ac:dyDescent="0.15">
      <c r="A16" s="126">
        <v>2110</v>
      </c>
      <c r="B16" s="172">
        <v>42202</v>
      </c>
      <c r="C16" s="128" t="s">
        <v>303</v>
      </c>
      <c r="D16" s="193" t="s">
        <v>363</v>
      </c>
      <c r="E16" s="130">
        <v>42214</v>
      </c>
      <c r="F16" s="128" t="s">
        <v>308</v>
      </c>
      <c r="G16" s="196" t="s">
        <v>302</v>
      </c>
      <c r="H16" s="194">
        <v>75.499999999999986</v>
      </c>
      <c r="I16" s="131" t="s">
        <v>347</v>
      </c>
      <c r="J16" s="133">
        <v>6000</v>
      </c>
      <c r="K16" s="133">
        <v>12000</v>
      </c>
      <c r="L16" s="133">
        <v>84000</v>
      </c>
      <c r="M16" s="133">
        <v>84000</v>
      </c>
      <c r="N16" s="133">
        <v>84000</v>
      </c>
      <c r="O16" s="195">
        <v>2.3727272727272726</v>
      </c>
      <c r="P16" s="195">
        <v>2.1999999999999997</v>
      </c>
      <c r="Q16" s="195">
        <v>2.1545454545454543</v>
      </c>
      <c r="R16" s="195">
        <v>2.1545454545454543</v>
      </c>
      <c r="S16" s="195">
        <v>0</v>
      </c>
      <c r="T16" s="195">
        <v>0</v>
      </c>
      <c r="U16" s="195" t="s">
        <v>370</v>
      </c>
      <c r="V16" s="195" t="s">
        <v>370</v>
      </c>
      <c r="W16" s="195" t="s">
        <v>370</v>
      </c>
      <c r="X16" s="195" t="s">
        <v>370</v>
      </c>
      <c r="Y16" s="195" t="s">
        <v>370</v>
      </c>
      <c r="Z16" s="195" t="s">
        <v>370</v>
      </c>
      <c r="AA16" s="195" t="s">
        <v>370</v>
      </c>
      <c r="AB16" s="195" t="s">
        <v>370</v>
      </c>
      <c r="AC16" s="195" t="s">
        <v>370</v>
      </c>
      <c r="AD16" s="195" t="s">
        <v>370</v>
      </c>
      <c r="AE16" s="195" t="s">
        <v>370</v>
      </c>
      <c r="AF16" s="195" t="s">
        <v>370</v>
      </c>
      <c r="AG16" s="132" t="s">
        <v>315</v>
      </c>
      <c r="AH16" s="132"/>
      <c r="AI16" s="132"/>
      <c r="AJ16" s="132"/>
    </row>
    <row r="17" spans="1:36" x14ac:dyDescent="0.15">
      <c r="A17" s="126">
        <v>2153</v>
      </c>
      <c r="B17" s="172">
        <v>42202</v>
      </c>
      <c r="C17" s="128" t="s">
        <v>303</v>
      </c>
      <c r="D17" s="193" t="s">
        <v>363</v>
      </c>
      <c r="E17" s="201">
        <v>42185</v>
      </c>
      <c r="F17" s="128" t="s">
        <v>309</v>
      </c>
      <c r="G17" s="196" t="s">
        <v>302</v>
      </c>
      <c r="H17" s="194">
        <v>54.518181818181816</v>
      </c>
      <c r="I17" s="131" t="s">
        <v>348</v>
      </c>
      <c r="J17" s="133">
        <v>1650</v>
      </c>
      <c r="K17" s="133">
        <v>2960</v>
      </c>
      <c r="L17" s="133">
        <v>2960</v>
      </c>
      <c r="M17" s="133">
        <v>2960</v>
      </c>
      <c r="N17" s="133">
        <v>2960</v>
      </c>
      <c r="O17" s="195">
        <v>2.1636363636363636</v>
      </c>
      <c r="P17" s="195">
        <v>1.9363636363636361</v>
      </c>
      <c r="Q17" s="195">
        <v>1.8181818181818181</v>
      </c>
      <c r="R17" s="195">
        <v>0</v>
      </c>
      <c r="S17" s="195">
        <v>0</v>
      </c>
      <c r="T17" s="195">
        <v>0</v>
      </c>
      <c r="U17" s="195" t="s">
        <v>370</v>
      </c>
      <c r="V17" s="195" t="s">
        <v>370</v>
      </c>
      <c r="W17" s="195" t="s">
        <v>370</v>
      </c>
      <c r="X17" s="195" t="s">
        <v>370</v>
      </c>
      <c r="Y17" s="195" t="s">
        <v>370</v>
      </c>
      <c r="Z17" s="195" t="s">
        <v>370</v>
      </c>
      <c r="AA17" s="195" t="s">
        <v>370</v>
      </c>
      <c r="AB17" s="195" t="s">
        <v>370</v>
      </c>
      <c r="AC17" s="195" t="s">
        <v>370</v>
      </c>
      <c r="AD17" s="195" t="s">
        <v>370</v>
      </c>
      <c r="AE17" s="195" t="s">
        <v>370</v>
      </c>
      <c r="AF17" s="195" t="s">
        <v>370</v>
      </c>
      <c r="AG17" s="132" t="s">
        <v>315</v>
      </c>
      <c r="AH17" s="132"/>
      <c r="AI17" s="132"/>
      <c r="AJ17" s="132"/>
    </row>
    <row r="18" spans="1:36" x14ac:dyDescent="0.15">
      <c r="A18" s="126">
        <v>2097</v>
      </c>
      <c r="B18" s="172">
        <v>42202</v>
      </c>
      <c r="C18" s="128" t="s">
        <v>303</v>
      </c>
      <c r="D18" s="193" t="s">
        <v>363</v>
      </c>
      <c r="E18" s="201">
        <v>42185</v>
      </c>
      <c r="F18" s="128" t="s">
        <v>356</v>
      </c>
      <c r="G18" s="196" t="s">
        <v>302</v>
      </c>
      <c r="H18" s="194">
        <v>82.354545454545445</v>
      </c>
      <c r="I18" s="131" t="s">
        <v>347</v>
      </c>
      <c r="J18" s="133">
        <v>1650</v>
      </c>
      <c r="K18" s="133">
        <v>2960</v>
      </c>
      <c r="L18" s="133">
        <v>2960</v>
      </c>
      <c r="M18" s="133">
        <v>2960</v>
      </c>
      <c r="N18" s="133">
        <v>2960</v>
      </c>
      <c r="O18" s="195">
        <v>2.2181818181818178</v>
      </c>
      <c r="P18" s="195">
        <v>2</v>
      </c>
      <c r="Q18" s="195">
        <v>1.8909090909090909</v>
      </c>
      <c r="R18" s="195">
        <v>0</v>
      </c>
      <c r="S18" s="195">
        <v>0</v>
      </c>
      <c r="T18" s="195">
        <v>0</v>
      </c>
      <c r="U18" s="195" t="s">
        <v>370</v>
      </c>
      <c r="V18" s="195" t="s">
        <v>370</v>
      </c>
      <c r="W18" s="195" t="s">
        <v>370</v>
      </c>
      <c r="X18" s="195" t="s">
        <v>370</v>
      </c>
      <c r="Y18" s="195" t="s">
        <v>370</v>
      </c>
      <c r="Z18" s="195" t="s">
        <v>370</v>
      </c>
      <c r="AA18" s="195" t="s">
        <v>370</v>
      </c>
      <c r="AB18" s="195" t="s">
        <v>370</v>
      </c>
      <c r="AC18" s="195" t="s">
        <v>370</v>
      </c>
      <c r="AD18" s="195" t="s">
        <v>370</v>
      </c>
      <c r="AE18" s="195" t="s">
        <v>370</v>
      </c>
      <c r="AF18" s="195" t="s">
        <v>370</v>
      </c>
      <c r="AG18" s="132" t="s">
        <v>315</v>
      </c>
      <c r="AH18" s="132"/>
      <c r="AI18" s="132"/>
      <c r="AJ18" s="132"/>
    </row>
    <row r="19" spans="1:36" x14ac:dyDescent="0.15">
      <c r="A19" s="126">
        <v>2111</v>
      </c>
      <c r="B19" s="172">
        <v>42202</v>
      </c>
      <c r="C19" s="128" t="s">
        <v>303</v>
      </c>
      <c r="D19" s="193" t="s">
        <v>364</v>
      </c>
      <c r="E19" s="130">
        <v>42214</v>
      </c>
      <c r="F19" s="128" t="s">
        <v>308</v>
      </c>
      <c r="G19" s="196" t="s">
        <v>302</v>
      </c>
      <c r="H19" s="194">
        <v>72.5</v>
      </c>
      <c r="I19" s="131" t="s">
        <v>347</v>
      </c>
      <c r="J19" s="133">
        <v>6000</v>
      </c>
      <c r="K19" s="133">
        <v>12000</v>
      </c>
      <c r="L19" s="133">
        <v>84000</v>
      </c>
      <c r="M19" s="133">
        <v>84000</v>
      </c>
      <c r="N19" s="133">
        <v>84000</v>
      </c>
      <c r="O19" s="195">
        <v>3.4545454545454541</v>
      </c>
      <c r="P19" s="195">
        <v>3.0727272727272723</v>
      </c>
      <c r="Q19" s="195">
        <v>2.7272727272727271</v>
      </c>
      <c r="R19" s="195">
        <v>2.7272727272727271</v>
      </c>
      <c r="S19" s="195">
        <v>0</v>
      </c>
      <c r="T19" s="195">
        <v>0</v>
      </c>
      <c r="U19" s="195" t="s">
        <v>370</v>
      </c>
      <c r="V19" s="195" t="s">
        <v>370</v>
      </c>
      <c r="W19" s="195" t="s">
        <v>370</v>
      </c>
      <c r="X19" s="195" t="s">
        <v>370</v>
      </c>
      <c r="Y19" s="195" t="s">
        <v>370</v>
      </c>
      <c r="Z19" s="195" t="s">
        <v>370</v>
      </c>
      <c r="AA19" s="195" t="s">
        <v>370</v>
      </c>
      <c r="AB19" s="195" t="s">
        <v>370</v>
      </c>
      <c r="AC19" s="195" t="s">
        <v>370</v>
      </c>
      <c r="AD19" s="195" t="s">
        <v>370</v>
      </c>
      <c r="AE19" s="195" t="s">
        <v>370</v>
      </c>
      <c r="AF19" s="195" t="s">
        <v>370</v>
      </c>
      <c r="AG19" s="132" t="s">
        <v>315</v>
      </c>
      <c r="AH19" s="132"/>
      <c r="AI19" s="132"/>
      <c r="AJ19" s="132"/>
    </row>
    <row r="20" spans="1:36" x14ac:dyDescent="0.15">
      <c r="A20" s="126">
        <v>2157</v>
      </c>
      <c r="B20" s="172">
        <v>42202</v>
      </c>
      <c r="C20" s="128" t="s">
        <v>303</v>
      </c>
      <c r="D20" s="193" t="s">
        <v>364</v>
      </c>
      <c r="E20" s="201">
        <v>42185</v>
      </c>
      <c r="F20" s="128" t="s">
        <v>309</v>
      </c>
      <c r="G20" s="196" t="s">
        <v>302</v>
      </c>
      <c r="H20" s="194">
        <v>62.290909090909082</v>
      </c>
      <c r="I20" s="131" t="s">
        <v>348</v>
      </c>
      <c r="J20" s="133">
        <v>1650</v>
      </c>
      <c r="K20" s="133">
        <v>2960</v>
      </c>
      <c r="L20" s="133">
        <v>2960</v>
      </c>
      <c r="M20" s="133">
        <v>2960</v>
      </c>
      <c r="N20" s="133">
        <v>2960</v>
      </c>
      <c r="O20" s="195">
        <v>3.2090909090909085</v>
      </c>
      <c r="P20" s="195">
        <v>2.9727272727272727</v>
      </c>
      <c r="Q20" s="195">
        <v>2.3818181818181818</v>
      </c>
      <c r="R20" s="195">
        <v>0</v>
      </c>
      <c r="S20" s="195">
        <v>0</v>
      </c>
      <c r="T20" s="195">
        <v>0</v>
      </c>
      <c r="U20" s="195" t="s">
        <v>370</v>
      </c>
      <c r="V20" s="195" t="s">
        <v>370</v>
      </c>
      <c r="W20" s="195" t="s">
        <v>370</v>
      </c>
      <c r="X20" s="195" t="s">
        <v>370</v>
      </c>
      <c r="Y20" s="195" t="s">
        <v>370</v>
      </c>
      <c r="Z20" s="195" t="s">
        <v>370</v>
      </c>
      <c r="AA20" s="195" t="s">
        <v>370</v>
      </c>
      <c r="AB20" s="195" t="s">
        <v>370</v>
      </c>
      <c r="AC20" s="195" t="s">
        <v>370</v>
      </c>
      <c r="AD20" s="195" t="s">
        <v>370</v>
      </c>
      <c r="AE20" s="195" t="s">
        <v>370</v>
      </c>
      <c r="AF20" s="195" t="s">
        <v>370</v>
      </c>
      <c r="AG20" s="132" t="s">
        <v>315</v>
      </c>
      <c r="AH20" s="132"/>
      <c r="AI20" s="132"/>
      <c r="AJ20" s="132"/>
    </row>
    <row r="21" spans="1:36" x14ac:dyDescent="0.15">
      <c r="A21" s="126">
        <v>2098</v>
      </c>
      <c r="B21" s="172">
        <v>42202</v>
      </c>
      <c r="C21" s="128" t="s">
        <v>303</v>
      </c>
      <c r="D21" s="193" t="s">
        <v>364</v>
      </c>
      <c r="E21" s="201">
        <v>42185</v>
      </c>
      <c r="F21" s="128" t="s">
        <v>356</v>
      </c>
      <c r="G21" s="196" t="s">
        <v>302</v>
      </c>
      <c r="H21" s="194">
        <v>73.490909090909085</v>
      </c>
      <c r="I21" s="131" t="s">
        <v>347</v>
      </c>
      <c r="J21" s="133">
        <v>1650</v>
      </c>
      <c r="K21" s="133">
        <v>2960</v>
      </c>
      <c r="L21" s="133">
        <v>2960</v>
      </c>
      <c r="M21" s="133">
        <v>2960</v>
      </c>
      <c r="N21" s="133">
        <v>2960</v>
      </c>
      <c r="O21" s="195">
        <v>3.4818181818181815</v>
      </c>
      <c r="P21" s="195">
        <v>3.1636363636363636</v>
      </c>
      <c r="Q21" s="195">
        <v>2.5272727272727269</v>
      </c>
      <c r="R21" s="195">
        <v>0</v>
      </c>
      <c r="S21" s="195">
        <v>0</v>
      </c>
      <c r="T21" s="195">
        <v>0</v>
      </c>
      <c r="U21" s="195" t="s">
        <v>370</v>
      </c>
      <c r="V21" s="195" t="s">
        <v>370</v>
      </c>
      <c r="W21" s="195" t="s">
        <v>370</v>
      </c>
      <c r="X21" s="195" t="s">
        <v>370</v>
      </c>
      <c r="Y21" s="195" t="s">
        <v>370</v>
      </c>
      <c r="Z21" s="195" t="s">
        <v>370</v>
      </c>
      <c r="AA21" s="195" t="s">
        <v>370</v>
      </c>
      <c r="AB21" s="195" t="s">
        <v>370</v>
      </c>
      <c r="AC21" s="195" t="s">
        <v>370</v>
      </c>
      <c r="AD21" s="195" t="s">
        <v>370</v>
      </c>
      <c r="AE21" s="195" t="s">
        <v>370</v>
      </c>
      <c r="AF21" s="195" t="s">
        <v>370</v>
      </c>
      <c r="AG21" s="132" t="s">
        <v>315</v>
      </c>
      <c r="AH21" s="132"/>
      <c r="AI21" s="132"/>
      <c r="AJ21" s="132"/>
    </row>
    <row r="22" spans="1:36" x14ac:dyDescent="0.15">
      <c r="A22" s="126">
        <v>2161</v>
      </c>
      <c r="B22" s="172">
        <v>42202</v>
      </c>
      <c r="C22" s="128" t="s">
        <v>303</v>
      </c>
      <c r="D22" s="193" t="s">
        <v>365</v>
      </c>
      <c r="E22" s="201">
        <v>42185</v>
      </c>
      <c r="F22" s="128" t="s">
        <v>309</v>
      </c>
      <c r="G22" s="196" t="s">
        <v>302</v>
      </c>
      <c r="H22" s="194">
        <v>71.036363636363632</v>
      </c>
      <c r="I22" s="131"/>
      <c r="J22" s="129"/>
      <c r="K22" s="129"/>
      <c r="L22" s="129"/>
      <c r="M22" s="129"/>
      <c r="N22" s="129"/>
      <c r="O22" s="195">
        <v>2.6909090909090905</v>
      </c>
      <c r="P22" s="195" t="s">
        <v>370</v>
      </c>
      <c r="Q22" s="195" t="s">
        <v>370</v>
      </c>
      <c r="R22" s="195" t="s">
        <v>370</v>
      </c>
      <c r="S22" s="195" t="s">
        <v>370</v>
      </c>
      <c r="T22" s="195" t="s">
        <v>370</v>
      </c>
      <c r="U22" s="195" t="s">
        <v>370</v>
      </c>
      <c r="V22" s="195" t="s">
        <v>370</v>
      </c>
      <c r="W22" s="195" t="s">
        <v>370</v>
      </c>
      <c r="X22" s="195" t="s">
        <v>370</v>
      </c>
      <c r="Y22" s="195" t="s">
        <v>370</v>
      </c>
      <c r="Z22" s="195" t="s">
        <v>370</v>
      </c>
      <c r="AA22" s="195" t="s">
        <v>370</v>
      </c>
      <c r="AB22" s="195" t="s">
        <v>370</v>
      </c>
      <c r="AC22" s="195" t="s">
        <v>370</v>
      </c>
      <c r="AD22" s="195" t="s">
        <v>370</v>
      </c>
      <c r="AE22" s="195" t="s">
        <v>370</v>
      </c>
      <c r="AF22" s="195" t="s">
        <v>370</v>
      </c>
      <c r="AG22" s="132" t="s">
        <v>315</v>
      </c>
      <c r="AH22" s="132"/>
      <c r="AI22" s="132"/>
      <c r="AJ22" s="132"/>
    </row>
    <row r="23" spans="1:36" x14ac:dyDescent="0.15">
      <c r="A23" s="126">
        <v>874</v>
      </c>
      <c r="B23" s="172">
        <v>42202</v>
      </c>
      <c r="C23" s="128" t="s">
        <v>303</v>
      </c>
      <c r="D23" s="193" t="s">
        <v>365</v>
      </c>
      <c r="E23" s="174">
        <v>42185</v>
      </c>
      <c r="F23" s="128" t="s">
        <v>310</v>
      </c>
      <c r="G23" s="196" t="s">
        <v>302</v>
      </c>
      <c r="H23" s="194">
        <v>72.61</v>
      </c>
      <c r="I23" s="131"/>
      <c r="J23" s="133"/>
      <c r="K23" s="133"/>
      <c r="L23" s="133"/>
      <c r="M23" s="133"/>
      <c r="N23" s="133"/>
      <c r="O23" s="195">
        <v>3.1</v>
      </c>
      <c r="P23" s="195" t="s">
        <v>370</v>
      </c>
      <c r="Q23" s="195" t="s">
        <v>370</v>
      </c>
      <c r="R23" s="195" t="s">
        <v>370</v>
      </c>
      <c r="S23" s="195" t="s">
        <v>370</v>
      </c>
      <c r="T23" s="195" t="s">
        <v>370</v>
      </c>
      <c r="U23" s="195" t="s">
        <v>370</v>
      </c>
      <c r="V23" s="195" t="s">
        <v>370</v>
      </c>
      <c r="W23" s="195" t="s">
        <v>370</v>
      </c>
      <c r="X23" s="195" t="s">
        <v>370</v>
      </c>
      <c r="Y23" s="195" t="s">
        <v>370</v>
      </c>
      <c r="Z23" s="195" t="s">
        <v>370</v>
      </c>
      <c r="AA23" s="195" t="s">
        <v>370</v>
      </c>
      <c r="AB23" s="195" t="s">
        <v>370</v>
      </c>
      <c r="AC23" s="195" t="s">
        <v>370</v>
      </c>
      <c r="AD23" s="195" t="s">
        <v>370</v>
      </c>
      <c r="AE23" s="195" t="s">
        <v>370</v>
      </c>
      <c r="AF23" s="195" t="s">
        <v>370</v>
      </c>
      <c r="AG23" s="132" t="s">
        <v>315</v>
      </c>
      <c r="AH23" s="129"/>
      <c r="AI23" s="129"/>
      <c r="AJ23" s="129"/>
    </row>
    <row r="24" spans="1:36" x14ac:dyDescent="0.15">
      <c r="A24" s="126">
        <v>2173</v>
      </c>
      <c r="B24" s="172">
        <v>42202</v>
      </c>
      <c r="C24" s="128" t="s">
        <v>303</v>
      </c>
      <c r="D24" s="193" t="s">
        <v>366</v>
      </c>
      <c r="E24" s="201">
        <v>42185</v>
      </c>
      <c r="F24" s="128" t="s">
        <v>309</v>
      </c>
      <c r="G24" s="196" t="s">
        <v>302</v>
      </c>
      <c r="H24" s="194">
        <v>75.954545454545439</v>
      </c>
      <c r="I24" s="131"/>
      <c r="J24" s="129"/>
      <c r="K24" s="129"/>
      <c r="L24" s="129"/>
      <c r="M24" s="129"/>
      <c r="N24" s="129"/>
      <c r="O24" s="195">
        <v>2.7272727272727271</v>
      </c>
      <c r="P24" s="195" t="s">
        <v>370</v>
      </c>
      <c r="Q24" s="195" t="s">
        <v>370</v>
      </c>
      <c r="R24" s="195" t="s">
        <v>370</v>
      </c>
      <c r="S24" s="195" t="s">
        <v>370</v>
      </c>
      <c r="T24" s="195" t="s">
        <v>370</v>
      </c>
      <c r="U24" s="195" t="s">
        <v>370</v>
      </c>
      <c r="V24" s="195" t="s">
        <v>370</v>
      </c>
      <c r="W24" s="195" t="s">
        <v>370</v>
      </c>
      <c r="X24" s="195" t="s">
        <v>370</v>
      </c>
      <c r="Y24" s="195" t="s">
        <v>370</v>
      </c>
      <c r="Z24" s="195" t="s">
        <v>370</v>
      </c>
      <c r="AA24" s="195" t="s">
        <v>370</v>
      </c>
      <c r="AB24" s="195" t="s">
        <v>370</v>
      </c>
      <c r="AC24" s="195" t="s">
        <v>370</v>
      </c>
      <c r="AD24" s="195" t="s">
        <v>370</v>
      </c>
      <c r="AE24" s="195" t="s">
        <v>370</v>
      </c>
      <c r="AF24" s="195" t="s">
        <v>370</v>
      </c>
      <c r="AG24" s="132" t="s">
        <v>315</v>
      </c>
      <c r="AH24" s="132"/>
      <c r="AI24" s="132"/>
      <c r="AJ24" s="132"/>
    </row>
    <row r="25" spans="1:36" x14ac:dyDescent="0.15">
      <c r="A25" s="126">
        <v>2096</v>
      </c>
      <c r="B25" s="172">
        <v>42202</v>
      </c>
      <c r="C25" s="128" t="s">
        <v>303</v>
      </c>
      <c r="D25" s="193" t="s">
        <v>366</v>
      </c>
      <c r="E25" s="201">
        <v>42185</v>
      </c>
      <c r="F25" s="128" t="s">
        <v>356</v>
      </c>
      <c r="G25" s="196" t="s">
        <v>302</v>
      </c>
      <c r="H25" s="194">
        <v>87.98181818181817</v>
      </c>
      <c r="I25" s="131"/>
      <c r="J25" s="129"/>
      <c r="K25" s="129"/>
      <c r="L25" s="129"/>
      <c r="M25" s="129"/>
      <c r="N25" s="129"/>
      <c r="O25" s="195">
        <v>2.9545454545454541</v>
      </c>
      <c r="P25" s="195" t="s">
        <v>370</v>
      </c>
      <c r="Q25" s="195" t="s">
        <v>370</v>
      </c>
      <c r="R25" s="195" t="s">
        <v>370</v>
      </c>
      <c r="S25" s="195" t="s">
        <v>370</v>
      </c>
      <c r="T25" s="195" t="s">
        <v>370</v>
      </c>
      <c r="U25" s="195" t="s">
        <v>370</v>
      </c>
      <c r="V25" s="195" t="s">
        <v>370</v>
      </c>
      <c r="W25" s="195" t="s">
        <v>370</v>
      </c>
      <c r="X25" s="195" t="s">
        <v>370</v>
      </c>
      <c r="Y25" s="195" t="s">
        <v>370</v>
      </c>
      <c r="Z25" s="195" t="s">
        <v>370</v>
      </c>
      <c r="AA25" s="195" t="s">
        <v>370</v>
      </c>
      <c r="AB25" s="195" t="s">
        <v>370</v>
      </c>
      <c r="AC25" s="195" t="s">
        <v>370</v>
      </c>
      <c r="AD25" s="195" t="s">
        <v>370</v>
      </c>
      <c r="AE25" s="195" t="s">
        <v>370</v>
      </c>
      <c r="AF25" s="195" t="s">
        <v>370</v>
      </c>
      <c r="AG25" s="132" t="s">
        <v>315</v>
      </c>
      <c r="AH25" s="132"/>
      <c r="AI25" s="132"/>
      <c r="AJ25" s="132"/>
    </row>
    <row r="26" spans="1:36" x14ac:dyDescent="0.15">
      <c r="A26" s="126">
        <v>2177</v>
      </c>
      <c r="B26" s="172">
        <v>42202</v>
      </c>
      <c r="C26" s="128" t="s">
        <v>303</v>
      </c>
      <c r="D26" s="193" t="s">
        <v>367</v>
      </c>
      <c r="E26" s="201">
        <v>42185</v>
      </c>
      <c r="F26" s="128" t="s">
        <v>309</v>
      </c>
      <c r="G26" s="196" t="s">
        <v>302</v>
      </c>
      <c r="H26" s="194">
        <v>81.536363636363632</v>
      </c>
      <c r="I26" s="131"/>
      <c r="J26" s="129"/>
      <c r="K26" s="129"/>
      <c r="L26" s="129"/>
      <c r="M26" s="129"/>
      <c r="N26" s="129"/>
      <c r="O26" s="195">
        <v>2.8</v>
      </c>
      <c r="P26" s="195" t="s">
        <v>370</v>
      </c>
      <c r="Q26" s="195" t="s">
        <v>370</v>
      </c>
      <c r="R26" s="195" t="s">
        <v>370</v>
      </c>
      <c r="S26" s="195" t="s">
        <v>370</v>
      </c>
      <c r="T26" s="195" t="s">
        <v>370</v>
      </c>
      <c r="U26" s="195" t="s">
        <v>370</v>
      </c>
      <c r="V26" s="195" t="s">
        <v>370</v>
      </c>
      <c r="W26" s="195" t="s">
        <v>370</v>
      </c>
      <c r="X26" s="195" t="s">
        <v>370</v>
      </c>
      <c r="Y26" s="195" t="s">
        <v>370</v>
      </c>
      <c r="Z26" s="195" t="s">
        <v>370</v>
      </c>
      <c r="AA26" s="195" t="s">
        <v>370</v>
      </c>
      <c r="AB26" s="195" t="s">
        <v>370</v>
      </c>
      <c r="AC26" s="195" t="s">
        <v>370</v>
      </c>
      <c r="AD26" s="195" t="s">
        <v>370</v>
      </c>
      <c r="AE26" s="195" t="s">
        <v>370</v>
      </c>
      <c r="AF26" s="195" t="s">
        <v>370</v>
      </c>
      <c r="AG26" s="132" t="s">
        <v>315</v>
      </c>
      <c r="AH26" s="132"/>
      <c r="AI26" s="132"/>
      <c r="AJ26" s="132"/>
    </row>
    <row r="27" spans="1:36" x14ac:dyDescent="0.15">
      <c r="A27" s="126">
        <v>875</v>
      </c>
      <c r="B27" s="172">
        <v>42202</v>
      </c>
      <c r="C27" s="128" t="s">
        <v>303</v>
      </c>
      <c r="D27" s="193" t="s">
        <v>367</v>
      </c>
      <c r="E27" s="174">
        <v>42185</v>
      </c>
      <c r="F27" s="128" t="s">
        <v>310</v>
      </c>
      <c r="G27" s="196" t="s">
        <v>302</v>
      </c>
      <c r="H27" s="194">
        <v>83.02</v>
      </c>
      <c r="I27" s="131"/>
      <c r="J27" s="133"/>
      <c r="K27" s="133"/>
      <c r="L27" s="133"/>
      <c r="M27" s="133"/>
      <c r="N27" s="133"/>
      <c r="O27" s="195">
        <v>3.1</v>
      </c>
      <c r="P27" s="195" t="s">
        <v>370</v>
      </c>
      <c r="Q27" s="195" t="s">
        <v>370</v>
      </c>
      <c r="R27" s="195" t="s">
        <v>370</v>
      </c>
      <c r="S27" s="195" t="s">
        <v>370</v>
      </c>
      <c r="T27" s="195" t="s">
        <v>370</v>
      </c>
      <c r="U27" s="195" t="s">
        <v>370</v>
      </c>
      <c r="V27" s="195" t="s">
        <v>370</v>
      </c>
      <c r="W27" s="195" t="s">
        <v>370</v>
      </c>
      <c r="X27" s="195" t="s">
        <v>370</v>
      </c>
      <c r="Y27" s="195" t="s">
        <v>370</v>
      </c>
      <c r="Z27" s="195" t="s">
        <v>370</v>
      </c>
      <c r="AA27" s="195" t="s">
        <v>370</v>
      </c>
      <c r="AB27" s="195" t="s">
        <v>370</v>
      </c>
      <c r="AC27" s="195" t="s">
        <v>370</v>
      </c>
      <c r="AD27" s="195" t="s">
        <v>370</v>
      </c>
      <c r="AE27" s="195" t="s">
        <v>370</v>
      </c>
      <c r="AF27" s="195" t="s">
        <v>370</v>
      </c>
      <c r="AG27" s="132" t="s">
        <v>315</v>
      </c>
      <c r="AH27" s="129"/>
      <c r="AI27" s="129"/>
      <c r="AJ27" s="129"/>
    </row>
    <row r="28" spans="1:36" x14ac:dyDescent="0.15">
      <c r="A28" s="126">
        <v>2165</v>
      </c>
      <c r="B28" s="172">
        <v>42202</v>
      </c>
      <c r="C28" s="128" t="s">
        <v>303</v>
      </c>
      <c r="D28" s="193" t="s">
        <v>368</v>
      </c>
      <c r="E28" s="201">
        <v>42185</v>
      </c>
      <c r="F28" s="128" t="s">
        <v>309</v>
      </c>
      <c r="G28" s="196" t="s">
        <v>302</v>
      </c>
      <c r="H28" s="194">
        <v>86.590909090909079</v>
      </c>
      <c r="I28" s="131"/>
      <c r="J28" s="129"/>
      <c r="K28" s="129"/>
      <c r="L28" s="129"/>
      <c r="M28" s="129"/>
      <c r="N28" s="129"/>
      <c r="O28" s="195">
        <v>2.2727272727272725</v>
      </c>
      <c r="P28" s="195" t="s">
        <v>370</v>
      </c>
      <c r="Q28" s="195" t="s">
        <v>370</v>
      </c>
      <c r="R28" s="195" t="s">
        <v>370</v>
      </c>
      <c r="S28" s="195" t="s">
        <v>370</v>
      </c>
      <c r="T28" s="195" t="s">
        <v>370</v>
      </c>
      <c r="U28" s="195" t="s">
        <v>370</v>
      </c>
      <c r="V28" s="195" t="s">
        <v>370</v>
      </c>
      <c r="W28" s="195" t="s">
        <v>370</v>
      </c>
      <c r="X28" s="195" t="s">
        <v>370</v>
      </c>
      <c r="Y28" s="195" t="s">
        <v>370</v>
      </c>
      <c r="Z28" s="195" t="s">
        <v>370</v>
      </c>
      <c r="AA28" s="195" t="s">
        <v>370</v>
      </c>
      <c r="AB28" s="195" t="s">
        <v>370</v>
      </c>
      <c r="AC28" s="195" t="s">
        <v>370</v>
      </c>
      <c r="AD28" s="195" t="s">
        <v>370</v>
      </c>
      <c r="AE28" s="195" t="s">
        <v>370</v>
      </c>
      <c r="AF28" s="195" t="s">
        <v>370</v>
      </c>
      <c r="AG28" s="132" t="s">
        <v>315</v>
      </c>
      <c r="AH28" s="132"/>
      <c r="AI28" s="132"/>
      <c r="AJ28" s="132"/>
    </row>
    <row r="29" spans="1:36" x14ac:dyDescent="0.15">
      <c r="A29" s="126">
        <v>2099</v>
      </c>
      <c r="B29" s="172">
        <v>42202</v>
      </c>
      <c r="C29" s="128" t="s">
        <v>303</v>
      </c>
      <c r="D29" s="193" t="s">
        <v>368</v>
      </c>
      <c r="E29" s="201">
        <v>42185</v>
      </c>
      <c r="F29" s="128" t="s">
        <v>356</v>
      </c>
      <c r="G29" s="196" t="s">
        <v>302</v>
      </c>
      <c r="H29" s="194">
        <v>99.36363636363636</v>
      </c>
      <c r="I29" s="131"/>
      <c r="J29" s="129"/>
      <c r="K29" s="129"/>
      <c r="L29" s="129"/>
      <c r="M29" s="129"/>
      <c r="N29" s="129"/>
      <c r="O29" s="195">
        <v>2.418181818181818</v>
      </c>
      <c r="P29" s="195" t="s">
        <v>370</v>
      </c>
      <c r="Q29" s="195" t="s">
        <v>370</v>
      </c>
      <c r="R29" s="195" t="s">
        <v>370</v>
      </c>
      <c r="S29" s="195" t="s">
        <v>370</v>
      </c>
      <c r="T29" s="195" t="s">
        <v>370</v>
      </c>
      <c r="U29" s="195" t="s">
        <v>370</v>
      </c>
      <c r="V29" s="195" t="s">
        <v>370</v>
      </c>
      <c r="W29" s="195" t="s">
        <v>370</v>
      </c>
      <c r="X29" s="195" t="s">
        <v>370</v>
      </c>
      <c r="Y29" s="195" t="s">
        <v>370</v>
      </c>
      <c r="Z29" s="195" t="s">
        <v>370</v>
      </c>
      <c r="AA29" s="195" t="s">
        <v>370</v>
      </c>
      <c r="AB29" s="195" t="s">
        <v>370</v>
      </c>
      <c r="AC29" s="195" t="s">
        <v>370</v>
      </c>
      <c r="AD29" s="195" t="s">
        <v>370</v>
      </c>
      <c r="AE29" s="195" t="s">
        <v>370</v>
      </c>
      <c r="AF29" s="195" t="s">
        <v>370</v>
      </c>
      <c r="AG29" s="132" t="s">
        <v>315</v>
      </c>
      <c r="AH29" s="132"/>
      <c r="AI29" s="132"/>
      <c r="AJ29" s="132"/>
    </row>
    <row r="30" spans="1:36" x14ac:dyDescent="0.15">
      <c r="A30" s="126">
        <v>2169</v>
      </c>
      <c r="B30" s="172">
        <v>42202</v>
      </c>
      <c r="C30" s="128" t="s">
        <v>303</v>
      </c>
      <c r="D30" s="193" t="s">
        <v>369</v>
      </c>
      <c r="E30" s="201">
        <v>42185</v>
      </c>
      <c r="F30" s="128" t="s">
        <v>309</v>
      </c>
      <c r="G30" s="196" t="s">
        <v>302</v>
      </c>
      <c r="H30" s="194">
        <v>64.009090909090901</v>
      </c>
      <c r="I30" s="131"/>
      <c r="J30" s="129"/>
      <c r="K30" s="129"/>
      <c r="L30" s="129"/>
      <c r="M30" s="129"/>
      <c r="N30" s="129"/>
      <c r="O30" s="195">
        <v>3.9272727272727272</v>
      </c>
      <c r="P30" s="195" t="s">
        <v>370</v>
      </c>
      <c r="Q30" s="195" t="s">
        <v>370</v>
      </c>
      <c r="R30" s="195" t="s">
        <v>370</v>
      </c>
      <c r="S30" s="195" t="s">
        <v>370</v>
      </c>
      <c r="T30" s="195" t="s">
        <v>370</v>
      </c>
      <c r="U30" s="195" t="s">
        <v>370</v>
      </c>
      <c r="V30" s="195" t="s">
        <v>370</v>
      </c>
      <c r="W30" s="195" t="s">
        <v>370</v>
      </c>
      <c r="X30" s="195" t="s">
        <v>370</v>
      </c>
      <c r="Y30" s="195" t="s">
        <v>370</v>
      </c>
      <c r="Z30" s="195" t="s">
        <v>370</v>
      </c>
      <c r="AA30" s="195" t="s">
        <v>370</v>
      </c>
      <c r="AB30" s="195" t="s">
        <v>370</v>
      </c>
      <c r="AC30" s="195" t="s">
        <v>370</v>
      </c>
      <c r="AD30" s="195" t="s">
        <v>370</v>
      </c>
      <c r="AE30" s="195" t="s">
        <v>370</v>
      </c>
      <c r="AF30" s="195" t="s">
        <v>370</v>
      </c>
      <c r="AG30" s="132" t="s">
        <v>315</v>
      </c>
      <c r="AH30" s="132"/>
      <c r="AI30" s="132"/>
      <c r="AJ30" s="132"/>
    </row>
  </sheetData>
  <sheetProtection algorithmName="SHA-512" hashValue="NKys4NSYSaHMP0l/xrcAx3M8r2pwTHyU1+yhUXokXiu97hgSrEN3pR5+x58pYquhR5e1qGVMJq2miIvN15+aLQ==" saltValue="perTgfCZ5zinjhkGVBXVrg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952E3-2F98-D74D-9D45-8CCA72B8A48A}">
  <sheetPr codeName="Sheet16"/>
  <dimension ref="A1:BE30"/>
  <sheetViews>
    <sheetView zoomScale="120" zoomScaleNormal="120" workbookViewId="0">
      <selection activeCell="A13" sqref="A13:XFD13"/>
    </sheetView>
  </sheetViews>
  <sheetFormatPr baseColWidth="10" defaultRowHeight="13" x14ac:dyDescent="0.15"/>
  <cols>
    <col min="1" max="1" width="6.16406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42" x14ac:dyDescent="0.15">
      <c r="A1" s="112" t="s">
        <v>234</v>
      </c>
      <c r="B1" s="112" t="s">
        <v>235</v>
      </c>
      <c r="C1" s="113" t="s">
        <v>236</v>
      </c>
      <c r="D1" s="114" t="s">
        <v>237</v>
      </c>
      <c r="E1" s="112" t="s">
        <v>192</v>
      </c>
      <c r="F1" s="113" t="s">
        <v>239</v>
      </c>
      <c r="G1" s="114" t="s">
        <v>240</v>
      </c>
      <c r="H1" s="115" t="s">
        <v>241</v>
      </c>
      <c r="I1" s="116" t="s">
        <v>242</v>
      </c>
      <c r="J1" s="116" t="s">
        <v>243</v>
      </c>
      <c r="K1" s="116" t="s">
        <v>244</v>
      </c>
      <c r="L1" s="116" t="s">
        <v>245</v>
      </c>
      <c r="M1" s="116" t="s">
        <v>246</v>
      </c>
      <c r="N1" s="117" t="s">
        <v>247</v>
      </c>
      <c r="O1" s="118" t="s">
        <v>248</v>
      </c>
      <c r="P1" s="118" t="s">
        <v>249</v>
      </c>
      <c r="Q1" s="118" t="s">
        <v>226</v>
      </c>
      <c r="R1" s="118" t="s">
        <v>285</v>
      </c>
      <c r="S1" s="118" t="s">
        <v>286</v>
      </c>
      <c r="T1" s="119" t="s">
        <v>287</v>
      </c>
      <c r="U1" s="120" t="s">
        <v>288</v>
      </c>
      <c r="V1" s="120" t="s">
        <v>289</v>
      </c>
      <c r="W1" s="120" t="s">
        <v>290</v>
      </c>
      <c r="X1" s="120" t="s">
        <v>148</v>
      </c>
      <c r="Y1" s="120" t="s">
        <v>149</v>
      </c>
      <c r="Z1" s="121" t="s">
        <v>150</v>
      </c>
      <c r="AA1" s="122" t="s">
        <v>151</v>
      </c>
      <c r="AB1" s="122" t="s">
        <v>152</v>
      </c>
      <c r="AC1" s="122" t="s">
        <v>153</v>
      </c>
      <c r="AD1" s="122" t="s">
        <v>154</v>
      </c>
      <c r="AE1" s="122" t="s">
        <v>267</v>
      </c>
      <c r="AF1" s="123" t="s">
        <v>268</v>
      </c>
      <c r="AG1" s="124" t="s">
        <v>269</v>
      </c>
      <c r="AH1" s="124" t="s">
        <v>270</v>
      </c>
      <c r="AI1" s="124" t="s">
        <v>271</v>
      </c>
      <c r="AJ1" s="125" t="s">
        <v>272</v>
      </c>
    </row>
    <row r="2" spans="1:57" x14ac:dyDescent="0.15">
      <c r="A2" s="126">
        <v>370</v>
      </c>
      <c r="B2" s="172">
        <v>41902</v>
      </c>
      <c r="C2" s="128" t="s">
        <v>330</v>
      </c>
      <c r="D2" s="129" t="s">
        <v>331</v>
      </c>
      <c r="E2" s="130">
        <v>41822</v>
      </c>
      <c r="F2" s="128" t="s">
        <v>332</v>
      </c>
      <c r="G2" s="129" t="s">
        <v>302</v>
      </c>
      <c r="H2" s="129">
        <v>64</v>
      </c>
      <c r="I2" s="131" t="s">
        <v>347</v>
      </c>
      <c r="J2" s="133">
        <v>6660</v>
      </c>
      <c r="K2" s="133">
        <v>6660</v>
      </c>
      <c r="L2" s="133">
        <v>6660</v>
      </c>
      <c r="M2" s="133">
        <v>6660</v>
      </c>
      <c r="N2" s="133">
        <v>6660</v>
      </c>
      <c r="O2" s="129">
        <v>2.92</v>
      </c>
      <c r="P2" s="129">
        <v>2.5</v>
      </c>
      <c r="Q2" s="129">
        <v>0</v>
      </c>
      <c r="R2" s="129">
        <v>0</v>
      </c>
      <c r="S2" s="129">
        <v>0</v>
      </c>
      <c r="T2" s="129">
        <v>0</v>
      </c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32" t="s">
        <v>315</v>
      </c>
      <c r="AH2" s="132"/>
      <c r="AI2" s="132"/>
      <c r="AJ2" s="132"/>
    </row>
    <row r="3" spans="1:57" x14ac:dyDescent="0.15">
      <c r="A3" s="126">
        <v>1088</v>
      </c>
      <c r="B3" s="172">
        <v>41902</v>
      </c>
      <c r="C3" s="128" t="s">
        <v>330</v>
      </c>
      <c r="D3" s="129" t="s">
        <v>331</v>
      </c>
      <c r="E3" s="130">
        <v>41820</v>
      </c>
      <c r="F3" s="128" t="s">
        <v>333</v>
      </c>
      <c r="G3" s="129" t="s">
        <v>302</v>
      </c>
      <c r="H3" s="129">
        <v>75</v>
      </c>
      <c r="I3" s="131" t="s">
        <v>347</v>
      </c>
      <c r="J3" s="133">
        <v>1200</v>
      </c>
      <c r="K3" s="133">
        <v>2400</v>
      </c>
      <c r="L3" s="133">
        <v>5400</v>
      </c>
      <c r="M3" s="133">
        <v>165400</v>
      </c>
      <c r="N3" s="133">
        <v>832000</v>
      </c>
      <c r="O3" s="129">
        <v>3.85</v>
      </c>
      <c r="P3" s="129">
        <v>2.4500000000000002</v>
      </c>
      <c r="Q3" s="129">
        <v>2.31</v>
      </c>
      <c r="R3" s="129">
        <v>2.31</v>
      </c>
      <c r="S3" s="129">
        <v>2.2200000000000002</v>
      </c>
      <c r="T3" s="129">
        <v>1.9</v>
      </c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32" t="s">
        <v>315</v>
      </c>
      <c r="AH3" s="129"/>
      <c r="AI3" s="129"/>
      <c r="AJ3" s="129"/>
    </row>
    <row r="4" spans="1:57" x14ac:dyDescent="0.15">
      <c r="A4" s="126">
        <v>1159</v>
      </c>
      <c r="B4" s="172">
        <v>41902</v>
      </c>
      <c r="C4" s="173" t="s">
        <v>334</v>
      </c>
      <c r="D4" s="129" t="s">
        <v>335</v>
      </c>
      <c r="E4" s="174">
        <v>41852</v>
      </c>
      <c r="F4" s="128" t="s">
        <v>336</v>
      </c>
      <c r="G4" s="129" t="s">
        <v>302</v>
      </c>
      <c r="H4" s="129">
        <v>59.1</v>
      </c>
      <c r="I4" s="131" t="s">
        <v>347</v>
      </c>
      <c r="J4" s="133">
        <v>1200</v>
      </c>
      <c r="K4" s="133">
        <v>2400</v>
      </c>
      <c r="L4" s="133">
        <v>5400</v>
      </c>
      <c r="M4" s="133">
        <v>165400</v>
      </c>
      <c r="N4" s="133">
        <v>832000</v>
      </c>
      <c r="O4" s="129">
        <v>3.79</v>
      </c>
      <c r="P4" s="129">
        <v>2.5</v>
      </c>
      <c r="Q4" s="129">
        <v>2.35</v>
      </c>
      <c r="R4" s="129">
        <v>2.3199999999999998</v>
      </c>
      <c r="S4" s="129">
        <v>2.2200000000000002</v>
      </c>
      <c r="T4" s="129">
        <v>1.84</v>
      </c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32" t="s">
        <v>315</v>
      </c>
      <c r="AH4" s="129"/>
      <c r="AI4" s="129"/>
      <c r="AJ4" s="129"/>
      <c r="AK4" s="132">
        <v>0</v>
      </c>
      <c r="AL4" s="132">
        <v>0</v>
      </c>
      <c r="AM4" s="132">
        <v>0</v>
      </c>
      <c r="AN4" s="132">
        <v>0</v>
      </c>
      <c r="AO4" s="132">
        <v>0</v>
      </c>
      <c r="AP4" s="132">
        <v>0</v>
      </c>
      <c r="AQ4" s="132">
        <v>0</v>
      </c>
      <c r="AR4" s="132">
        <v>0</v>
      </c>
      <c r="AS4" s="132">
        <v>0</v>
      </c>
      <c r="AT4" s="132">
        <v>0</v>
      </c>
      <c r="AU4" s="129"/>
      <c r="AV4" s="132" t="s">
        <v>264</v>
      </c>
      <c r="AW4" s="132"/>
      <c r="AX4" s="132" t="s">
        <v>264</v>
      </c>
      <c r="AY4" s="128"/>
      <c r="AZ4" s="129"/>
      <c r="BA4" s="132"/>
      <c r="BB4" s="132" t="s">
        <v>292</v>
      </c>
      <c r="BC4" s="128" t="s">
        <v>293</v>
      </c>
      <c r="BD4" t="s">
        <v>294</v>
      </c>
      <c r="BE4" t="s">
        <v>295</v>
      </c>
    </row>
    <row r="5" spans="1:57" x14ac:dyDescent="0.15">
      <c r="A5" s="126">
        <v>839</v>
      </c>
      <c r="B5" s="172">
        <v>41902</v>
      </c>
      <c r="C5" s="128" t="s">
        <v>330</v>
      </c>
      <c r="D5" s="129" t="s">
        <v>331</v>
      </c>
      <c r="E5" s="130">
        <v>41640</v>
      </c>
      <c r="F5" s="128" t="s">
        <v>337</v>
      </c>
      <c r="G5" s="129" t="s">
        <v>302</v>
      </c>
      <c r="H5" s="129">
        <v>59.3</v>
      </c>
      <c r="I5" s="131" t="s">
        <v>347</v>
      </c>
      <c r="J5" s="133">
        <v>1200</v>
      </c>
      <c r="K5" s="133">
        <v>2400</v>
      </c>
      <c r="L5" s="133">
        <v>5400</v>
      </c>
      <c r="M5" s="133">
        <v>165400</v>
      </c>
      <c r="N5" s="133">
        <v>832000</v>
      </c>
      <c r="O5" s="129">
        <v>4.07</v>
      </c>
      <c r="P5" s="129">
        <v>2.72</v>
      </c>
      <c r="Q5" s="129">
        <v>2.6</v>
      </c>
      <c r="R5" s="129">
        <v>2.5</v>
      </c>
      <c r="S5" s="129">
        <v>2.4</v>
      </c>
      <c r="T5" s="129">
        <v>2.08</v>
      </c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32" t="s">
        <v>315</v>
      </c>
      <c r="AH5" s="129"/>
      <c r="AI5" s="129"/>
      <c r="AJ5" s="129"/>
      <c r="AK5" s="132">
        <v>0</v>
      </c>
      <c r="AL5" s="132">
        <v>0</v>
      </c>
      <c r="AM5" s="132">
        <v>0</v>
      </c>
      <c r="AN5" s="132">
        <v>0</v>
      </c>
      <c r="AO5" s="132">
        <v>0</v>
      </c>
      <c r="AP5" s="132">
        <v>0</v>
      </c>
      <c r="AQ5" s="132">
        <v>0</v>
      </c>
      <c r="AR5" s="132">
        <v>0</v>
      </c>
      <c r="AS5" s="132">
        <v>0</v>
      </c>
      <c r="AT5" s="132">
        <v>0</v>
      </c>
      <c r="AU5" s="129"/>
      <c r="AV5" s="132" t="s">
        <v>264</v>
      </c>
      <c r="AW5" s="132"/>
      <c r="AX5" s="132" t="s">
        <v>264</v>
      </c>
      <c r="AY5" s="128"/>
      <c r="AZ5" s="129"/>
      <c r="BA5" s="132"/>
      <c r="BB5" s="132" t="s">
        <v>292</v>
      </c>
      <c r="BC5" s="128" t="s">
        <v>293</v>
      </c>
      <c r="BD5" t="s">
        <v>294</v>
      </c>
      <c r="BE5" t="s">
        <v>295</v>
      </c>
    </row>
    <row r="6" spans="1:57" x14ac:dyDescent="0.15">
      <c r="A6" s="126">
        <v>508</v>
      </c>
      <c r="B6" s="172">
        <v>41902</v>
      </c>
      <c r="C6" s="128" t="s">
        <v>330</v>
      </c>
      <c r="D6" s="129" t="s">
        <v>331</v>
      </c>
      <c r="E6" s="130">
        <v>41820</v>
      </c>
      <c r="F6" s="128" t="s">
        <v>338</v>
      </c>
      <c r="G6" s="129" t="s">
        <v>302</v>
      </c>
      <c r="H6" s="129">
        <v>60.9</v>
      </c>
      <c r="I6" s="131" t="s">
        <v>347</v>
      </c>
      <c r="J6" s="133">
        <v>1200</v>
      </c>
      <c r="K6" s="133">
        <v>2400</v>
      </c>
      <c r="L6" s="133">
        <v>5400</v>
      </c>
      <c r="M6" s="133">
        <v>165400</v>
      </c>
      <c r="N6" s="133">
        <v>832000</v>
      </c>
      <c r="O6" s="129">
        <v>3.59</v>
      </c>
      <c r="P6" s="129">
        <v>2.42</v>
      </c>
      <c r="Q6" s="129">
        <v>2.33</v>
      </c>
      <c r="R6" s="129">
        <v>2.33</v>
      </c>
      <c r="S6" s="129">
        <v>2.04</v>
      </c>
      <c r="T6" s="129">
        <v>1.94</v>
      </c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32" t="s">
        <v>315</v>
      </c>
      <c r="AH6" s="132"/>
      <c r="AI6" s="132"/>
      <c r="AJ6" s="132"/>
    </row>
    <row r="7" spans="1:57" x14ac:dyDescent="0.15">
      <c r="A7" s="126">
        <v>876</v>
      </c>
      <c r="B7" s="172">
        <v>41902</v>
      </c>
      <c r="C7" s="128" t="s">
        <v>330</v>
      </c>
      <c r="D7" s="129" t="s">
        <v>331</v>
      </c>
      <c r="E7" s="130">
        <v>41844</v>
      </c>
      <c r="F7" s="128" t="s">
        <v>339</v>
      </c>
      <c r="G7" s="129" t="s">
        <v>302</v>
      </c>
      <c r="H7" s="129">
        <v>60</v>
      </c>
      <c r="I7" s="131" t="s">
        <v>347</v>
      </c>
      <c r="J7" s="133">
        <v>1200</v>
      </c>
      <c r="K7" s="133">
        <v>2400</v>
      </c>
      <c r="L7" s="133">
        <v>5400</v>
      </c>
      <c r="M7" s="133">
        <v>165400</v>
      </c>
      <c r="N7" s="133">
        <v>832000</v>
      </c>
      <c r="O7" s="129">
        <v>4.0199999999999996</v>
      </c>
      <c r="P7" s="129">
        <v>2.74</v>
      </c>
      <c r="Q7" s="129">
        <v>2.5299999999999998</v>
      </c>
      <c r="R7" s="129">
        <v>2.5099999999999998</v>
      </c>
      <c r="S7" s="129">
        <v>2.41</v>
      </c>
      <c r="T7" s="129">
        <v>2.0499999999999998</v>
      </c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32" t="s">
        <v>315</v>
      </c>
      <c r="AH7" s="129"/>
      <c r="AI7" s="129"/>
      <c r="AJ7" s="129"/>
    </row>
    <row r="8" spans="1:57" x14ac:dyDescent="0.15">
      <c r="A8" s="126">
        <v>1274</v>
      </c>
      <c r="B8" s="172">
        <v>41902</v>
      </c>
      <c r="C8" s="128" t="s">
        <v>330</v>
      </c>
      <c r="D8" s="129" t="s">
        <v>331</v>
      </c>
      <c r="E8" s="130">
        <v>41880</v>
      </c>
      <c r="F8" s="128" t="s">
        <v>340</v>
      </c>
      <c r="G8" s="129" t="s">
        <v>302</v>
      </c>
      <c r="H8" s="129">
        <v>43</v>
      </c>
      <c r="I8" s="131" t="s">
        <v>323</v>
      </c>
      <c r="J8" s="133">
        <v>1200</v>
      </c>
      <c r="K8" s="133">
        <v>2400</v>
      </c>
      <c r="L8" s="133">
        <v>5400</v>
      </c>
      <c r="M8" s="133">
        <v>165400</v>
      </c>
      <c r="N8" s="133">
        <v>832000</v>
      </c>
      <c r="O8" s="129">
        <v>4.45</v>
      </c>
      <c r="P8" s="129">
        <v>2.9</v>
      </c>
      <c r="Q8" s="129">
        <v>2.85</v>
      </c>
      <c r="R8" s="129">
        <v>2.85</v>
      </c>
      <c r="S8" s="129">
        <v>2.8</v>
      </c>
      <c r="T8" s="129">
        <v>2.6</v>
      </c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32"/>
      <c r="AH8" s="129"/>
      <c r="AI8" s="129"/>
      <c r="AJ8" s="129"/>
    </row>
    <row r="9" spans="1:57" x14ac:dyDescent="0.15">
      <c r="A9" s="126">
        <v>1438</v>
      </c>
      <c r="B9" s="172">
        <v>41902</v>
      </c>
      <c r="C9" s="128" t="s">
        <v>330</v>
      </c>
      <c r="D9" s="129" t="s">
        <v>331</v>
      </c>
      <c r="E9" s="130">
        <v>41880</v>
      </c>
      <c r="F9" s="128" t="s">
        <v>341</v>
      </c>
      <c r="G9" s="129" t="s">
        <v>302</v>
      </c>
      <c r="H9" s="129">
        <v>43</v>
      </c>
      <c r="I9" s="131" t="s">
        <v>347</v>
      </c>
      <c r="J9" s="133">
        <v>1200</v>
      </c>
      <c r="K9" s="133">
        <v>2400</v>
      </c>
      <c r="L9" s="133">
        <v>5400</v>
      </c>
      <c r="M9" s="133">
        <v>165400</v>
      </c>
      <c r="N9" s="133">
        <v>832000</v>
      </c>
      <c r="O9" s="129">
        <v>4.45</v>
      </c>
      <c r="P9" s="129">
        <v>2.9</v>
      </c>
      <c r="Q9" s="129">
        <v>2.85</v>
      </c>
      <c r="R9" s="129">
        <v>2.85</v>
      </c>
      <c r="S9" s="129">
        <v>2.8</v>
      </c>
      <c r="T9" s="129">
        <v>2.6</v>
      </c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32"/>
      <c r="AH9" s="129"/>
      <c r="AI9" s="129"/>
      <c r="AJ9" s="129"/>
    </row>
    <row r="10" spans="1:57" x14ac:dyDescent="0.15">
      <c r="A10" s="126">
        <v>1092</v>
      </c>
      <c r="B10" s="172">
        <v>41902</v>
      </c>
      <c r="C10" s="173" t="s">
        <v>334</v>
      </c>
      <c r="D10" s="129" t="s">
        <v>335</v>
      </c>
      <c r="E10" s="174">
        <v>41879</v>
      </c>
      <c r="F10" s="128" t="s">
        <v>342</v>
      </c>
      <c r="G10" s="129" t="s">
        <v>302</v>
      </c>
      <c r="H10" s="129">
        <v>54.75</v>
      </c>
      <c r="I10" s="131" t="s">
        <v>347</v>
      </c>
      <c r="J10" s="133">
        <v>1200</v>
      </c>
      <c r="K10" s="133">
        <v>2400</v>
      </c>
      <c r="L10" s="133">
        <v>5400</v>
      </c>
      <c r="M10" s="133">
        <v>165400</v>
      </c>
      <c r="N10" s="133">
        <v>832000</v>
      </c>
      <c r="O10" s="129">
        <v>3.97</v>
      </c>
      <c r="P10" s="129">
        <v>2.64</v>
      </c>
      <c r="Q10" s="129">
        <v>2.4500000000000002</v>
      </c>
      <c r="R10" s="175">
        <v>2.42</v>
      </c>
      <c r="S10">
        <v>2.31</v>
      </c>
      <c r="T10" s="129">
        <v>1.31</v>
      </c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32"/>
      <c r="AH10" s="129"/>
      <c r="AI10" s="129"/>
      <c r="AJ10" s="129"/>
    </row>
    <row r="11" spans="1:57" x14ac:dyDescent="0.15">
      <c r="A11" s="126">
        <v>871</v>
      </c>
      <c r="B11" s="172">
        <v>41902</v>
      </c>
      <c r="C11" s="128" t="s">
        <v>330</v>
      </c>
      <c r="D11" s="129" t="s">
        <v>255</v>
      </c>
      <c r="E11" s="130">
        <v>41820</v>
      </c>
      <c r="F11" s="128" t="s">
        <v>343</v>
      </c>
      <c r="G11" s="129" t="s">
        <v>302</v>
      </c>
      <c r="H11" s="129">
        <v>70.61</v>
      </c>
      <c r="I11" s="131" t="s">
        <v>347</v>
      </c>
      <c r="J11" s="133">
        <v>1200</v>
      </c>
      <c r="K11" s="133">
        <v>2400</v>
      </c>
      <c r="L11" s="133">
        <v>5400</v>
      </c>
      <c r="M11" s="133">
        <v>165400</v>
      </c>
      <c r="N11" s="133">
        <v>832000</v>
      </c>
      <c r="O11" s="129">
        <v>3.911</v>
      </c>
      <c r="P11" s="129">
        <v>2.617</v>
      </c>
      <c r="Q11" s="129">
        <v>2.5470000000000002</v>
      </c>
      <c r="R11" s="129">
        <v>2.4590000000000001</v>
      </c>
      <c r="S11" s="129">
        <v>2.3719999999999999</v>
      </c>
      <c r="T11" s="129">
        <v>0.53</v>
      </c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32" t="s">
        <v>315</v>
      </c>
      <c r="AH11" s="129"/>
      <c r="AI11" s="129"/>
      <c r="AJ11" s="129"/>
    </row>
    <row r="12" spans="1:57" x14ac:dyDescent="0.15">
      <c r="A12" s="126">
        <v>840</v>
      </c>
      <c r="B12" s="172">
        <v>41902</v>
      </c>
      <c r="C12" s="128" t="s">
        <v>330</v>
      </c>
      <c r="D12" s="129" t="s">
        <v>255</v>
      </c>
      <c r="E12" s="130">
        <v>41640</v>
      </c>
      <c r="F12" s="128" t="s">
        <v>337</v>
      </c>
      <c r="G12" s="129" t="s">
        <v>302</v>
      </c>
      <c r="H12" s="129">
        <v>59.3</v>
      </c>
      <c r="I12" s="131" t="s">
        <v>347</v>
      </c>
      <c r="J12" s="133">
        <v>1200</v>
      </c>
      <c r="K12" s="133">
        <v>2400</v>
      </c>
      <c r="L12" s="133">
        <v>5400</v>
      </c>
      <c r="M12" s="133">
        <v>165400</v>
      </c>
      <c r="N12" s="133">
        <v>832000</v>
      </c>
      <c r="O12" s="129">
        <v>4.07</v>
      </c>
      <c r="P12" s="129">
        <v>2.72</v>
      </c>
      <c r="Q12" s="129">
        <v>2.6</v>
      </c>
      <c r="R12" s="129">
        <v>2.5</v>
      </c>
      <c r="S12" s="129">
        <v>2.4</v>
      </c>
      <c r="T12" s="129">
        <v>2.08</v>
      </c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32" t="s">
        <v>315</v>
      </c>
      <c r="AH12" s="132"/>
      <c r="AI12" s="132"/>
      <c r="AJ12" s="132"/>
    </row>
    <row r="13" spans="1:57" x14ac:dyDescent="0.15">
      <c r="A13" s="126"/>
      <c r="B13" s="172">
        <v>41902</v>
      </c>
      <c r="C13" s="128" t="s">
        <v>303</v>
      </c>
      <c r="D13" s="129" t="s">
        <v>322</v>
      </c>
      <c r="E13" s="130">
        <v>41820</v>
      </c>
      <c r="F13" s="128" t="s">
        <v>311</v>
      </c>
      <c r="G13" s="129" t="s">
        <v>302</v>
      </c>
      <c r="H13" s="129">
        <v>88.230999999999995</v>
      </c>
      <c r="I13" s="131" t="s">
        <v>323</v>
      </c>
      <c r="J13" s="18">
        <v>2500</v>
      </c>
      <c r="K13" s="18">
        <v>29000</v>
      </c>
      <c r="L13" s="18">
        <v>119000</v>
      </c>
      <c r="M13" s="18">
        <v>119000</v>
      </c>
      <c r="N13" s="18">
        <v>119000</v>
      </c>
      <c r="O13" s="129">
        <v>3.089</v>
      </c>
      <c r="P13" s="129">
        <v>2.59</v>
      </c>
      <c r="Q13" s="129">
        <v>2.4980000000000002</v>
      </c>
      <c r="R13" s="129">
        <v>2.4740000000000002</v>
      </c>
      <c r="S13" s="129">
        <v>0</v>
      </c>
      <c r="T13" s="129">
        <v>0</v>
      </c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32"/>
      <c r="AH13" s="132"/>
      <c r="AI13" s="132"/>
      <c r="AJ13" s="132"/>
    </row>
    <row r="14" spans="1:57" x14ac:dyDescent="0.15">
      <c r="A14" s="126"/>
      <c r="B14" s="172">
        <v>41902</v>
      </c>
      <c r="C14" s="128" t="s">
        <v>303</v>
      </c>
      <c r="D14" s="129" t="s">
        <v>322</v>
      </c>
      <c r="E14" s="130">
        <v>41640</v>
      </c>
      <c r="F14" s="128" t="s">
        <v>308</v>
      </c>
      <c r="G14" s="129" t="s">
        <v>302</v>
      </c>
      <c r="H14" s="129">
        <v>72</v>
      </c>
      <c r="I14" s="131" t="s">
        <v>323</v>
      </c>
      <c r="J14" s="18">
        <v>2500</v>
      </c>
      <c r="K14" s="18">
        <v>29000</v>
      </c>
      <c r="L14" s="18">
        <v>119000</v>
      </c>
      <c r="M14" s="18">
        <v>119000</v>
      </c>
      <c r="N14" s="18">
        <v>119000</v>
      </c>
      <c r="O14" s="129">
        <v>2.99</v>
      </c>
      <c r="P14" s="129">
        <v>2.72</v>
      </c>
      <c r="Q14" s="129">
        <v>2.63</v>
      </c>
      <c r="R14" s="129">
        <v>2.42</v>
      </c>
      <c r="S14" s="129">
        <v>0</v>
      </c>
      <c r="T14" s="129">
        <v>0</v>
      </c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32"/>
      <c r="AH14" s="132"/>
      <c r="AI14" s="132"/>
      <c r="AJ14" s="132"/>
    </row>
    <row r="15" spans="1:57" x14ac:dyDescent="0.15">
      <c r="A15" s="126"/>
      <c r="B15" s="172">
        <v>41902</v>
      </c>
      <c r="C15" s="128" t="s">
        <v>303</v>
      </c>
      <c r="D15" s="129" t="s">
        <v>297</v>
      </c>
      <c r="E15" s="130">
        <v>41820</v>
      </c>
      <c r="F15" s="128" t="s">
        <v>311</v>
      </c>
      <c r="G15" s="129" t="s">
        <v>302</v>
      </c>
      <c r="H15" s="129">
        <v>86.09</v>
      </c>
      <c r="I15" s="131"/>
      <c r="J15" s="18"/>
      <c r="K15" s="18"/>
      <c r="L15" s="18"/>
      <c r="M15" s="18"/>
      <c r="N15" s="18"/>
      <c r="O15" s="129">
        <v>2.8420000000000001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32"/>
      <c r="AH15" s="132"/>
      <c r="AI15" s="132"/>
      <c r="AJ15" s="132"/>
    </row>
    <row r="16" spans="1:57" x14ac:dyDescent="0.15">
      <c r="A16" s="126">
        <v>843</v>
      </c>
      <c r="B16" s="172">
        <v>41902</v>
      </c>
      <c r="C16" s="128" t="s">
        <v>330</v>
      </c>
      <c r="D16" s="129" t="s">
        <v>257</v>
      </c>
      <c r="E16" s="130">
        <v>41640</v>
      </c>
      <c r="F16" s="128" t="s">
        <v>337</v>
      </c>
      <c r="G16" s="129" t="s">
        <v>302</v>
      </c>
      <c r="H16" s="129">
        <v>78.3</v>
      </c>
      <c r="I16" s="131" t="s">
        <v>347</v>
      </c>
      <c r="J16" s="18">
        <v>6000</v>
      </c>
      <c r="K16" s="18">
        <v>12000</v>
      </c>
      <c r="L16" s="18">
        <v>85000</v>
      </c>
      <c r="M16" s="18">
        <v>85000</v>
      </c>
      <c r="N16" s="18">
        <v>85000</v>
      </c>
      <c r="O16" s="129">
        <v>2.46</v>
      </c>
      <c r="P16" s="129">
        <v>2.2799999999999998</v>
      </c>
      <c r="Q16" s="129">
        <v>2.23</v>
      </c>
      <c r="R16" s="129">
        <v>2.0230000000000001</v>
      </c>
      <c r="S16" s="129">
        <v>0</v>
      </c>
      <c r="T16" s="129">
        <v>0</v>
      </c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32" t="s">
        <v>315</v>
      </c>
      <c r="AH16" s="132"/>
      <c r="AI16" s="132"/>
      <c r="AJ16" s="132"/>
    </row>
    <row r="17" spans="1:36" x14ac:dyDescent="0.15">
      <c r="A17" s="126">
        <v>520</v>
      </c>
      <c r="B17" s="172">
        <v>41902</v>
      </c>
      <c r="C17" s="128" t="s">
        <v>330</v>
      </c>
      <c r="D17" s="129" t="s">
        <v>257</v>
      </c>
      <c r="E17" s="130">
        <v>41820</v>
      </c>
      <c r="F17" s="128" t="s">
        <v>338</v>
      </c>
      <c r="G17" s="129" t="s">
        <v>302</v>
      </c>
      <c r="H17" s="129">
        <v>54.02</v>
      </c>
      <c r="I17" s="131" t="s">
        <v>347</v>
      </c>
      <c r="J17" s="18">
        <v>1650</v>
      </c>
      <c r="K17" s="18">
        <v>2960</v>
      </c>
      <c r="L17" s="18">
        <v>2960</v>
      </c>
      <c r="M17" s="18">
        <v>2960</v>
      </c>
      <c r="N17" s="18">
        <v>2960</v>
      </c>
      <c r="O17" s="129">
        <v>2.0699999999999998</v>
      </c>
      <c r="P17" s="129">
        <v>1.85</v>
      </c>
      <c r="Q17" s="129">
        <v>1.73</v>
      </c>
      <c r="R17" s="129">
        <v>0</v>
      </c>
      <c r="S17" s="129">
        <v>0</v>
      </c>
      <c r="T17" s="129">
        <v>0</v>
      </c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32" t="s">
        <v>315</v>
      </c>
      <c r="AH17" s="132"/>
      <c r="AI17" s="132"/>
      <c r="AJ17" s="132"/>
    </row>
    <row r="18" spans="1:36" x14ac:dyDescent="0.15">
      <c r="A18" s="126">
        <v>1534</v>
      </c>
      <c r="B18" s="172">
        <v>41902</v>
      </c>
      <c r="C18" s="128" t="s">
        <v>330</v>
      </c>
      <c r="D18" s="129" t="s">
        <v>257</v>
      </c>
      <c r="E18" s="130">
        <v>41822</v>
      </c>
      <c r="F18" s="128" t="s">
        <v>332</v>
      </c>
      <c r="G18" s="129" t="s">
        <v>302</v>
      </c>
      <c r="H18" s="129">
        <v>62</v>
      </c>
      <c r="I18" s="131" t="s">
        <v>348</v>
      </c>
      <c r="J18" s="133">
        <v>1650</v>
      </c>
      <c r="K18" s="133">
        <v>2960</v>
      </c>
      <c r="L18" s="133">
        <v>2960</v>
      </c>
      <c r="M18" s="133">
        <v>2960</v>
      </c>
      <c r="N18" s="133">
        <v>2960</v>
      </c>
      <c r="O18" s="129">
        <v>2.14</v>
      </c>
      <c r="P18" s="129">
        <v>1.93</v>
      </c>
      <c r="Q18" s="129">
        <v>1.83</v>
      </c>
      <c r="R18" s="129">
        <v>0</v>
      </c>
      <c r="S18" s="129">
        <v>0</v>
      </c>
      <c r="T18" s="129">
        <v>0</v>
      </c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32"/>
      <c r="AH18" s="132"/>
      <c r="AI18" s="132"/>
      <c r="AJ18" s="132"/>
    </row>
    <row r="19" spans="1:36" x14ac:dyDescent="0.15">
      <c r="A19" s="126">
        <v>844</v>
      </c>
      <c r="B19" s="172">
        <v>41902</v>
      </c>
      <c r="C19" s="128" t="s">
        <v>330</v>
      </c>
      <c r="D19" s="129" t="s">
        <v>344</v>
      </c>
      <c r="E19" s="130">
        <v>41640</v>
      </c>
      <c r="F19" s="128" t="s">
        <v>337</v>
      </c>
      <c r="G19" s="129" t="s">
        <v>302</v>
      </c>
      <c r="H19" s="129">
        <v>75.2</v>
      </c>
      <c r="I19" s="131" t="s">
        <v>347</v>
      </c>
      <c r="J19" s="18">
        <v>6000</v>
      </c>
      <c r="K19" s="18">
        <v>12000</v>
      </c>
      <c r="L19" s="18">
        <v>84000</v>
      </c>
      <c r="M19" s="18">
        <v>84000</v>
      </c>
      <c r="N19" s="18">
        <v>84000</v>
      </c>
      <c r="O19" s="129">
        <v>3.58</v>
      </c>
      <c r="P19" s="129">
        <v>3.18</v>
      </c>
      <c r="Q19" s="129">
        <v>2.83</v>
      </c>
      <c r="R19" s="129">
        <v>2.83</v>
      </c>
      <c r="S19" s="129">
        <v>0</v>
      </c>
      <c r="T19" s="129">
        <v>0</v>
      </c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32" t="s">
        <v>315</v>
      </c>
      <c r="AH19" s="132"/>
      <c r="AI19" s="132"/>
      <c r="AJ19" s="132"/>
    </row>
    <row r="20" spans="1:36" x14ac:dyDescent="0.15">
      <c r="A20" s="126">
        <v>522</v>
      </c>
      <c r="B20" s="172">
        <v>41902</v>
      </c>
      <c r="C20" s="128" t="s">
        <v>330</v>
      </c>
      <c r="D20" s="129" t="s">
        <v>344</v>
      </c>
      <c r="E20" s="130">
        <v>41820</v>
      </c>
      <c r="F20" s="128" t="s">
        <v>338</v>
      </c>
      <c r="G20" s="129" t="s">
        <v>302</v>
      </c>
      <c r="H20" s="129">
        <v>61.79</v>
      </c>
      <c r="I20" s="131" t="s">
        <v>347</v>
      </c>
      <c r="J20" s="18">
        <v>1650</v>
      </c>
      <c r="K20" s="18">
        <v>2960</v>
      </c>
      <c r="L20" s="18">
        <v>2960</v>
      </c>
      <c r="M20" s="18">
        <v>2960</v>
      </c>
      <c r="N20" s="18">
        <v>2960</v>
      </c>
      <c r="O20" s="129">
        <v>3.11</v>
      </c>
      <c r="P20" s="129">
        <v>2.87</v>
      </c>
      <c r="Q20" s="129">
        <v>2.2799999999999998</v>
      </c>
      <c r="R20" s="129">
        <v>0</v>
      </c>
      <c r="S20" s="129">
        <v>0</v>
      </c>
      <c r="T20" s="129">
        <v>0</v>
      </c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32" t="s">
        <v>315</v>
      </c>
      <c r="AH20" s="132"/>
      <c r="AI20" s="132"/>
      <c r="AJ20" s="132"/>
    </row>
    <row r="21" spans="1:36" x14ac:dyDescent="0.15">
      <c r="A21" s="126">
        <v>1540</v>
      </c>
      <c r="B21" s="172">
        <v>41902</v>
      </c>
      <c r="C21" s="128" t="s">
        <v>330</v>
      </c>
      <c r="D21" s="129" t="s">
        <v>345</v>
      </c>
      <c r="E21" s="130">
        <v>41822</v>
      </c>
      <c r="F21" s="128" t="s">
        <v>332</v>
      </c>
      <c r="G21" s="129" t="s">
        <v>302</v>
      </c>
      <c r="H21" s="129">
        <v>71</v>
      </c>
      <c r="I21" s="131" t="s">
        <v>348</v>
      </c>
      <c r="J21" s="133">
        <v>1650</v>
      </c>
      <c r="K21" s="133">
        <v>2960</v>
      </c>
      <c r="L21" s="133">
        <v>2960</v>
      </c>
      <c r="M21" s="133">
        <v>2960</v>
      </c>
      <c r="N21" s="133">
        <v>2960</v>
      </c>
      <c r="O21" s="129">
        <v>3.36</v>
      </c>
      <c r="P21" s="129">
        <v>3.06</v>
      </c>
      <c r="Q21" s="129">
        <v>2.44</v>
      </c>
      <c r="R21" s="129">
        <v>0</v>
      </c>
      <c r="S21" s="129">
        <v>0</v>
      </c>
      <c r="T21" s="129">
        <v>0</v>
      </c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32"/>
      <c r="AH21" s="132"/>
      <c r="AI21" s="132"/>
      <c r="AJ21" s="132"/>
    </row>
    <row r="22" spans="1:36" x14ac:dyDescent="0.15">
      <c r="A22" s="126">
        <v>510</v>
      </c>
      <c r="B22" s="172">
        <v>41902</v>
      </c>
      <c r="C22" s="128" t="s">
        <v>330</v>
      </c>
      <c r="D22" s="129" t="s">
        <v>260</v>
      </c>
      <c r="E22" s="130">
        <v>41820</v>
      </c>
      <c r="F22" s="128" t="s">
        <v>338</v>
      </c>
      <c r="G22" s="129" t="s">
        <v>302</v>
      </c>
      <c r="H22" s="129">
        <v>70.42</v>
      </c>
      <c r="I22" s="131"/>
      <c r="J22" s="129"/>
      <c r="K22" s="129"/>
      <c r="L22" s="129"/>
      <c r="M22" s="129"/>
      <c r="N22" s="129"/>
      <c r="O22" s="129">
        <v>2.59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32" t="s">
        <v>315</v>
      </c>
      <c r="AH22" s="132"/>
      <c r="AI22" s="132"/>
      <c r="AJ22" s="132"/>
    </row>
    <row r="23" spans="1:36" x14ac:dyDescent="0.15">
      <c r="A23" s="126">
        <v>874</v>
      </c>
      <c r="B23" s="172">
        <v>41902</v>
      </c>
      <c r="C23" s="128" t="s">
        <v>330</v>
      </c>
      <c r="D23" s="129" t="s">
        <v>260</v>
      </c>
      <c r="E23" s="130">
        <v>41879</v>
      </c>
      <c r="F23" s="128" t="s">
        <v>339</v>
      </c>
      <c r="G23" s="129" t="s">
        <v>302</v>
      </c>
      <c r="H23" s="129">
        <v>72.61</v>
      </c>
      <c r="I23" s="131"/>
      <c r="J23" s="133"/>
      <c r="K23" s="133"/>
      <c r="L23" s="133"/>
      <c r="M23" s="133"/>
      <c r="N23" s="133"/>
      <c r="O23" s="129">
        <v>2.67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32" t="s">
        <v>315</v>
      </c>
      <c r="AH23" s="129"/>
      <c r="AI23" s="129"/>
      <c r="AJ23" s="129"/>
    </row>
    <row r="24" spans="1:36" x14ac:dyDescent="0.15">
      <c r="A24" s="126">
        <v>512</v>
      </c>
      <c r="B24" s="172">
        <v>41902</v>
      </c>
      <c r="C24" s="128" t="s">
        <v>330</v>
      </c>
      <c r="D24" s="129" t="s">
        <v>250</v>
      </c>
      <c r="E24" s="130">
        <v>41820</v>
      </c>
      <c r="F24" s="128" t="s">
        <v>338</v>
      </c>
      <c r="G24" s="129" t="s">
        <v>302</v>
      </c>
      <c r="H24" s="129">
        <v>75.31</v>
      </c>
      <c r="I24" s="131"/>
      <c r="J24" s="129"/>
      <c r="K24" s="129"/>
      <c r="L24" s="129"/>
      <c r="M24" s="129"/>
      <c r="N24" s="129"/>
      <c r="O24" s="129">
        <v>2.63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32" t="s">
        <v>315</v>
      </c>
      <c r="AH24" s="132"/>
      <c r="AI24" s="132"/>
      <c r="AJ24" s="132"/>
    </row>
    <row r="25" spans="1:36" x14ac:dyDescent="0.15">
      <c r="A25" s="126">
        <v>1531</v>
      </c>
      <c r="B25" s="172">
        <v>41902</v>
      </c>
      <c r="C25" s="128" t="s">
        <v>330</v>
      </c>
      <c r="D25" s="129" t="s">
        <v>250</v>
      </c>
      <c r="E25" s="130">
        <v>41822</v>
      </c>
      <c r="F25" s="128" t="s">
        <v>332</v>
      </c>
      <c r="G25" s="129" t="s">
        <v>302</v>
      </c>
      <c r="H25" s="129">
        <v>85</v>
      </c>
      <c r="I25" s="131"/>
      <c r="J25" s="129"/>
      <c r="K25" s="129"/>
      <c r="L25" s="129"/>
      <c r="M25" s="129"/>
      <c r="N25" s="129"/>
      <c r="O25" s="129">
        <v>2.85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32"/>
      <c r="AH25" s="132"/>
      <c r="AI25" s="132"/>
      <c r="AJ25" s="132"/>
    </row>
    <row r="26" spans="1:36" x14ac:dyDescent="0.15">
      <c r="A26" s="126">
        <v>514</v>
      </c>
      <c r="B26" s="172">
        <v>41902</v>
      </c>
      <c r="C26" s="128" t="s">
        <v>330</v>
      </c>
      <c r="D26" s="129" t="s">
        <v>251</v>
      </c>
      <c r="E26" s="130">
        <v>41820</v>
      </c>
      <c r="F26" s="128" t="s">
        <v>338</v>
      </c>
      <c r="G26" s="129" t="s">
        <v>302</v>
      </c>
      <c r="H26" s="129">
        <v>80.52</v>
      </c>
      <c r="I26" s="131"/>
      <c r="J26" s="129"/>
      <c r="K26" s="129"/>
      <c r="L26" s="129"/>
      <c r="M26" s="129"/>
      <c r="N26" s="129"/>
      <c r="O26" s="129">
        <v>2.7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32" t="s">
        <v>315</v>
      </c>
      <c r="AH26" s="132"/>
      <c r="AI26" s="132"/>
      <c r="AJ26" s="132"/>
    </row>
    <row r="27" spans="1:36" x14ac:dyDescent="0.15">
      <c r="A27" s="126">
        <v>875</v>
      </c>
      <c r="B27" s="172">
        <v>41902</v>
      </c>
      <c r="C27" s="128" t="s">
        <v>330</v>
      </c>
      <c r="D27" s="129" t="s">
        <v>251</v>
      </c>
      <c r="E27" s="130">
        <v>41879</v>
      </c>
      <c r="F27" s="128" t="s">
        <v>339</v>
      </c>
      <c r="G27" s="129" t="s">
        <v>302</v>
      </c>
      <c r="H27" s="129">
        <v>83.02</v>
      </c>
      <c r="I27" s="131"/>
      <c r="J27" s="133"/>
      <c r="K27" s="133"/>
      <c r="L27" s="133"/>
      <c r="M27" s="133"/>
      <c r="N27" s="133"/>
      <c r="O27" s="129">
        <v>2.78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32" t="s">
        <v>315</v>
      </c>
      <c r="AH27" s="129"/>
      <c r="AI27" s="129"/>
      <c r="AJ27" s="129"/>
    </row>
    <row r="28" spans="1:36" x14ac:dyDescent="0.15">
      <c r="A28" s="126">
        <v>516</v>
      </c>
      <c r="B28" s="172">
        <v>41902</v>
      </c>
      <c r="C28" s="128" t="s">
        <v>330</v>
      </c>
      <c r="D28" s="129" t="s">
        <v>252</v>
      </c>
      <c r="E28" s="130">
        <v>41820</v>
      </c>
      <c r="F28" s="128" t="s">
        <v>338</v>
      </c>
      <c r="G28" s="129" t="s">
        <v>302</v>
      </c>
      <c r="H28" s="129">
        <v>85.47</v>
      </c>
      <c r="I28" s="131"/>
      <c r="J28" s="129"/>
      <c r="K28" s="129"/>
      <c r="L28" s="129"/>
      <c r="M28" s="129"/>
      <c r="N28" s="129"/>
      <c r="O28" s="129">
        <v>2.1800000000000002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32" t="s">
        <v>315</v>
      </c>
      <c r="AH28" s="132"/>
      <c r="AI28" s="132"/>
      <c r="AJ28" s="132"/>
    </row>
    <row r="29" spans="1:36" x14ac:dyDescent="0.15">
      <c r="A29" s="126">
        <v>1537</v>
      </c>
      <c r="B29" s="172">
        <v>41902</v>
      </c>
      <c r="C29" s="128" t="s">
        <v>330</v>
      </c>
      <c r="D29" s="129" t="s">
        <v>252</v>
      </c>
      <c r="E29" s="130">
        <v>41822</v>
      </c>
      <c r="F29" s="128" t="s">
        <v>332</v>
      </c>
      <c r="G29" s="129" t="s">
        <v>302</v>
      </c>
      <c r="H29" s="129">
        <v>96</v>
      </c>
      <c r="I29" s="131"/>
      <c r="J29" s="129"/>
      <c r="K29" s="129"/>
      <c r="L29" s="129"/>
      <c r="M29" s="129"/>
      <c r="N29" s="129"/>
      <c r="O29" s="129">
        <v>2.34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32"/>
      <c r="AH29" s="132"/>
      <c r="AI29" s="132"/>
      <c r="AJ29" s="132"/>
    </row>
    <row r="30" spans="1:36" x14ac:dyDescent="0.15">
      <c r="A30" s="126">
        <v>518</v>
      </c>
      <c r="B30" s="172">
        <v>41902</v>
      </c>
      <c r="C30" s="128" t="s">
        <v>330</v>
      </c>
      <c r="D30" s="129" t="s">
        <v>346</v>
      </c>
      <c r="E30" s="130">
        <v>41820</v>
      </c>
      <c r="F30" s="128" t="s">
        <v>338</v>
      </c>
      <c r="G30" s="129" t="s">
        <v>302</v>
      </c>
      <c r="H30" s="129">
        <v>64.010000000000005</v>
      </c>
      <c r="I30" s="131"/>
      <c r="J30" s="129"/>
      <c r="K30" s="129"/>
      <c r="L30" s="129"/>
      <c r="M30" s="129"/>
      <c r="N30" s="129"/>
      <c r="O30" s="129">
        <v>3.85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32" t="s">
        <v>315</v>
      </c>
      <c r="AH30" s="132"/>
      <c r="AI30" s="132"/>
      <c r="AJ30" s="132"/>
    </row>
  </sheetData>
  <sheetProtection algorithmName="SHA-512" hashValue="jMd/3ZbYGKrseXFyTlkRore6XAnH+1l68l0GF2Q/O/21X1Bt2ARzZ5dy/R7ZNXqh95c+Wv2RUu4xc4w7fCYD6Q==" saltValue="wYkvqvgxKhubrhduUUaSbA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BE23"/>
  <sheetViews>
    <sheetView zoomScale="120" zoomScaleNormal="120" workbookViewId="0">
      <selection activeCell="P12" sqref="P1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42" x14ac:dyDescent="0.15">
      <c r="A1" s="112" t="s">
        <v>234</v>
      </c>
      <c r="B1" s="112" t="s">
        <v>235</v>
      </c>
      <c r="C1" s="113" t="s">
        <v>236</v>
      </c>
      <c r="D1" s="114" t="s">
        <v>237</v>
      </c>
      <c r="E1" s="112" t="s">
        <v>238</v>
      </c>
      <c r="F1" s="113" t="s">
        <v>239</v>
      </c>
      <c r="G1" s="114" t="s">
        <v>240</v>
      </c>
      <c r="H1" s="115" t="s">
        <v>241</v>
      </c>
      <c r="I1" s="116" t="s">
        <v>242</v>
      </c>
      <c r="J1" s="116" t="s">
        <v>243</v>
      </c>
      <c r="K1" s="116" t="s">
        <v>244</v>
      </c>
      <c r="L1" s="116" t="s">
        <v>245</v>
      </c>
      <c r="M1" s="116" t="s">
        <v>246</v>
      </c>
      <c r="N1" s="117" t="s">
        <v>247</v>
      </c>
      <c r="O1" s="118" t="s">
        <v>248</v>
      </c>
      <c r="P1" s="118" t="s">
        <v>249</v>
      </c>
      <c r="Q1" s="118" t="s">
        <v>226</v>
      </c>
      <c r="R1" s="118" t="s">
        <v>285</v>
      </c>
      <c r="S1" s="118" t="s">
        <v>286</v>
      </c>
      <c r="T1" s="119" t="s">
        <v>287</v>
      </c>
      <c r="U1" s="120" t="s">
        <v>288</v>
      </c>
      <c r="V1" s="120" t="s">
        <v>289</v>
      </c>
      <c r="W1" s="120" t="s">
        <v>290</v>
      </c>
      <c r="X1" s="120" t="s">
        <v>148</v>
      </c>
      <c r="Y1" s="120" t="s">
        <v>149</v>
      </c>
      <c r="Z1" s="121" t="s">
        <v>150</v>
      </c>
      <c r="AA1" s="122" t="s">
        <v>151</v>
      </c>
      <c r="AB1" s="122" t="s">
        <v>152</v>
      </c>
      <c r="AC1" s="122" t="s">
        <v>153</v>
      </c>
      <c r="AD1" s="122" t="s">
        <v>154</v>
      </c>
      <c r="AE1" s="122" t="s">
        <v>267</v>
      </c>
      <c r="AF1" s="123" t="s">
        <v>268</v>
      </c>
      <c r="AG1" s="124" t="s">
        <v>269</v>
      </c>
      <c r="AH1" s="124" t="s">
        <v>270</v>
      </c>
      <c r="AI1" s="124" t="s">
        <v>271</v>
      </c>
      <c r="AJ1" s="125" t="s">
        <v>272</v>
      </c>
    </row>
    <row r="2" spans="1:57" x14ac:dyDescent="0.15">
      <c r="A2" s="126">
        <v>370</v>
      </c>
      <c r="B2" s="157">
        <v>41450</v>
      </c>
      <c r="C2" s="128" t="s">
        <v>261</v>
      </c>
      <c r="D2" s="129" t="s">
        <v>122</v>
      </c>
      <c r="E2" s="130">
        <v>41457</v>
      </c>
      <c r="F2" s="128" t="s">
        <v>262</v>
      </c>
      <c r="G2" s="129" t="s">
        <v>302</v>
      </c>
      <c r="H2" s="129">
        <v>64</v>
      </c>
      <c r="I2" s="131"/>
      <c r="J2" s="133"/>
      <c r="K2" s="133"/>
      <c r="L2" s="133"/>
      <c r="M2" s="133"/>
      <c r="N2" s="133"/>
      <c r="O2" s="129">
        <v>2.8</v>
      </c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32" t="s">
        <v>315</v>
      </c>
      <c r="AH2" s="132"/>
      <c r="AI2" s="132"/>
      <c r="AJ2" s="132"/>
    </row>
    <row r="3" spans="1:57" x14ac:dyDescent="0.15">
      <c r="A3" s="126">
        <v>1088</v>
      </c>
      <c r="B3" s="157">
        <v>41450</v>
      </c>
      <c r="C3" s="128" t="s">
        <v>303</v>
      </c>
      <c r="D3" s="129" t="s">
        <v>304</v>
      </c>
      <c r="E3" s="130">
        <v>41455</v>
      </c>
      <c r="F3" s="128" t="s">
        <v>305</v>
      </c>
      <c r="G3" s="129" t="s">
        <v>302</v>
      </c>
      <c r="H3" s="129">
        <v>63</v>
      </c>
      <c r="I3" s="131" t="s">
        <v>316</v>
      </c>
      <c r="J3" s="18">
        <v>1200</v>
      </c>
      <c r="K3" s="18">
        <v>2400</v>
      </c>
      <c r="L3" s="18">
        <v>5400</v>
      </c>
      <c r="M3" s="18">
        <v>165400</v>
      </c>
      <c r="N3" s="18">
        <v>832000</v>
      </c>
      <c r="O3" s="129">
        <v>3.83</v>
      </c>
      <c r="P3" s="129">
        <v>2.4500000000000002</v>
      </c>
      <c r="Q3" s="129">
        <v>2.31</v>
      </c>
      <c r="R3" s="129">
        <v>2.2999999999999998</v>
      </c>
      <c r="S3" s="129">
        <v>2.2200000000000002</v>
      </c>
      <c r="T3" s="129">
        <v>1.9</v>
      </c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32" t="s">
        <v>317</v>
      </c>
      <c r="AH3" s="129"/>
      <c r="AI3" s="129"/>
      <c r="AJ3" s="129"/>
    </row>
    <row r="4" spans="1:57" x14ac:dyDescent="0.15">
      <c r="A4" s="126">
        <v>877</v>
      </c>
      <c r="B4" s="157">
        <v>41467</v>
      </c>
      <c r="C4" s="128" t="s">
        <v>303</v>
      </c>
      <c r="D4" s="129" t="s">
        <v>304</v>
      </c>
      <c r="E4" s="130">
        <v>41486</v>
      </c>
      <c r="F4" s="129" t="s">
        <v>306</v>
      </c>
      <c r="G4" s="129" t="s">
        <v>302</v>
      </c>
      <c r="H4" s="129">
        <v>59.3</v>
      </c>
      <c r="I4" s="131" t="s">
        <v>316</v>
      </c>
      <c r="J4" s="18">
        <v>1200</v>
      </c>
      <c r="K4" s="18">
        <v>2400</v>
      </c>
      <c r="L4" s="18">
        <v>5400</v>
      </c>
      <c r="M4" s="18">
        <v>165400</v>
      </c>
      <c r="N4" s="18">
        <v>832000</v>
      </c>
      <c r="O4" s="129">
        <v>4.3899999999999997</v>
      </c>
      <c r="P4" s="129">
        <v>2.5</v>
      </c>
      <c r="Q4" s="129">
        <v>2.5</v>
      </c>
      <c r="R4" s="129">
        <v>2.5</v>
      </c>
      <c r="S4" s="129">
        <v>2.35</v>
      </c>
      <c r="T4" s="129">
        <v>1.95</v>
      </c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32" t="s">
        <v>315</v>
      </c>
      <c r="AH4" s="129"/>
      <c r="AI4" s="129"/>
      <c r="AJ4" s="129"/>
      <c r="AK4" s="132">
        <v>0</v>
      </c>
      <c r="AL4" s="132">
        <v>0</v>
      </c>
      <c r="AM4" s="132">
        <v>0</v>
      </c>
      <c r="AN4" s="132">
        <v>0</v>
      </c>
      <c r="AO4" s="132">
        <v>0</v>
      </c>
      <c r="AP4" s="132">
        <v>0</v>
      </c>
      <c r="AQ4" s="132">
        <v>0</v>
      </c>
      <c r="AR4" s="132">
        <v>0</v>
      </c>
      <c r="AS4" s="132">
        <v>0</v>
      </c>
      <c r="AT4" s="132">
        <v>0</v>
      </c>
      <c r="AU4" s="129"/>
      <c r="AV4" s="132" t="s">
        <v>264</v>
      </c>
      <c r="AW4" s="132"/>
      <c r="AX4" s="132" t="s">
        <v>264</v>
      </c>
      <c r="AY4" s="128"/>
      <c r="AZ4" s="129"/>
      <c r="BA4" s="132"/>
      <c r="BB4" s="132" t="s">
        <v>292</v>
      </c>
      <c r="BC4" s="128" t="s">
        <v>293</v>
      </c>
      <c r="BD4" t="s">
        <v>294</v>
      </c>
      <c r="BE4" t="s">
        <v>295</v>
      </c>
    </row>
    <row r="5" spans="1:57" x14ac:dyDescent="0.15">
      <c r="A5" s="126">
        <v>380</v>
      </c>
      <c r="B5" s="157">
        <v>41467</v>
      </c>
      <c r="C5" s="128" t="s">
        <v>303</v>
      </c>
      <c r="D5" s="129" t="s">
        <v>307</v>
      </c>
      <c r="E5" s="130">
        <v>41467</v>
      </c>
      <c r="F5" s="128" t="s">
        <v>308</v>
      </c>
      <c r="G5" s="129" t="s">
        <v>302</v>
      </c>
      <c r="H5" s="129">
        <v>59.3</v>
      </c>
      <c r="I5" s="131" t="s">
        <v>316</v>
      </c>
      <c r="J5" s="18">
        <v>1200</v>
      </c>
      <c r="K5" s="18">
        <v>2400</v>
      </c>
      <c r="L5" s="18">
        <v>5400</v>
      </c>
      <c r="M5" s="18">
        <v>165400</v>
      </c>
      <c r="N5" s="18">
        <v>832000</v>
      </c>
      <c r="O5" s="129">
        <v>4.07</v>
      </c>
      <c r="P5" s="129">
        <v>2.72</v>
      </c>
      <c r="Q5" s="129">
        <v>2.6</v>
      </c>
      <c r="R5" s="129">
        <v>2.5</v>
      </c>
      <c r="S5" s="129">
        <v>2.4</v>
      </c>
      <c r="T5" s="129">
        <v>2.08</v>
      </c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32" t="s">
        <v>315</v>
      </c>
      <c r="AH5" s="129"/>
      <c r="AI5" s="129"/>
      <c r="AJ5" s="129"/>
      <c r="AK5" s="132">
        <v>0</v>
      </c>
      <c r="AL5" s="132">
        <v>0</v>
      </c>
      <c r="AM5" s="132">
        <v>0</v>
      </c>
      <c r="AN5" s="132">
        <v>0</v>
      </c>
      <c r="AO5" s="132">
        <v>0</v>
      </c>
      <c r="AP5" s="132">
        <v>0</v>
      </c>
      <c r="AQ5" s="132">
        <v>0</v>
      </c>
      <c r="AR5" s="132">
        <v>0</v>
      </c>
      <c r="AS5" s="132">
        <v>0</v>
      </c>
      <c r="AT5" s="132">
        <v>0</v>
      </c>
      <c r="AU5" s="129"/>
      <c r="AV5" s="132" t="s">
        <v>299</v>
      </c>
      <c r="AW5" s="132"/>
      <c r="AX5" s="132" t="s">
        <v>299</v>
      </c>
      <c r="AY5" s="128"/>
      <c r="AZ5" s="129"/>
      <c r="BA5" s="132"/>
      <c r="BB5" s="132" t="s">
        <v>300</v>
      </c>
      <c r="BC5" s="128" t="s">
        <v>293</v>
      </c>
      <c r="BD5" t="s">
        <v>294</v>
      </c>
      <c r="BE5" t="s">
        <v>295</v>
      </c>
    </row>
    <row r="6" spans="1:57" x14ac:dyDescent="0.15">
      <c r="A6" s="126">
        <v>508</v>
      </c>
      <c r="B6" s="157">
        <v>41467</v>
      </c>
      <c r="C6" s="128" t="s">
        <v>303</v>
      </c>
      <c r="D6" s="129" t="s">
        <v>304</v>
      </c>
      <c r="E6" s="130">
        <v>41455</v>
      </c>
      <c r="F6" s="128" t="s">
        <v>309</v>
      </c>
      <c r="G6" s="129" t="s">
        <v>302</v>
      </c>
      <c r="H6" s="129">
        <v>62.79</v>
      </c>
      <c r="I6" s="131" t="s">
        <v>316</v>
      </c>
      <c r="J6" s="18">
        <v>1200</v>
      </c>
      <c r="K6" s="18">
        <v>2400</v>
      </c>
      <c r="L6" s="18">
        <v>5400</v>
      </c>
      <c r="M6" s="18">
        <v>165400</v>
      </c>
      <c r="N6" s="18">
        <v>832000</v>
      </c>
      <c r="O6" s="129">
        <v>3.7</v>
      </c>
      <c r="P6" s="129">
        <v>2.5</v>
      </c>
      <c r="Q6" s="129">
        <v>2.4</v>
      </c>
      <c r="R6" s="129">
        <v>2.4</v>
      </c>
      <c r="S6" s="129">
        <v>2.1</v>
      </c>
      <c r="T6" s="129">
        <v>2</v>
      </c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32" t="s">
        <v>315</v>
      </c>
      <c r="AH6" s="132"/>
      <c r="AI6" s="132"/>
      <c r="AJ6" s="132"/>
    </row>
    <row r="7" spans="1:57" x14ac:dyDescent="0.15">
      <c r="A7" s="126">
        <v>876</v>
      </c>
      <c r="B7" s="157">
        <v>41467</v>
      </c>
      <c r="C7" s="128" t="s">
        <v>303</v>
      </c>
      <c r="D7" s="129" t="s">
        <v>304</v>
      </c>
      <c r="E7" s="130">
        <v>41479</v>
      </c>
      <c r="F7" s="128" t="s">
        <v>310</v>
      </c>
      <c r="G7" s="129" t="s">
        <v>302</v>
      </c>
      <c r="H7" s="129">
        <v>58.39</v>
      </c>
      <c r="I7" s="131" t="s">
        <v>316</v>
      </c>
      <c r="J7" s="18">
        <v>1200</v>
      </c>
      <c r="K7" s="18">
        <v>2400</v>
      </c>
      <c r="L7" s="18">
        <v>5400</v>
      </c>
      <c r="M7" s="18">
        <v>165400</v>
      </c>
      <c r="N7" s="18">
        <v>832000</v>
      </c>
      <c r="O7" s="129">
        <v>3.96</v>
      </c>
      <c r="P7" s="129">
        <v>2.7</v>
      </c>
      <c r="Q7" s="129">
        <v>2.4900000000000002</v>
      </c>
      <c r="R7" s="129">
        <v>2.4700000000000002</v>
      </c>
      <c r="S7" s="129">
        <v>2.37</v>
      </c>
      <c r="T7" s="129">
        <v>2</v>
      </c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32" t="s">
        <v>317</v>
      </c>
      <c r="AH7" s="129"/>
      <c r="AI7" s="129"/>
      <c r="AJ7" s="129"/>
    </row>
    <row r="8" spans="1:57" x14ac:dyDescent="0.15">
      <c r="A8" s="126">
        <v>871</v>
      </c>
      <c r="B8" s="157">
        <v>41467</v>
      </c>
      <c r="C8" s="128" t="s">
        <v>303</v>
      </c>
      <c r="D8" s="129" t="s">
        <v>255</v>
      </c>
      <c r="E8" s="130">
        <v>41455</v>
      </c>
      <c r="F8" s="128" t="s">
        <v>311</v>
      </c>
      <c r="G8" s="129" t="s">
        <v>302</v>
      </c>
      <c r="H8" s="129">
        <v>66.400000000000006</v>
      </c>
      <c r="I8" s="131" t="s">
        <v>316</v>
      </c>
      <c r="J8" s="18">
        <v>1200</v>
      </c>
      <c r="K8" s="18">
        <v>2400</v>
      </c>
      <c r="L8" s="18">
        <v>5400</v>
      </c>
      <c r="M8" s="18">
        <v>165400</v>
      </c>
      <c r="N8" s="18">
        <v>832000</v>
      </c>
      <c r="O8" s="129">
        <v>3.7469999999999999</v>
      </c>
      <c r="P8" s="129">
        <v>2.5649999999999999</v>
      </c>
      <c r="Q8" s="129">
        <v>2.492</v>
      </c>
      <c r="R8" s="129">
        <v>2.415</v>
      </c>
      <c r="S8" s="129">
        <v>2.3279999999999998</v>
      </c>
      <c r="T8" s="129">
        <v>0.52100000000000002</v>
      </c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32" t="s">
        <v>318</v>
      </c>
      <c r="AH8" s="129"/>
      <c r="AI8" s="129"/>
      <c r="AJ8" s="129"/>
    </row>
    <row r="9" spans="1:57" x14ac:dyDescent="0.15">
      <c r="A9" s="126">
        <v>385</v>
      </c>
      <c r="B9" s="157">
        <v>41467</v>
      </c>
      <c r="C9" s="128" t="s">
        <v>303</v>
      </c>
      <c r="D9" s="129" t="s">
        <v>255</v>
      </c>
      <c r="E9" s="130">
        <v>41467</v>
      </c>
      <c r="F9" s="128" t="s">
        <v>312</v>
      </c>
      <c r="G9" s="129" t="s">
        <v>302</v>
      </c>
      <c r="H9" s="129">
        <v>59.3</v>
      </c>
      <c r="I9" s="131" t="s">
        <v>316</v>
      </c>
      <c r="J9" s="18">
        <v>1200</v>
      </c>
      <c r="K9" s="18">
        <v>2400</v>
      </c>
      <c r="L9" s="18">
        <v>5400</v>
      </c>
      <c r="M9" s="18">
        <v>165400</v>
      </c>
      <c r="N9" s="18">
        <v>832000</v>
      </c>
      <c r="O9" s="129">
        <v>4.07</v>
      </c>
      <c r="P9" s="129">
        <v>2.72</v>
      </c>
      <c r="Q9" s="129">
        <v>2.6</v>
      </c>
      <c r="R9" s="129">
        <v>2.5</v>
      </c>
      <c r="S9" s="129">
        <v>2.4</v>
      </c>
      <c r="T9" s="129">
        <v>2.08</v>
      </c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32" t="s">
        <v>315</v>
      </c>
      <c r="AH9" s="132"/>
      <c r="AI9" s="132"/>
      <c r="AJ9" s="132"/>
    </row>
    <row r="10" spans="1:57" x14ac:dyDescent="0.15">
      <c r="A10" s="126"/>
      <c r="B10" s="157">
        <v>41467</v>
      </c>
      <c r="C10" s="128" t="s">
        <v>303</v>
      </c>
      <c r="D10" s="129" t="s">
        <v>322</v>
      </c>
      <c r="E10" s="130">
        <v>41455</v>
      </c>
      <c r="F10" s="128" t="s">
        <v>311</v>
      </c>
      <c r="G10" s="129" t="s">
        <v>302</v>
      </c>
      <c r="H10" s="129">
        <v>74.900000000000006</v>
      </c>
      <c r="I10" s="131" t="s">
        <v>323</v>
      </c>
      <c r="J10" s="18">
        <v>2500</v>
      </c>
      <c r="K10" s="18">
        <v>29000</v>
      </c>
      <c r="L10" s="18">
        <v>119000</v>
      </c>
      <c r="M10" s="18">
        <v>119000</v>
      </c>
      <c r="N10" s="18">
        <v>119000</v>
      </c>
      <c r="O10" s="129">
        <v>2.8980000000000001</v>
      </c>
      <c r="P10" s="129">
        <v>2.427</v>
      </c>
      <c r="Q10" s="129">
        <v>2.3820000000000001</v>
      </c>
      <c r="R10" s="129">
        <v>2.363</v>
      </c>
      <c r="S10" s="129">
        <v>0</v>
      </c>
      <c r="T10" s="129">
        <v>0</v>
      </c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32"/>
      <c r="AH10" s="132"/>
      <c r="AI10" s="132"/>
      <c r="AJ10" s="132"/>
    </row>
    <row r="11" spans="1:57" x14ac:dyDescent="0.15">
      <c r="A11" s="126"/>
      <c r="B11" s="157">
        <v>41467</v>
      </c>
      <c r="C11" s="128" t="s">
        <v>303</v>
      </c>
      <c r="D11" s="129" t="s">
        <v>322</v>
      </c>
      <c r="E11" s="130">
        <v>41467</v>
      </c>
      <c r="F11" s="128" t="s">
        <v>312</v>
      </c>
      <c r="G11" s="129" t="s">
        <v>302</v>
      </c>
      <c r="H11" s="129">
        <v>72</v>
      </c>
      <c r="I11" s="131" t="s">
        <v>323</v>
      </c>
      <c r="J11" s="18">
        <v>2500</v>
      </c>
      <c r="K11" s="18">
        <v>29000</v>
      </c>
      <c r="L11" s="18">
        <v>119000</v>
      </c>
      <c r="M11" s="18">
        <v>119000</v>
      </c>
      <c r="N11" s="18">
        <v>119000</v>
      </c>
      <c r="O11" s="129">
        <v>2.99</v>
      </c>
      <c r="P11" s="129">
        <v>2.72</v>
      </c>
      <c r="Q11" s="129">
        <v>2.63</v>
      </c>
      <c r="R11" s="129">
        <v>2.42</v>
      </c>
      <c r="S11" s="129">
        <v>0</v>
      </c>
      <c r="T11" s="129">
        <v>0</v>
      </c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32"/>
      <c r="AH11" s="132"/>
      <c r="AI11" s="132"/>
      <c r="AJ11" s="132"/>
    </row>
    <row r="12" spans="1:57" x14ac:dyDescent="0.15">
      <c r="A12" s="126"/>
      <c r="B12" s="157">
        <v>41467</v>
      </c>
      <c r="C12" s="128" t="s">
        <v>303</v>
      </c>
      <c r="D12" s="129" t="s">
        <v>297</v>
      </c>
      <c r="E12" s="130">
        <v>41455</v>
      </c>
      <c r="F12" s="128" t="s">
        <v>311</v>
      </c>
      <c r="G12" s="129" t="s">
        <v>302</v>
      </c>
      <c r="H12" s="129">
        <v>81.16</v>
      </c>
      <c r="I12" s="131"/>
      <c r="J12" s="18"/>
      <c r="K12" s="18"/>
      <c r="L12" s="18"/>
      <c r="M12" s="18"/>
      <c r="N12" s="18"/>
      <c r="O12" s="129">
        <v>2.6880000000000002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32"/>
      <c r="AH12" s="132"/>
      <c r="AI12" s="132"/>
      <c r="AJ12" s="132"/>
    </row>
    <row r="13" spans="1:57" x14ac:dyDescent="0.15">
      <c r="A13" s="126">
        <v>389</v>
      </c>
      <c r="B13" s="157">
        <v>41467</v>
      </c>
      <c r="C13" s="128" t="s">
        <v>303</v>
      </c>
      <c r="D13" s="129" t="s">
        <v>257</v>
      </c>
      <c r="E13" s="130">
        <v>41467</v>
      </c>
      <c r="F13" s="128" t="s">
        <v>312</v>
      </c>
      <c r="G13" s="129" t="s">
        <v>302</v>
      </c>
      <c r="H13" s="129">
        <v>78.3</v>
      </c>
      <c r="I13" s="131" t="s">
        <v>316</v>
      </c>
      <c r="J13" s="18">
        <v>6000</v>
      </c>
      <c r="K13" s="18">
        <v>12000</v>
      </c>
      <c r="L13" s="18">
        <v>85000</v>
      </c>
      <c r="M13" s="18">
        <v>85000</v>
      </c>
      <c r="N13" s="18">
        <v>85000</v>
      </c>
      <c r="O13" s="129">
        <v>2.46</v>
      </c>
      <c r="P13" s="129">
        <v>2.2799999999999998</v>
      </c>
      <c r="Q13" s="129">
        <v>2.23</v>
      </c>
      <c r="R13" s="129">
        <v>2.23</v>
      </c>
      <c r="S13" s="129">
        <v>0</v>
      </c>
      <c r="T13" s="129">
        <v>0</v>
      </c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32" t="s">
        <v>319</v>
      </c>
      <c r="AH13" s="132"/>
      <c r="AI13" s="132"/>
      <c r="AJ13" s="132"/>
    </row>
    <row r="14" spans="1:57" x14ac:dyDescent="0.15">
      <c r="A14" s="126">
        <v>520</v>
      </c>
      <c r="B14" s="157">
        <v>41467</v>
      </c>
      <c r="C14" s="128" t="s">
        <v>303</v>
      </c>
      <c r="D14" s="129" t="s">
        <v>257</v>
      </c>
      <c r="E14" s="130">
        <v>41455</v>
      </c>
      <c r="F14" s="128" t="s">
        <v>309</v>
      </c>
      <c r="G14" s="129" t="s">
        <v>302</v>
      </c>
      <c r="H14" s="129">
        <v>55.7</v>
      </c>
      <c r="I14" s="131" t="s">
        <v>316</v>
      </c>
      <c r="J14" s="18">
        <v>1650</v>
      </c>
      <c r="K14" s="18">
        <v>2960</v>
      </c>
      <c r="L14" s="18">
        <v>2960</v>
      </c>
      <c r="M14" s="18">
        <v>2960</v>
      </c>
      <c r="N14" s="18">
        <v>2960</v>
      </c>
      <c r="O14" s="129">
        <v>2.13</v>
      </c>
      <c r="P14" s="129">
        <v>1.91</v>
      </c>
      <c r="Q14" s="129">
        <v>1.78</v>
      </c>
      <c r="R14" s="129">
        <v>0</v>
      </c>
      <c r="S14" s="129">
        <v>0</v>
      </c>
      <c r="T14" s="129">
        <v>0</v>
      </c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32" t="s">
        <v>315</v>
      </c>
      <c r="AH14" s="132"/>
      <c r="AI14" s="132"/>
      <c r="AJ14" s="132"/>
    </row>
    <row r="15" spans="1:57" x14ac:dyDescent="0.15">
      <c r="A15" s="126">
        <v>392</v>
      </c>
      <c r="B15" s="157">
        <v>41467</v>
      </c>
      <c r="C15" s="128" t="s">
        <v>303</v>
      </c>
      <c r="D15" s="129" t="s">
        <v>313</v>
      </c>
      <c r="E15" s="130">
        <v>41467</v>
      </c>
      <c r="F15" s="128" t="s">
        <v>312</v>
      </c>
      <c r="G15" s="129" t="s">
        <v>302</v>
      </c>
      <c r="H15" s="129">
        <v>75.2</v>
      </c>
      <c r="I15" s="131" t="s">
        <v>316</v>
      </c>
      <c r="J15" s="18">
        <v>6000</v>
      </c>
      <c r="K15" s="18">
        <v>12000</v>
      </c>
      <c r="L15" s="18">
        <v>84000</v>
      </c>
      <c r="M15" s="18">
        <v>84000</v>
      </c>
      <c r="N15" s="18">
        <v>84000</v>
      </c>
      <c r="O15" s="129">
        <v>3.58</v>
      </c>
      <c r="P15" s="129">
        <v>3.18</v>
      </c>
      <c r="Q15" s="129">
        <v>2.83</v>
      </c>
      <c r="R15" s="129">
        <v>2.83</v>
      </c>
      <c r="S15" s="129">
        <v>0</v>
      </c>
      <c r="T15" s="129">
        <v>0</v>
      </c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32" t="s">
        <v>319</v>
      </c>
      <c r="AH15" s="132"/>
      <c r="AI15" s="132"/>
      <c r="AJ15" s="132"/>
    </row>
    <row r="16" spans="1:57" x14ac:dyDescent="0.15">
      <c r="A16" s="126">
        <v>522</v>
      </c>
      <c r="B16" s="157">
        <v>41467</v>
      </c>
      <c r="C16" s="128" t="s">
        <v>303</v>
      </c>
      <c r="D16" s="129" t="s">
        <v>313</v>
      </c>
      <c r="E16" s="130">
        <v>41455</v>
      </c>
      <c r="F16" s="128" t="s">
        <v>309</v>
      </c>
      <c r="G16" s="129" t="s">
        <v>302</v>
      </c>
      <c r="H16" s="129">
        <v>64</v>
      </c>
      <c r="I16" s="131" t="s">
        <v>316</v>
      </c>
      <c r="J16" s="18">
        <v>1650</v>
      </c>
      <c r="K16" s="18">
        <v>2960</v>
      </c>
      <c r="L16" s="18">
        <v>2960</v>
      </c>
      <c r="M16" s="18">
        <v>2960</v>
      </c>
      <c r="N16" s="18">
        <v>2960</v>
      </c>
      <c r="O16" s="129">
        <v>2.97</v>
      </c>
      <c r="P16" s="129">
        <v>2.78</v>
      </c>
      <c r="Q16" s="129">
        <v>2.19</v>
      </c>
      <c r="R16" s="129">
        <v>0</v>
      </c>
      <c r="S16" s="129">
        <v>0</v>
      </c>
      <c r="T16" s="129">
        <v>0</v>
      </c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32" t="s">
        <v>315</v>
      </c>
      <c r="AH16" s="132"/>
      <c r="AI16" s="132"/>
      <c r="AJ16" s="132"/>
    </row>
    <row r="17" spans="1:36" x14ac:dyDescent="0.15">
      <c r="A17" s="126">
        <v>510</v>
      </c>
      <c r="B17" s="157">
        <v>41467</v>
      </c>
      <c r="C17" s="128" t="s">
        <v>303</v>
      </c>
      <c r="D17" s="129" t="s">
        <v>260</v>
      </c>
      <c r="E17" s="130">
        <v>41455</v>
      </c>
      <c r="F17" s="128" t="s">
        <v>309</v>
      </c>
      <c r="G17" s="129" t="s">
        <v>302</v>
      </c>
      <c r="H17" s="129">
        <v>72.61</v>
      </c>
      <c r="I17" s="131"/>
      <c r="J17" s="129"/>
      <c r="K17" s="129"/>
      <c r="L17" s="129"/>
      <c r="M17" s="129"/>
      <c r="N17" s="129"/>
      <c r="O17" s="129">
        <v>2.67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32" t="s">
        <v>315</v>
      </c>
      <c r="AH17" s="132"/>
      <c r="AI17" s="132"/>
      <c r="AJ17" s="132"/>
    </row>
    <row r="18" spans="1:36" x14ac:dyDescent="0.15">
      <c r="A18" s="126">
        <v>874</v>
      </c>
      <c r="B18" s="157">
        <v>41467</v>
      </c>
      <c r="C18" s="128" t="s">
        <v>303</v>
      </c>
      <c r="D18" s="129" t="s">
        <v>260</v>
      </c>
      <c r="E18" s="130">
        <v>41479</v>
      </c>
      <c r="F18" s="128" t="s">
        <v>310</v>
      </c>
      <c r="G18" s="129" t="s">
        <v>302</v>
      </c>
      <c r="H18" s="129">
        <v>72.61</v>
      </c>
      <c r="I18" s="131"/>
      <c r="J18" s="133"/>
      <c r="K18" s="133"/>
      <c r="L18" s="133"/>
      <c r="M18" s="133"/>
      <c r="N18" s="133"/>
      <c r="O18" s="129">
        <v>2.67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32" t="s">
        <v>320</v>
      </c>
      <c r="AH18" s="129"/>
      <c r="AI18" s="129"/>
      <c r="AJ18" s="129"/>
    </row>
    <row r="19" spans="1:36" x14ac:dyDescent="0.15">
      <c r="A19" s="126">
        <v>512</v>
      </c>
      <c r="B19" s="157">
        <v>41467</v>
      </c>
      <c r="C19" s="128" t="s">
        <v>303</v>
      </c>
      <c r="D19" s="129" t="s">
        <v>250</v>
      </c>
      <c r="E19" s="130">
        <v>41455</v>
      </c>
      <c r="F19" s="128" t="s">
        <v>309</v>
      </c>
      <c r="G19" s="129" t="s">
        <v>302</v>
      </c>
      <c r="H19" s="129">
        <v>77.650000000000006</v>
      </c>
      <c r="I19" s="131"/>
      <c r="J19" s="129"/>
      <c r="K19" s="129"/>
      <c r="L19" s="129"/>
      <c r="M19" s="129"/>
      <c r="N19" s="129"/>
      <c r="O19" s="129">
        <v>2.71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32" t="s">
        <v>315</v>
      </c>
      <c r="AH19" s="132"/>
      <c r="AI19" s="132"/>
      <c r="AJ19" s="132"/>
    </row>
    <row r="20" spans="1:36" x14ac:dyDescent="0.15">
      <c r="A20" s="126">
        <v>514</v>
      </c>
      <c r="B20" s="157">
        <v>41467</v>
      </c>
      <c r="C20" s="128" t="s">
        <v>303</v>
      </c>
      <c r="D20" s="129" t="s">
        <v>251</v>
      </c>
      <c r="E20" s="130">
        <v>41455</v>
      </c>
      <c r="F20" s="128" t="s">
        <v>309</v>
      </c>
      <c r="G20" s="129" t="s">
        <v>302</v>
      </c>
      <c r="H20" s="129">
        <v>83.02</v>
      </c>
      <c r="I20" s="131"/>
      <c r="J20" s="129"/>
      <c r="K20" s="129"/>
      <c r="L20" s="129"/>
      <c r="M20" s="129"/>
      <c r="N20" s="129"/>
      <c r="O20" s="129">
        <v>2.78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32" t="s">
        <v>315</v>
      </c>
      <c r="AH20" s="132"/>
      <c r="AI20" s="132"/>
      <c r="AJ20" s="132"/>
    </row>
    <row r="21" spans="1:36" x14ac:dyDescent="0.15">
      <c r="A21" s="126">
        <v>875</v>
      </c>
      <c r="B21" s="157">
        <v>41467</v>
      </c>
      <c r="C21" s="128" t="s">
        <v>303</v>
      </c>
      <c r="D21" s="129" t="s">
        <v>251</v>
      </c>
      <c r="E21" s="130">
        <v>41479</v>
      </c>
      <c r="F21" s="128" t="s">
        <v>310</v>
      </c>
      <c r="G21" s="129" t="s">
        <v>302</v>
      </c>
      <c r="H21" s="129">
        <v>83.02</v>
      </c>
      <c r="I21" s="131"/>
      <c r="J21" s="133"/>
      <c r="K21" s="133"/>
      <c r="L21" s="133"/>
      <c r="M21" s="133"/>
      <c r="N21" s="133"/>
      <c r="O21" s="129">
        <v>2.78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32" t="s">
        <v>320</v>
      </c>
      <c r="AH21" s="129"/>
      <c r="AI21" s="129"/>
      <c r="AJ21" s="129"/>
    </row>
    <row r="22" spans="1:36" x14ac:dyDescent="0.15">
      <c r="A22" s="126">
        <v>516</v>
      </c>
      <c r="B22" s="157">
        <v>41467</v>
      </c>
      <c r="C22" s="128" t="s">
        <v>303</v>
      </c>
      <c r="D22" s="129" t="s">
        <v>252</v>
      </c>
      <c r="E22" s="130">
        <v>41455</v>
      </c>
      <c r="F22" s="128" t="s">
        <v>309</v>
      </c>
      <c r="G22" s="129" t="s">
        <v>302</v>
      </c>
      <c r="H22" s="129">
        <v>88.12</v>
      </c>
      <c r="I22" s="131"/>
      <c r="J22" s="129"/>
      <c r="K22" s="129"/>
      <c r="L22" s="129"/>
      <c r="M22" s="129"/>
      <c r="N22" s="129"/>
      <c r="O22" s="129">
        <v>2.25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32" t="s">
        <v>315</v>
      </c>
      <c r="AH22" s="132"/>
      <c r="AI22" s="132"/>
      <c r="AJ22" s="132"/>
    </row>
    <row r="23" spans="1:36" x14ac:dyDescent="0.15">
      <c r="A23" s="126">
        <v>518</v>
      </c>
      <c r="B23" s="157">
        <v>41467</v>
      </c>
      <c r="C23" s="128" t="s">
        <v>303</v>
      </c>
      <c r="D23" s="129" t="s">
        <v>314</v>
      </c>
      <c r="E23" s="130">
        <v>41455</v>
      </c>
      <c r="F23" s="128" t="s">
        <v>309</v>
      </c>
      <c r="G23" s="129" t="s">
        <v>302</v>
      </c>
      <c r="H23" s="129">
        <v>66</v>
      </c>
      <c r="I23" s="131"/>
      <c r="J23" s="129"/>
      <c r="K23" s="129"/>
      <c r="L23" s="129"/>
      <c r="M23" s="129"/>
      <c r="N23" s="129"/>
      <c r="O23" s="129">
        <v>3.97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32" t="s">
        <v>315</v>
      </c>
      <c r="AH23" s="132"/>
      <c r="AI23" s="132"/>
      <c r="AJ23" s="132"/>
    </row>
  </sheetData>
  <sheetProtection algorithmName="SHA-512" hashValue="RvnGBKHTRgquZ7CqZrh45b4YvUfzdOfw59CqZwETtLpcaHoZx06v0IJpbfyEwfftwTI0IT0/LWgd5hgH9Dizqg==" saltValue="e+43FYvdbox50Sklkni77g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BE12"/>
  <sheetViews>
    <sheetView workbookViewId="0">
      <selection activeCell="A6" sqref="A6:XFD6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42" x14ac:dyDescent="0.15">
      <c r="A1" s="112" t="s">
        <v>234</v>
      </c>
      <c r="B1" s="112" t="s">
        <v>235</v>
      </c>
      <c r="C1" s="113" t="s">
        <v>236</v>
      </c>
      <c r="D1" s="114" t="s">
        <v>237</v>
      </c>
      <c r="E1" s="112" t="s">
        <v>238</v>
      </c>
      <c r="F1" s="113" t="s">
        <v>239</v>
      </c>
      <c r="G1" s="114" t="s">
        <v>240</v>
      </c>
      <c r="H1" s="115" t="s">
        <v>241</v>
      </c>
      <c r="I1" s="116" t="s">
        <v>242</v>
      </c>
      <c r="J1" s="116" t="s">
        <v>243</v>
      </c>
      <c r="K1" s="116" t="s">
        <v>244</v>
      </c>
      <c r="L1" s="116" t="s">
        <v>245</v>
      </c>
      <c r="M1" s="116" t="s">
        <v>246</v>
      </c>
      <c r="N1" s="117" t="s">
        <v>247</v>
      </c>
      <c r="O1" s="118" t="s">
        <v>248</v>
      </c>
      <c r="P1" s="118" t="s">
        <v>249</v>
      </c>
      <c r="Q1" s="118" t="s">
        <v>226</v>
      </c>
      <c r="R1" s="118" t="s">
        <v>285</v>
      </c>
      <c r="S1" s="118" t="s">
        <v>286</v>
      </c>
      <c r="T1" s="119" t="s">
        <v>287</v>
      </c>
      <c r="U1" s="120" t="s">
        <v>288</v>
      </c>
      <c r="V1" s="120" t="s">
        <v>289</v>
      </c>
      <c r="W1" s="120" t="s">
        <v>290</v>
      </c>
      <c r="X1" s="120" t="s">
        <v>148</v>
      </c>
      <c r="Y1" s="120" t="s">
        <v>149</v>
      </c>
      <c r="Z1" s="121" t="s">
        <v>150</v>
      </c>
      <c r="AA1" s="122" t="s">
        <v>151</v>
      </c>
      <c r="AB1" s="122" t="s">
        <v>152</v>
      </c>
      <c r="AC1" s="122" t="s">
        <v>153</v>
      </c>
      <c r="AD1" s="122" t="s">
        <v>154</v>
      </c>
      <c r="AE1" s="122" t="s">
        <v>267</v>
      </c>
      <c r="AF1" s="123" t="s">
        <v>268</v>
      </c>
      <c r="AG1" s="124" t="s">
        <v>269</v>
      </c>
      <c r="AH1" s="124" t="s">
        <v>270</v>
      </c>
      <c r="AI1" s="124" t="s">
        <v>271</v>
      </c>
      <c r="AJ1" s="125" t="s">
        <v>272</v>
      </c>
    </row>
    <row r="2" spans="1:57" x14ac:dyDescent="0.15">
      <c r="A2" s="126">
        <v>370</v>
      </c>
      <c r="B2" s="127">
        <v>41137</v>
      </c>
      <c r="C2" s="128" t="s">
        <v>261</v>
      </c>
      <c r="D2" s="129" t="s">
        <v>122</v>
      </c>
      <c r="E2" s="130">
        <v>41090</v>
      </c>
      <c r="F2" s="128" t="s">
        <v>262</v>
      </c>
      <c r="G2" s="129" t="s">
        <v>254</v>
      </c>
      <c r="H2" s="129">
        <v>54.55</v>
      </c>
      <c r="I2" s="131" t="s">
        <v>263</v>
      </c>
      <c r="J2" s="18">
        <v>1200</v>
      </c>
      <c r="K2" s="18">
        <v>2400</v>
      </c>
      <c r="L2" s="18">
        <v>5400</v>
      </c>
      <c r="M2" s="18">
        <v>165400</v>
      </c>
      <c r="N2" s="18">
        <v>832000</v>
      </c>
      <c r="O2" s="129">
        <v>3.5329999999999999</v>
      </c>
      <c r="P2" s="129">
        <v>2.355</v>
      </c>
      <c r="Q2" s="129">
        <v>2.1779999999999999</v>
      </c>
      <c r="R2" s="129">
        <v>2.1589999999999998</v>
      </c>
      <c r="S2" s="129">
        <v>2.06</v>
      </c>
      <c r="T2" s="129">
        <v>1.7070000000000001</v>
      </c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32" t="s">
        <v>264</v>
      </c>
      <c r="AH2" s="132"/>
      <c r="AI2" s="132"/>
      <c r="AJ2" s="132"/>
    </row>
    <row r="3" spans="1:57" x14ac:dyDescent="0.15">
      <c r="A3" s="126">
        <v>393</v>
      </c>
      <c r="B3" s="127">
        <v>41137</v>
      </c>
      <c r="C3" s="128" t="s">
        <v>265</v>
      </c>
      <c r="D3" s="129" t="s">
        <v>255</v>
      </c>
      <c r="E3" s="130">
        <v>41090</v>
      </c>
      <c r="F3" s="128" t="s">
        <v>256</v>
      </c>
      <c r="G3" s="129" t="s">
        <v>254</v>
      </c>
      <c r="H3" s="129">
        <v>55.92</v>
      </c>
      <c r="I3" s="131" t="s">
        <v>266</v>
      </c>
      <c r="J3" s="18">
        <v>1200</v>
      </c>
      <c r="K3" s="18">
        <v>2400</v>
      </c>
      <c r="L3" s="18">
        <v>5400</v>
      </c>
      <c r="M3" s="18">
        <v>165400</v>
      </c>
      <c r="N3" s="18">
        <v>832000</v>
      </c>
      <c r="O3" s="129">
        <v>3.2730000000000001</v>
      </c>
      <c r="P3" s="129">
        <v>2.3450000000000002</v>
      </c>
      <c r="Q3" s="129">
        <v>2.286</v>
      </c>
      <c r="R3" s="129">
        <v>2.2410000000000001</v>
      </c>
      <c r="S3" s="129">
        <v>2.137</v>
      </c>
      <c r="T3" s="129">
        <v>0.499</v>
      </c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32" t="s">
        <v>264</v>
      </c>
      <c r="AH3" s="129"/>
      <c r="AI3" s="129"/>
      <c r="AJ3" s="129"/>
    </row>
    <row r="4" spans="1:57" x14ac:dyDescent="0.15">
      <c r="A4" s="126">
        <v>394</v>
      </c>
      <c r="B4" s="127">
        <v>41137</v>
      </c>
      <c r="C4" s="128" t="s">
        <v>261</v>
      </c>
      <c r="D4" s="129" t="s">
        <v>291</v>
      </c>
      <c r="E4" s="130">
        <v>41090</v>
      </c>
      <c r="F4" s="128" t="s">
        <v>19</v>
      </c>
      <c r="G4" s="129" t="s">
        <v>254</v>
      </c>
      <c r="H4" s="129">
        <v>63.42</v>
      </c>
      <c r="I4" s="131" t="s">
        <v>263</v>
      </c>
      <c r="J4" s="133">
        <v>2500</v>
      </c>
      <c r="K4" s="133">
        <v>29000</v>
      </c>
      <c r="L4" s="133">
        <v>118350</v>
      </c>
      <c r="M4" s="133">
        <v>118350</v>
      </c>
      <c r="N4" s="133">
        <v>118350</v>
      </c>
      <c r="O4" s="129">
        <v>2.4649999999999999</v>
      </c>
      <c r="P4" s="129">
        <v>2.0760000000000001</v>
      </c>
      <c r="Q4" s="129">
        <v>2.0430000000000001</v>
      </c>
      <c r="R4" s="129">
        <v>2.0379999999999998</v>
      </c>
      <c r="S4" s="129">
        <v>0</v>
      </c>
      <c r="T4" s="129">
        <v>0</v>
      </c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32" t="s">
        <v>264</v>
      </c>
      <c r="AH4" s="132"/>
      <c r="AI4" s="132"/>
      <c r="AJ4" s="132"/>
      <c r="AK4" s="132">
        <v>0</v>
      </c>
      <c r="AL4" s="132">
        <v>0</v>
      </c>
      <c r="AM4" s="132">
        <v>0</v>
      </c>
      <c r="AN4" s="132">
        <v>0</v>
      </c>
      <c r="AO4" s="132">
        <v>0</v>
      </c>
      <c r="AP4" s="132">
        <v>0</v>
      </c>
      <c r="AQ4" s="132">
        <v>0</v>
      </c>
      <c r="AR4" s="132">
        <v>0</v>
      </c>
      <c r="AS4" s="132">
        <v>0</v>
      </c>
      <c r="AT4" s="132">
        <v>0</v>
      </c>
      <c r="AU4" s="129"/>
      <c r="AV4" s="132" t="s">
        <v>264</v>
      </c>
      <c r="AW4" s="132"/>
      <c r="AX4" s="132" t="s">
        <v>264</v>
      </c>
      <c r="AY4" s="128"/>
      <c r="AZ4" s="129"/>
      <c r="BA4" s="132"/>
      <c r="BB4" s="132" t="s">
        <v>292</v>
      </c>
      <c r="BC4" s="128" t="s">
        <v>293</v>
      </c>
      <c r="BD4" t="s">
        <v>294</v>
      </c>
      <c r="BE4" t="s">
        <v>295</v>
      </c>
    </row>
    <row r="5" spans="1:57" x14ac:dyDescent="0.15">
      <c r="A5" s="126">
        <v>395</v>
      </c>
      <c r="B5" s="127">
        <v>41137</v>
      </c>
      <c r="C5" s="128" t="s">
        <v>296</v>
      </c>
      <c r="D5" s="129" t="s">
        <v>297</v>
      </c>
      <c r="E5" s="130">
        <v>41090</v>
      </c>
      <c r="F5" s="128" t="s">
        <v>298</v>
      </c>
      <c r="G5" s="129" t="s">
        <v>254</v>
      </c>
      <c r="H5" s="129">
        <v>66.459999999999994</v>
      </c>
      <c r="I5" s="131"/>
      <c r="J5" s="129"/>
      <c r="K5" s="129"/>
      <c r="L5" s="129"/>
      <c r="M5" s="129"/>
      <c r="N5" s="129"/>
      <c r="O5" s="129">
        <v>2.399</v>
      </c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32" t="s">
        <v>299</v>
      </c>
      <c r="AH5" s="132"/>
      <c r="AI5" s="132"/>
      <c r="AJ5" s="132"/>
      <c r="AK5" s="132">
        <v>0</v>
      </c>
      <c r="AL5" s="132">
        <v>0</v>
      </c>
      <c r="AM5" s="132">
        <v>0</v>
      </c>
      <c r="AN5" s="132">
        <v>0</v>
      </c>
      <c r="AO5" s="132">
        <v>0</v>
      </c>
      <c r="AP5" s="132">
        <v>0</v>
      </c>
      <c r="AQ5" s="132">
        <v>0</v>
      </c>
      <c r="AR5" s="132">
        <v>0</v>
      </c>
      <c r="AS5" s="132">
        <v>0</v>
      </c>
      <c r="AT5" s="132">
        <v>0</v>
      </c>
      <c r="AU5" s="129"/>
      <c r="AV5" s="132" t="s">
        <v>299</v>
      </c>
      <c r="AW5" s="132"/>
      <c r="AX5" s="132" t="s">
        <v>299</v>
      </c>
      <c r="AY5" s="128"/>
      <c r="AZ5" s="129"/>
      <c r="BA5" s="132"/>
      <c r="BB5" s="132" t="s">
        <v>300</v>
      </c>
      <c r="BC5" s="128" t="s">
        <v>293</v>
      </c>
      <c r="BD5" t="s">
        <v>294</v>
      </c>
      <c r="BE5" t="s">
        <v>295</v>
      </c>
    </row>
    <row r="6" spans="1:57" x14ac:dyDescent="0.15">
      <c r="A6" s="126">
        <v>520</v>
      </c>
      <c r="B6" s="127">
        <v>41135</v>
      </c>
      <c r="C6" s="128" t="s">
        <v>265</v>
      </c>
      <c r="D6" s="129" t="s">
        <v>257</v>
      </c>
      <c r="E6" s="130">
        <v>41090</v>
      </c>
      <c r="F6" s="128" t="s">
        <v>258</v>
      </c>
      <c r="G6" s="129" t="s">
        <v>254</v>
      </c>
      <c r="H6" s="129">
        <v>56</v>
      </c>
      <c r="I6" s="131" t="s">
        <v>266</v>
      </c>
      <c r="J6" s="18">
        <v>1650</v>
      </c>
      <c r="K6" s="18">
        <v>2960</v>
      </c>
      <c r="L6" s="18">
        <v>2960</v>
      </c>
      <c r="M6" s="18">
        <v>2960</v>
      </c>
      <c r="N6" s="18">
        <v>2960</v>
      </c>
      <c r="O6" s="129">
        <v>1.94</v>
      </c>
      <c r="P6" s="129">
        <v>1.76</v>
      </c>
      <c r="Q6" s="129">
        <v>1.62</v>
      </c>
      <c r="R6" s="129">
        <v>0</v>
      </c>
      <c r="S6" s="129">
        <v>0</v>
      </c>
      <c r="T6" s="129">
        <v>0</v>
      </c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32" t="s">
        <v>264</v>
      </c>
      <c r="AH6" s="132"/>
      <c r="AI6" s="132"/>
      <c r="AJ6" s="132"/>
    </row>
    <row r="7" spans="1:57" x14ac:dyDescent="0.15">
      <c r="A7" s="126">
        <v>522</v>
      </c>
      <c r="B7" s="127">
        <v>41135</v>
      </c>
      <c r="C7" s="128" t="s">
        <v>265</v>
      </c>
      <c r="D7" s="129" t="s">
        <v>259</v>
      </c>
      <c r="E7" s="130">
        <v>41090</v>
      </c>
      <c r="F7" s="128" t="s">
        <v>258</v>
      </c>
      <c r="G7" s="129" t="s">
        <v>254</v>
      </c>
      <c r="H7" s="129">
        <v>64</v>
      </c>
      <c r="I7" s="131" t="s">
        <v>266</v>
      </c>
      <c r="J7" s="18">
        <v>1650</v>
      </c>
      <c r="K7" s="18">
        <v>2960</v>
      </c>
      <c r="L7" s="18">
        <v>2960</v>
      </c>
      <c r="M7" s="18">
        <v>2960</v>
      </c>
      <c r="N7" s="18">
        <v>2960</v>
      </c>
      <c r="O7" s="129">
        <v>2.97</v>
      </c>
      <c r="P7" s="129">
        <v>2.78</v>
      </c>
      <c r="Q7" s="129">
        <v>2.19</v>
      </c>
      <c r="R7" s="129">
        <v>0</v>
      </c>
      <c r="S7" s="129">
        <v>0</v>
      </c>
      <c r="T7" s="129">
        <v>0</v>
      </c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32" t="s">
        <v>264</v>
      </c>
      <c r="AH7" s="132"/>
      <c r="AI7" s="132"/>
      <c r="AJ7" s="132"/>
    </row>
    <row r="8" spans="1:57" x14ac:dyDescent="0.15">
      <c r="A8" s="126">
        <v>510</v>
      </c>
      <c r="B8" s="127">
        <v>41135</v>
      </c>
      <c r="C8" s="128" t="s">
        <v>265</v>
      </c>
      <c r="D8" s="129" t="s">
        <v>260</v>
      </c>
      <c r="E8" s="130">
        <v>41090</v>
      </c>
      <c r="F8" s="128" t="s">
        <v>258</v>
      </c>
      <c r="G8" s="129" t="s">
        <v>254</v>
      </c>
      <c r="H8" s="129">
        <v>72</v>
      </c>
      <c r="I8" s="131"/>
      <c r="J8" s="129"/>
      <c r="K8" s="129"/>
      <c r="L8" s="129"/>
      <c r="M8" s="129"/>
      <c r="N8" s="129"/>
      <c r="O8" s="129">
        <v>2.5</v>
      </c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32" t="s">
        <v>264</v>
      </c>
      <c r="AH8" s="132"/>
      <c r="AI8" s="132"/>
      <c r="AJ8" s="132"/>
    </row>
    <row r="9" spans="1:57" x14ac:dyDescent="0.15">
      <c r="A9" s="126">
        <v>512</v>
      </c>
      <c r="B9" s="127">
        <v>41135</v>
      </c>
      <c r="C9" s="128" t="s">
        <v>265</v>
      </c>
      <c r="D9" s="129" t="s">
        <v>250</v>
      </c>
      <c r="E9" s="130">
        <v>41090</v>
      </c>
      <c r="F9" s="128" t="s">
        <v>258</v>
      </c>
      <c r="G9" s="129" t="s">
        <v>254</v>
      </c>
      <c r="H9" s="129">
        <v>77</v>
      </c>
      <c r="I9" s="131"/>
      <c r="J9" s="129"/>
      <c r="K9" s="129"/>
      <c r="L9" s="129"/>
      <c r="M9" s="129"/>
      <c r="N9" s="129"/>
      <c r="O9" s="129">
        <v>2.5299999999999998</v>
      </c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32" t="s">
        <v>264</v>
      </c>
      <c r="AH9" s="132"/>
      <c r="AI9" s="132"/>
      <c r="AJ9" s="132"/>
    </row>
    <row r="10" spans="1:57" x14ac:dyDescent="0.15">
      <c r="A10" s="126">
        <v>514</v>
      </c>
      <c r="B10" s="127">
        <v>41135</v>
      </c>
      <c r="C10" s="128" t="s">
        <v>265</v>
      </c>
      <c r="D10" s="129" t="s">
        <v>251</v>
      </c>
      <c r="E10" s="130">
        <v>41090</v>
      </c>
      <c r="F10" s="128" t="s">
        <v>258</v>
      </c>
      <c r="G10" s="129" t="s">
        <v>254</v>
      </c>
      <c r="H10" s="129">
        <v>82</v>
      </c>
      <c r="I10" s="131"/>
      <c r="J10" s="129"/>
      <c r="K10" s="129"/>
      <c r="L10" s="129"/>
      <c r="M10" s="129"/>
      <c r="N10" s="129"/>
      <c r="O10" s="129">
        <v>2.61</v>
      </c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32" t="s">
        <v>264</v>
      </c>
      <c r="AH10" s="132"/>
      <c r="AI10" s="132"/>
      <c r="AJ10" s="132"/>
    </row>
    <row r="11" spans="1:57" x14ac:dyDescent="0.15">
      <c r="A11" s="126">
        <v>516</v>
      </c>
      <c r="B11" s="127">
        <v>41135</v>
      </c>
      <c r="C11" s="128" t="s">
        <v>265</v>
      </c>
      <c r="D11" s="129" t="s">
        <v>252</v>
      </c>
      <c r="E11" s="130">
        <v>41090</v>
      </c>
      <c r="F11" s="128" t="s">
        <v>258</v>
      </c>
      <c r="G11" s="129" t="s">
        <v>254</v>
      </c>
      <c r="H11" s="129">
        <v>87</v>
      </c>
      <c r="I11" s="131"/>
      <c r="J11" s="129"/>
      <c r="K11" s="129"/>
      <c r="L11" s="129"/>
      <c r="M11" s="129"/>
      <c r="N11" s="129"/>
      <c r="O11" s="129">
        <v>2.08</v>
      </c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32" t="s">
        <v>264</v>
      </c>
      <c r="AH11" s="132"/>
      <c r="AI11" s="132"/>
      <c r="AJ11" s="132"/>
    </row>
    <row r="12" spans="1:57" x14ac:dyDescent="0.15">
      <c r="A12" s="126">
        <v>518</v>
      </c>
      <c r="B12" s="127">
        <v>41135</v>
      </c>
      <c r="C12" s="128" t="s">
        <v>265</v>
      </c>
      <c r="D12" s="129" t="s">
        <v>253</v>
      </c>
      <c r="E12" s="130">
        <v>41090</v>
      </c>
      <c r="F12" s="128" t="s">
        <v>258</v>
      </c>
      <c r="G12" s="129" t="s">
        <v>254</v>
      </c>
      <c r="H12" s="129">
        <v>66</v>
      </c>
      <c r="I12" s="131"/>
      <c r="J12" s="129"/>
      <c r="K12" s="129"/>
      <c r="L12" s="129"/>
      <c r="M12" s="129"/>
      <c r="N12" s="129"/>
      <c r="O12" s="129">
        <v>3.81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32" t="s">
        <v>264</v>
      </c>
      <c r="AH12" s="132"/>
      <c r="AI12" s="132"/>
      <c r="AJ12" s="132"/>
    </row>
  </sheetData>
  <sheetProtection algorithmName="SHA-512" hashValue="COyLRvQdD8k+ZGJzbVYKg4FRbIE0Ybb2ndwB7WSVM47149D5GyVEqITyavhdOHLO6NFTne7ITPkY3GJ+bnrhQw==" saltValue="F1JjUdnKT/PsMgHI68nryA==" spinCount="100000" sheet="1" objects="1" scenarios="1"/>
  <phoneticPr fontId="6" type="noConversion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K18"/>
  <sheetViews>
    <sheetView workbookViewId="0">
      <selection activeCell="E7" sqref="E7:E1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38</v>
      </c>
    </row>
    <row r="2" spans="1:11" x14ac:dyDescent="0.15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</row>
    <row r="3" spans="1:11" x14ac:dyDescent="0.15">
      <c r="A3" s="5" t="s">
        <v>222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39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133</v>
      </c>
    </row>
    <row r="7" spans="1:11" x14ac:dyDescent="0.15">
      <c r="A7" t="s">
        <v>214</v>
      </c>
      <c r="D7" s="8"/>
      <c r="E7">
        <v>1200</v>
      </c>
    </row>
    <row r="8" spans="1:11" x14ac:dyDescent="0.15">
      <c r="A8" t="s">
        <v>119</v>
      </c>
      <c r="D8" s="8"/>
      <c r="E8">
        <v>2400</v>
      </c>
    </row>
    <row r="9" spans="1:11" x14ac:dyDescent="0.15">
      <c r="A9" t="s">
        <v>207</v>
      </c>
      <c r="D9" s="8"/>
      <c r="E9">
        <v>5400</v>
      </c>
    </row>
    <row r="10" spans="1:11" x14ac:dyDescent="0.15">
      <c r="A10" s="16" t="s">
        <v>57</v>
      </c>
      <c r="B10" s="16"/>
      <c r="C10" s="16"/>
      <c r="D10" s="17"/>
      <c r="E10" s="16">
        <v>165400</v>
      </c>
    </row>
    <row r="11" spans="1:11" x14ac:dyDescent="0.15">
      <c r="A11" t="s">
        <v>181</v>
      </c>
      <c r="D11" s="8"/>
      <c r="E11">
        <v>3.51</v>
      </c>
    </row>
    <row r="12" spans="1:11" x14ac:dyDescent="0.15">
      <c r="A12" t="s">
        <v>182</v>
      </c>
      <c r="D12" s="8"/>
      <c r="E12">
        <v>2.3439999999999999</v>
      </c>
    </row>
    <row r="13" spans="1:11" x14ac:dyDescent="0.15">
      <c r="A13" t="s">
        <v>97</v>
      </c>
      <c r="D13" s="8"/>
      <c r="E13">
        <v>2.1619999999999999</v>
      </c>
    </row>
    <row r="14" spans="1:11" x14ac:dyDescent="0.15">
      <c r="A14" t="s">
        <v>117</v>
      </c>
      <c r="D14" s="8"/>
      <c r="E14">
        <v>2.141</v>
      </c>
    </row>
    <row r="15" spans="1:11" x14ac:dyDescent="0.15">
      <c r="A15" t="s">
        <v>233</v>
      </c>
      <c r="D15" s="8"/>
      <c r="E15">
        <v>2.0470000000000002</v>
      </c>
    </row>
    <row r="16" spans="1:11" x14ac:dyDescent="0.15">
      <c r="A16" t="s">
        <v>55</v>
      </c>
      <c r="D16" s="8"/>
      <c r="E16">
        <v>54.01</v>
      </c>
    </row>
    <row r="17" spans="1:11" x14ac:dyDescent="0.15">
      <c r="D17" s="8"/>
    </row>
    <row r="18" spans="1:11" x14ac:dyDescent="0.15">
      <c r="A18" s="108"/>
      <c r="B18" s="109"/>
      <c r="C18" s="109"/>
      <c r="D18" s="109"/>
      <c r="E18" s="109"/>
      <c r="F18" s="109"/>
      <c r="G18" s="109"/>
      <c r="H18" s="109"/>
      <c r="I18" s="109"/>
      <c r="J18" s="109"/>
      <c r="K18" s="109"/>
    </row>
  </sheetData>
  <sheetProtection algorithmName="SHA-512" hashValue="NBeexDutCipYi2xAoYcI/PP5sRfdqGZ/pwlhRJYccRJu2uFaciENntlMSqlUr7TQlPBT39ODL5g4sKspm59pxA==" saltValue="4g+j8Ru23doa1KzUAE/jbg==" spinCount="100000" sheet="1" objects="1" scenarios="1"/>
  <phoneticPr fontId="6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K19"/>
  <sheetViews>
    <sheetView workbookViewId="0">
      <selection activeCell="E6" sqref="E6:J8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41</v>
      </c>
    </row>
    <row r="2" spans="1:11" x14ac:dyDescent="0.15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</row>
    <row r="3" spans="1:11" x14ac:dyDescent="0.15">
      <c r="A3" s="5" t="s">
        <v>113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39</v>
      </c>
      <c r="K4" s="54"/>
    </row>
    <row r="5" spans="1:11" x14ac:dyDescent="0.15">
      <c r="D5" s="8"/>
    </row>
    <row r="6" spans="1:11" x14ac:dyDescent="0.15">
      <c r="A6" s="14" t="s">
        <v>20</v>
      </c>
      <c r="D6" s="8"/>
      <c r="E6" s="15" t="s">
        <v>106</v>
      </c>
      <c r="F6" s="19" t="s">
        <v>102</v>
      </c>
      <c r="G6" s="19" t="s">
        <v>98</v>
      </c>
      <c r="H6" s="19" t="s">
        <v>145</v>
      </c>
      <c r="I6" s="19" t="s">
        <v>131</v>
      </c>
      <c r="J6" s="19" t="s">
        <v>85</v>
      </c>
    </row>
    <row r="7" spans="1:11" x14ac:dyDescent="0.15">
      <c r="A7" t="s">
        <v>110</v>
      </c>
      <c r="D7" s="8"/>
      <c r="E7">
        <v>2.4500000000000002</v>
      </c>
      <c r="F7">
        <v>2.4700000000000002</v>
      </c>
      <c r="G7">
        <v>2.4700000000000002</v>
      </c>
      <c r="H7">
        <v>2.65</v>
      </c>
      <c r="I7">
        <v>2.14</v>
      </c>
      <c r="J7">
        <v>3.8</v>
      </c>
    </row>
    <row r="8" spans="1:11" x14ac:dyDescent="0.15">
      <c r="A8" t="s">
        <v>55</v>
      </c>
      <c r="D8" s="8"/>
      <c r="E8">
        <v>71.5</v>
      </c>
      <c r="F8">
        <v>76.98</v>
      </c>
      <c r="G8">
        <v>76.98</v>
      </c>
      <c r="H8">
        <v>76.2</v>
      </c>
      <c r="I8">
        <v>80.260000000000005</v>
      </c>
      <c r="J8">
        <v>66.37</v>
      </c>
    </row>
    <row r="9" spans="1:11" x14ac:dyDescent="0.15">
      <c r="D9" s="8"/>
    </row>
    <row r="10" spans="1:11" x14ac:dyDescent="0.1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x14ac:dyDescent="0.15">
      <c r="A11" s="14" t="s">
        <v>111</v>
      </c>
    </row>
    <row r="12" spans="1:11" x14ac:dyDescent="0.15">
      <c r="A12" s="19" t="s">
        <v>71</v>
      </c>
      <c r="B12" t="s">
        <v>232</v>
      </c>
    </row>
    <row r="13" spans="1:11" x14ac:dyDescent="0.15">
      <c r="A13" s="19" t="s">
        <v>112</v>
      </c>
      <c r="B13" t="s">
        <v>60</v>
      </c>
    </row>
    <row r="14" spans="1:11" x14ac:dyDescent="0.15">
      <c r="A14" s="19" t="s">
        <v>209</v>
      </c>
      <c r="B14" t="s">
        <v>61</v>
      </c>
    </row>
    <row r="15" spans="1:11" x14ac:dyDescent="0.15">
      <c r="A15" s="19" t="s">
        <v>210</v>
      </c>
      <c r="B15" t="s">
        <v>103</v>
      </c>
    </row>
    <row r="16" spans="1:11" x14ac:dyDescent="0.15">
      <c r="A16" s="19" t="s">
        <v>206</v>
      </c>
      <c r="B16" t="s">
        <v>89</v>
      </c>
    </row>
    <row r="17" spans="1:11" x14ac:dyDescent="0.15">
      <c r="A17" s="19" t="s">
        <v>230</v>
      </c>
      <c r="B17" t="s">
        <v>64</v>
      </c>
    </row>
    <row r="19" spans="1:11" x14ac:dyDescent="0.15">
      <c r="A19" s="108"/>
      <c r="B19" s="109"/>
      <c r="C19" s="109"/>
      <c r="D19" s="109"/>
      <c r="E19" s="109"/>
      <c r="F19" s="109"/>
      <c r="G19" s="109"/>
      <c r="H19" s="109"/>
      <c r="I19" s="109"/>
      <c r="J19" s="109"/>
      <c r="K19" s="109"/>
    </row>
  </sheetData>
  <sheetProtection algorithmName="SHA-512" hashValue="+i7tP+q4HYDYjV4/v8SF/7aTR2O/5MSGCLoIVmjsxgiKPTg2sx3HCk7uRlaPNz+OK4BO8hMY4BL9ALbNY1ADlg==" saltValue="BDlcYh1MHt75MI4sqZ3wPg==" spinCount="100000" sheet="1" objects="1" scenarios="1"/>
  <phoneticPr fontId="6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K24"/>
  <sheetViews>
    <sheetView workbookViewId="0">
      <selection activeCell="F17" sqref="F17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40</v>
      </c>
    </row>
    <row r="2" spans="1:11" x14ac:dyDescent="0.15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</row>
    <row r="3" spans="1:11" x14ac:dyDescent="0.15">
      <c r="A3" s="5" t="s">
        <v>279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39</v>
      </c>
    </row>
    <row r="5" spans="1:11" x14ac:dyDescent="0.15">
      <c r="D5" s="8"/>
      <c r="I5" s="54"/>
    </row>
    <row r="6" spans="1:11" x14ac:dyDescent="0.15">
      <c r="A6" s="14" t="s">
        <v>20</v>
      </c>
      <c r="D6" s="8"/>
      <c r="E6" s="15" t="s">
        <v>274</v>
      </c>
      <c r="F6" s="15" t="s">
        <v>11</v>
      </c>
      <c r="G6" s="15" t="s">
        <v>54</v>
      </c>
    </row>
    <row r="7" spans="1:11" x14ac:dyDescent="0.15">
      <c r="A7" t="s">
        <v>214</v>
      </c>
      <c r="D7" s="8"/>
      <c r="E7">
        <v>1200</v>
      </c>
      <c r="F7">
        <v>2500</v>
      </c>
      <c r="G7">
        <v>0</v>
      </c>
    </row>
    <row r="8" spans="1:11" x14ac:dyDescent="0.15">
      <c r="A8" t="s">
        <v>119</v>
      </c>
      <c r="D8" s="8"/>
      <c r="E8">
        <v>2400</v>
      </c>
      <c r="F8">
        <v>0</v>
      </c>
      <c r="G8">
        <v>0</v>
      </c>
    </row>
    <row r="9" spans="1:11" x14ac:dyDescent="0.15">
      <c r="A9" t="s">
        <v>207</v>
      </c>
      <c r="D9" s="8"/>
      <c r="E9">
        <v>5400</v>
      </c>
      <c r="F9">
        <v>0</v>
      </c>
      <c r="G9">
        <v>0</v>
      </c>
    </row>
    <row r="10" spans="1:11" x14ac:dyDescent="0.15">
      <c r="A10" s="16" t="s">
        <v>57</v>
      </c>
      <c r="B10" s="16"/>
      <c r="C10" s="16"/>
      <c r="D10" s="17"/>
      <c r="E10" s="16">
        <v>165400</v>
      </c>
      <c r="F10" s="16">
        <v>0</v>
      </c>
      <c r="G10" s="16">
        <v>0</v>
      </c>
    </row>
    <row r="11" spans="1:11" x14ac:dyDescent="0.15">
      <c r="A11" t="s">
        <v>181</v>
      </c>
      <c r="D11" s="8"/>
      <c r="E11">
        <v>3.282</v>
      </c>
      <c r="F11">
        <v>2.5059999999999998</v>
      </c>
      <c r="G11">
        <v>2.3940000000000001</v>
      </c>
    </row>
    <row r="12" spans="1:11" x14ac:dyDescent="0.15">
      <c r="A12" t="s">
        <v>182</v>
      </c>
      <c r="D12" s="8"/>
      <c r="E12">
        <v>2.3559999999999999</v>
      </c>
      <c r="F12">
        <v>0</v>
      </c>
      <c r="G12">
        <v>0</v>
      </c>
    </row>
    <row r="13" spans="1:11" x14ac:dyDescent="0.15">
      <c r="A13" t="s">
        <v>97</v>
      </c>
      <c r="D13" s="8"/>
      <c r="E13">
        <v>2.2970000000000002</v>
      </c>
      <c r="F13">
        <v>0</v>
      </c>
      <c r="G13">
        <v>0</v>
      </c>
    </row>
    <row r="14" spans="1:11" x14ac:dyDescent="0.15">
      <c r="A14" t="s">
        <v>117</v>
      </c>
      <c r="D14" s="8"/>
      <c r="E14">
        <v>2.258</v>
      </c>
      <c r="F14">
        <v>0</v>
      </c>
      <c r="G14">
        <v>0</v>
      </c>
    </row>
    <row r="15" spans="1:11" x14ac:dyDescent="0.15">
      <c r="A15" t="s">
        <v>233</v>
      </c>
      <c r="D15" s="8"/>
      <c r="E15">
        <v>2.1469999999999998</v>
      </c>
      <c r="F15">
        <v>2.294</v>
      </c>
      <c r="G15">
        <v>0</v>
      </c>
    </row>
    <row r="16" spans="1:11" x14ac:dyDescent="0.15">
      <c r="A16" t="s">
        <v>55</v>
      </c>
      <c r="D16" s="8"/>
      <c r="E16">
        <v>55.92</v>
      </c>
      <c r="F16">
        <v>68.87</v>
      </c>
      <c r="G16">
        <v>66.37</v>
      </c>
    </row>
    <row r="17" spans="1:11" x14ac:dyDescent="0.15">
      <c r="D17" s="8"/>
    </row>
    <row r="18" spans="1:11" x14ac:dyDescent="0.1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</row>
    <row r="19" spans="1:11" x14ac:dyDescent="0.15">
      <c r="A19" s="14" t="s">
        <v>111</v>
      </c>
    </row>
    <row r="20" spans="1:11" x14ac:dyDescent="0.15">
      <c r="A20" s="19" t="s">
        <v>82</v>
      </c>
      <c r="B20" t="s">
        <v>105</v>
      </c>
    </row>
    <row r="21" spans="1:11" x14ac:dyDescent="0.15">
      <c r="A21" s="19" t="s">
        <v>190</v>
      </c>
      <c r="B21" t="s">
        <v>107</v>
      </c>
    </row>
    <row r="22" spans="1:11" x14ac:dyDescent="0.15">
      <c r="A22" s="19" t="s">
        <v>157</v>
      </c>
      <c r="B22" t="s">
        <v>3</v>
      </c>
    </row>
    <row r="24" spans="1:11" x14ac:dyDescent="0.15">
      <c r="A24" s="108"/>
      <c r="B24" s="109"/>
      <c r="C24" s="109"/>
      <c r="D24" s="109"/>
      <c r="E24" s="109"/>
      <c r="F24" s="109"/>
      <c r="G24" s="109"/>
      <c r="H24" s="109"/>
      <c r="I24" s="109"/>
      <c r="J24" s="109"/>
      <c r="K24" s="109"/>
    </row>
  </sheetData>
  <sheetProtection algorithmName="SHA-512" hashValue="+TMBwZajgeHu0jNZRB9udu53RwabM3p7k8QEaT2xWdSszSfbpktDKDfvWz89CHfMmTJ31jF0eO3dlj7vN6ck4g==" saltValue="rsA59PKih/ejb8J5uKb5dg==" spinCount="100000" sheet="1" objects="1" scenarios="1"/>
  <phoneticPr fontId="6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K27"/>
  <sheetViews>
    <sheetView workbookViewId="0">
      <selection activeCell="N31" sqref="N31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38</v>
      </c>
    </row>
    <row r="2" spans="1:11" x14ac:dyDescent="0.15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09"/>
    </row>
    <row r="3" spans="1:11" x14ac:dyDescent="0.15">
      <c r="A3" s="5" t="s">
        <v>101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39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138</v>
      </c>
      <c r="F6" s="15" t="s">
        <v>147</v>
      </c>
      <c r="H6" s="54"/>
    </row>
    <row r="7" spans="1:11" x14ac:dyDescent="0.15">
      <c r="A7" s="20" t="s">
        <v>96</v>
      </c>
      <c r="D7" s="8"/>
      <c r="E7" s="18">
        <v>2</v>
      </c>
      <c r="F7" s="18">
        <v>0</v>
      </c>
    </row>
    <row r="8" spans="1:11" x14ac:dyDescent="0.15">
      <c r="A8" s="20" t="s">
        <v>37</v>
      </c>
      <c r="D8" s="8"/>
      <c r="E8" s="18">
        <v>4</v>
      </c>
      <c r="F8" s="18">
        <v>0</v>
      </c>
    </row>
    <row r="9" spans="1:11" x14ac:dyDescent="0.15">
      <c r="A9" t="s">
        <v>214</v>
      </c>
      <c r="D9" s="8"/>
      <c r="E9">
        <v>1650</v>
      </c>
      <c r="F9">
        <v>1650</v>
      </c>
    </row>
    <row r="10" spans="1:11" x14ac:dyDescent="0.15">
      <c r="A10" t="s">
        <v>7</v>
      </c>
      <c r="D10" s="8"/>
      <c r="E10">
        <v>2960</v>
      </c>
      <c r="F10">
        <v>2960</v>
      </c>
    </row>
    <row r="11" spans="1:11" x14ac:dyDescent="0.15">
      <c r="A11" s="16" t="s">
        <v>8</v>
      </c>
      <c r="B11" s="16"/>
      <c r="C11" s="16"/>
      <c r="D11" s="17"/>
      <c r="E11" s="16">
        <v>0</v>
      </c>
      <c r="F11" s="16">
        <v>0</v>
      </c>
    </row>
    <row r="12" spans="1:11" x14ac:dyDescent="0.15">
      <c r="A12" t="s">
        <v>9</v>
      </c>
      <c r="D12" s="8"/>
      <c r="E12">
        <v>1.93</v>
      </c>
      <c r="F12">
        <v>2.93</v>
      </c>
    </row>
    <row r="13" spans="1:11" x14ac:dyDescent="0.15">
      <c r="A13" t="s">
        <v>90</v>
      </c>
      <c r="D13" s="8"/>
      <c r="E13">
        <v>1.76</v>
      </c>
      <c r="F13">
        <v>2.79</v>
      </c>
    </row>
    <row r="14" spans="1:11" x14ac:dyDescent="0.15">
      <c r="A14" t="s">
        <v>91</v>
      </c>
      <c r="D14" s="8"/>
      <c r="E14">
        <v>0</v>
      </c>
      <c r="F14">
        <v>0</v>
      </c>
    </row>
    <row r="15" spans="1:11" x14ac:dyDescent="0.15">
      <c r="A15" t="s">
        <v>180</v>
      </c>
      <c r="D15" s="8"/>
      <c r="E15">
        <v>1.63</v>
      </c>
      <c r="F15">
        <v>2.2000000000000002</v>
      </c>
    </row>
    <row r="16" spans="1:11" x14ac:dyDescent="0.15">
      <c r="A16" t="s">
        <v>36</v>
      </c>
      <c r="D16" s="8"/>
      <c r="E16">
        <v>1.93</v>
      </c>
      <c r="F16">
        <v>2.93</v>
      </c>
    </row>
    <row r="17" spans="1:11" x14ac:dyDescent="0.15">
      <c r="A17" t="s">
        <v>14</v>
      </c>
      <c r="D17" s="8"/>
      <c r="E17">
        <v>1.76</v>
      </c>
      <c r="F17">
        <v>2.79</v>
      </c>
    </row>
    <row r="18" spans="1:11" x14ac:dyDescent="0.15">
      <c r="A18" t="s">
        <v>15</v>
      </c>
      <c r="D18" s="8"/>
      <c r="E18">
        <v>0</v>
      </c>
      <c r="F18">
        <v>0</v>
      </c>
    </row>
    <row r="19" spans="1:11" x14ac:dyDescent="0.15">
      <c r="A19" t="s">
        <v>273</v>
      </c>
      <c r="D19" s="8"/>
      <c r="E19">
        <v>1.63</v>
      </c>
      <c r="F19">
        <v>2.2000000000000002</v>
      </c>
    </row>
    <row r="20" spans="1:11" x14ac:dyDescent="0.15">
      <c r="A20" t="s">
        <v>55</v>
      </c>
      <c r="D20" s="8"/>
      <c r="E20">
        <v>55</v>
      </c>
      <c r="F20">
        <v>63</v>
      </c>
    </row>
    <row r="21" spans="1:11" x14ac:dyDescent="0.15">
      <c r="D21" s="8"/>
    </row>
    <row r="22" spans="1:11" x14ac:dyDescent="0.1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</row>
    <row r="23" spans="1:11" x14ac:dyDescent="0.15">
      <c r="A23" s="14" t="s">
        <v>111</v>
      </c>
    </row>
    <row r="24" spans="1:11" x14ac:dyDescent="0.15">
      <c r="A24" s="19" t="s">
        <v>217</v>
      </c>
      <c r="B24" t="s">
        <v>172</v>
      </c>
    </row>
    <row r="25" spans="1:11" x14ac:dyDescent="0.15">
      <c r="A25" s="19" t="s">
        <v>87</v>
      </c>
      <c r="B25" t="s">
        <v>165</v>
      </c>
    </row>
    <row r="27" spans="1:11" x14ac:dyDescent="0.15">
      <c r="A27" s="108"/>
      <c r="B27" s="109"/>
      <c r="C27" s="109"/>
      <c r="D27" s="109"/>
      <c r="E27" s="109"/>
      <c r="F27" s="109"/>
      <c r="G27" s="109"/>
      <c r="H27" s="109"/>
      <c r="I27" s="109"/>
      <c r="J27" s="109"/>
      <c r="K27" s="109"/>
    </row>
  </sheetData>
  <sheetProtection algorithmName="SHA-512" hashValue="tD4jZ1EHV9zWaPtfuBmVZc0UBw55kL8G2213Hj+w5Peifcj/yVpe6bGRG3OqctrFsaqCbDlklTfqoxm0NjvGKA==" saltValue="hJEs8yVX9yDERBwiO8Niaw==" spinCount="100000" sheet="1" objects="1" scenarios="1"/>
  <phoneticPr fontId="6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K18"/>
  <sheetViews>
    <sheetView zoomScale="125" workbookViewId="0">
      <selection sqref="A1:K18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160</v>
      </c>
    </row>
    <row r="2" spans="1:11" x14ac:dyDescent="0.15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3" spans="1:11" x14ac:dyDescent="0.15">
      <c r="A3" s="5" t="s">
        <v>222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275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133</v>
      </c>
    </row>
    <row r="7" spans="1:11" x14ac:dyDescent="0.15">
      <c r="A7" t="s">
        <v>214</v>
      </c>
      <c r="D7" s="8"/>
      <c r="E7">
        <v>2500</v>
      </c>
    </row>
    <row r="8" spans="1:11" x14ac:dyDescent="0.15">
      <c r="A8" t="s">
        <v>119</v>
      </c>
      <c r="D8" s="8"/>
      <c r="E8">
        <v>5500</v>
      </c>
    </row>
    <row r="9" spans="1:11" x14ac:dyDescent="0.15">
      <c r="A9" t="s">
        <v>207</v>
      </c>
      <c r="D9" s="8"/>
      <c r="E9">
        <v>17000</v>
      </c>
    </row>
    <row r="10" spans="1:11" x14ac:dyDescent="0.15">
      <c r="A10" s="16" t="s">
        <v>57</v>
      </c>
      <c r="B10" s="16"/>
      <c r="C10" s="16"/>
      <c r="D10" s="17"/>
      <c r="E10" s="16">
        <v>167000</v>
      </c>
    </row>
    <row r="11" spans="1:11" x14ac:dyDescent="0.15">
      <c r="A11" t="s">
        <v>181</v>
      </c>
      <c r="D11" s="8"/>
      <c r="E11">
        <v>4.2988</v>
      </c>
    </row>
    <row r="12" spans="1:11" x14ac:dyDescent="0.15">
      <c r="A12" t="s">
        <v>182</v>
      </c>
      <c r="D12" s="8"/>
      <c r="E12">
        <v>2.5487000000000002</v>
      </c>
    </row>
    <row r="13" spans="1:11" x14ac:dyDescent="0.15">
      <c r="A13" t="s">
        <v>97</v>
      </c>
      <c r="D13" s="8"/>
      <c r="E13">
        <v>2.5047000000000001</v>
      </c>
    </row>
    <row r="14" spans="1:11" x14ac:dyDescent="0.15">
      <c r="A14" t="s">
        <v>117</v>
      </c>
      <c r="D14" s="8"/>
      <c r="E14">
        <v>2.4882</v>
      </c>
    </row>
    <row r="15" spans="1:11" x14ac:dyDescent="0.15">
      <c r="A15" t="s">
        <v>233</v>
      </c>
      <c r="D15" s="8"/>
      <c r="E15">
        <v>2.3759999999999999</v>
      </c>
    </row>
    <row r="16" spans="1:11" x14ac:dyDescent="0.15">
      <c r="A16" t="s">
        <v>55</v>
      </c>
      <c r="D16" s="8"/>
      <c r="E16">
        <v>56.76</v>
      </c>
    </row>
    <row r="17" spans="1:11" x14ac:dyDescent="0.15">
      <c r="D17" s="8"/>
    </row>
    <row r="18" spans="1:11" x14ac:dyDescent="0.1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F76F3-228F-5B43-8398-419C3E9B2DC6}">
  <sheetPr codeName="Sheet50"/>
  <dimension ref="A1:AUU9444"/>
  <sheetViews>
    <sheetView zoomScaleNormal="100" workbookViewId="0">
      <selection activeCell="C6" sqref="C6"/>
    </sheetView>
  </sheetViews>
  <sheetFormatPr baseColWidth="10" defaultRowHeight="13" x14ac:dyDescent="0.15"/>
  <cols>
    <col min="1" max="1" width="20.5" style="208" customWidth="1"/>
    <col min="2" max="2" width="30.83203125" style="208" bestFit="1" customWidth="1"/>
    <col min="3" max="3" width="12.5" style="208" customWidth="1"/>
    <col min="4" max="11" width="12.1640625" style="208" customWidth="1"/>
    <col min="12" max="12" width="12.1640625" style="208" hidden="1" customWidth="1"/>
    <col min="13" max="13" width="12.1640625" style="208" customWidth="1"/>
    <col min="14" max="17" width="12.1640625" customWidth="1"/>
    <col min="18" max="19" width="10.6640625" customWidth="1"/>
    <col min="20" max="23" width="12.1640625" customWidth="1"/>
    <col min="1244" max="16384" width="10.83203125" style="208"/>
  </cols>
  <sheetData>
    <row r="1" spans="1:26" customFormat="1" x14ac:dyDescent="0.15">
      <c r="A1" s="242" t="s">
        <v>321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</row>
    <row r="2" spans="1:26" customFormat="1" x14ac:dyDescent="0.15">
      <c r="A2" s="243" t="s">
        <v>198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customFormat="1" ht="14" thickBot="1" x14ac:dyDescent="0.2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 ht="14" x14ac:dyDescent="0.15">
      <c r="A4" s="137" t="s">
        <v>199</v>
      </c>
      <c r="B4" s="138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40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spans="1:26" ht="14" x14ac:dyDescent="0.15">
      <c r="A5" s="141" t="s">
        <v>378</v>
      </c>
      <c r="B5" s="67"/>
      <c r="C5" s="155">
        <v>4000</v>
      </c>
      <c r="D5" s="24"/>
      <c r="E5" s="67"/>
      <c r="F5" s="67"/>
      <c r="G5" s="67"/>
      <c r="H5" s="67"/>
      <c r="I5" s="67"/>
      <c r="J5" s="67"/>
      <c r="K5" s="67"/>
      <c r="L5" s="67"/>
      <c r="M5" s="142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spans="1:26" ht="14" x14ac:dyDescent="0.15">
      <c r="A6" s="141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142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spans="1:26" ht="30" x14ac:dyDescent="0.15">
      <c r="A7" s="224" t="s">
        <v>239</v>
      </c>
      <c r="B7" s="225" t="s">
        <v>200</v>
      </c>
      <c r="C7" s="225" t="s">
        <v>192</v>
      </c>
      <c r="D7" s="225" t="s">
        <v>196</v>
      </c>
      <c r="E7" s="225" t="s">
        <v>201</v>
      </c>
      <c r="F7" s="225" t="s">
        <v>202</v>
      </c>
      <c r="G7" s="225" t="s">
        <v>193</v>
      </c>
      <c r="H7" s="225" t="s">
        <v>194</v>
      </c>
      <c r="I7" s="225" t="s">
        <v>195</v>
      </c>
      <c r="J7" s="225" t="s">
        <v>203</v>
      </c>
      <c r="K7" s="225" t="s">
        <v>51</v>
      </c>
      <c r="L7" s="228" t="s">
        <v>197</v>
      </c>
      <c r="M7" s="227" t="s">
        <v>324</v>
      </c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spans="1:26" ht="25" customHeight="1" x14ac:dyDescent="0.15">
      <c r="A8" s="143" t="str">
        <f>'Tariffs 2022'!F2</f>
        <v>AGL</v>
      </c>
      <c r="B8" s="24" t="str">
        <f>'Tariffs 2022'!D2</f>
        <v>Jemena Coastal Network</v>
      </c>
      <c r="C8" s="144">
        <f>'Tariffs 2022'!E2</f>
        <v>43284</v>
      </c>
      <c r="D8" s="30">
        <f>60*'Tariffs 2022'!H2/100</f>
        <v>39.479999999999997</v>
      </c>
      <c r="E8" s="30">
        <f>IF($C$5&gt;='Tariffs 2022'!J2,('Tariffs 2022'!J2*'Tariffs 2022'!O2/100),($C$5*'Tariffs 2022'!O2/100))</f>
        <v>45.709090909090911</v>
      </c>
      <c r="F8" s="30">
        <f>IF($C$5&lt;'Tariffs 2022'!J2,0,IF(($C$5-'Tariffs 2022'!J2)&lt;='Tariffs 2022'!K2,(($C$5-'Tariffs 2022'!J2)*'Tariffs 2022'!P2/100),(('Tariffs 2022'!K2-'Tariffs 2022'!J2)*'Tariffs 2022'!P2/100)))</f>
        <v>35.454545454545453</v>
      </c>
      <c r="G8" s="30">
        <f>IF($C$5&lt;'Tariffs 2022'!K2,0,IF(($C$5-'Tariffs 2022'!K2)&lt;='Tariffs 2022'!L2,(($C$5-'Tariffs 2022'!K2)*'Tariffs 2022'!Q2/100),(('Tariffs 2022'!L2-'Tariffs 2022'!K2)*'Tariffs 2022'!Q2/100)))</f>
        <v>45.818181818181813</v>
      </c>
      <c r="H8" s="30">
        <f>IF($C$5&lt;'Tariffs 2022'!L2,0,IF(($C$5-'Tariffs 2022'!L2)&lt;='Tariffs 2022'!M2,(($C$5-'Tariffs 2022'!L2)*'Tariffs 2022'!R2/100),(('Tariffs 2022'!M2-'Tariffs 2022'!L2)*'Tariffs 2022'!R2/100)))</f>
        <v>0</v>
      </c>
      <c r="I8" s="30">
        <f>IF($C$5&lt;'Tariffs 2022'!M2,0,IF(($C$5-'Tariffs 2022'!M2)&lt;='Tariffs 2022'!N2,(($C$5-'Tariffs 2022'!M2)*'Tariffs 2022'!S2/100),(('Tariffs 2022'!N2-'Tariffs 2022'!M2)*'Tariffs 2022'!S2/100)))</f>
        <v>0</v>
      </c>
      <c r="J8" s="30">
        <v>0</v>
      </c>
      <c r="K8" s="30">
        <f>SUM(D8:J8)</f>
        <v>166.46181818181816</v>
      </c>
      <c r="L8" s="229">
        <f>K8*6</f>
        <v>998.77090909090896</v>
      </c>
      <c r="M8" s="145">
        <f>L8*1.1</f>
        <v>1098.6479999999999</v>
      </c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spans="1:26" ht="25" customHeight="1" x14ac:dyDescent="0.15">
      <c r="A9" s="143" t="str">
        <f>'Tariffs 2022'!F3</f>
        <v>Covau</v>
      </c>
      <c r="B9" s="24" t="str">
        <f>'Tariffs 2022'!D3</f>
        <v>Jemena Coastal Network</v>
      </c>
      <c r="C9" s="144">
        <f>'Tariffs 2022'!E3</f>
        <v>43281</v>
      </c>
      <c r="D9" s="30">
        <f>60*'Tariffs 2022'!H3/100</f>
        <v>40.200000000000003</v>
      </c>
      <c r="E9" s="30">
        <f>IF($C$5&gt;='Tariffs 2022'!J3,('Tariffs 2022'!J3*'Tariffs 2022'!O3/100),($C$5*'Tariffs 2022'!O3/100))</f>
        <v>66.436363636363637</v>
      </c>
      <c r="F9" s="30">
        <f>IF($C$5&lt;'Tariffs 2022'!J3,0,IF(($C$5-'Tariffs 2022'!J3)&lt;='Tariffs 2022'!K3,(($C$5-'Tariffs 2022'!J3)*'Tariffs 2022'!P3/100),(('Tariffs 2022'!K3-'Tariffs 2022'!J3)*'Tariffs 2022'!P3/100)))</f>
        <v>53.127272727272718</v>
      </c>
      <c r="G9" s="30">
        <f>IF($C$5&lt;'Tariffs 2022'!K3,0,IF(($C$5-'Tariffs 2022'!K3)&lt;='Tariffs 2022'!L3,(($C$5-'Tariffs 2022'!K3)*'Tariffs 2022'!Q3/100),(('Tariffs 2022'!L3-'Tariffs 2022'!K3)*'Tariffs 2022'!Q3/100)))</f>
        <v>68.8</v>
      </c>
      <c r="H9" s="30">
        <f>IF($C$5&lt;'Tariffs 2022'!L3,0,IF(($C$5-'Tariffs 2022'!L3)&lt;='Tariffs 2022'!M3,(($C$5-'Tariffs 2022'!L3)*'Tariffs 2022'!R3/100),(('Tariffs 2022'!M3-'Tariffs 2022'!L3)*'Tariffs 2022'!R3/100)))</f>
        <v>0</v>
      </c>
      <c r="I9" s="30">
        <f>IF($C$5&lt;'Tariffs 2022'!M3,0,IF(($C$5-'Tariffs 2022'!M3)&lt;='Tariffs 2022'!N3,(($C$5-'Tariffs 2022'!M3)*'Tariffs 2022'!S3/100),(('Tariffs 2022'!N3-'Tariffs 2022'!M3)*'Tariffs 2022'!S3/100)))</f>
        <v>0</v>
      </c>
      <c r="J9" s="30">
        <f>IF(($C$5&lt;'Tariffs 2022'!N3),(0),($C$5-'Tariffs 2022'!N3)*'Tariffs 2022'!T3/100)</f>
        <v>0</v>
      </c>
      <c r="K9" s="30">
        <f t="shared" ref="K9:K24" si="0">SUM(D9:J9)</f>
        <v>228.56363636363636</v>
      </c>
      <c r="L9" s="229">
        <f t="shared" ref="L9:L24" si="1">K9*6</f>
        <v>1371.3818181818183</v>
      </c>
      <c r="M9" s="145">
        <f t="shared" ref="M9:M43" si="2">L9*1.1</f>
        <v>1508.5200000000002</v>
      </c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spans="1:26" ht="25" customHeight="1" x14ac:dyDescent="0.15">
      <c r="A10" s="143" t="str">
        <f>'Tariffs 2022'!F4</f>
        <v>Alinta Energy</v>
      </c>
      <c r="B10" s="24" t="str">
        <f>'Tariffs 2022'!D4</f>
        <v>Jemena Coastal Network</v>
      </c>
      <c r="C10" s="144">
        <f>'Tariffs 2022'!E4</f>
        <v>43281</v>
      </c>
      <c r="D10" s="30">
        <f>60*'Tariffs 2022'!H4/100</f>
        <v>35.46</v>
      </c>
      <c r="E10" s="30">
        <f>IF($C$5&gt;='Tariffs 2022'!J4,('Tariffs 2022'!J4*'Tariffs 2022'!O4/100),($C$5*'Tariffs 2022'!O4/100))</f>
        <v>53.236363636363627</v>
      </c>
      <c r="F10" s="30">
        <f>IF($C$5&lt;'Tariffs 2022'!J4,0,IF(($C$5-'Tariffs 2022'!J4)&lt;='Tariffs 2022'!K4,(($C$5-'Tariffs 2022'!J4)*'Tariffs 2022'!P4/100),(('Tariffs 2022'!K4-'Tariffs 2022'!J4)*'Tariffs 2022'!P4/100)))</f>
        <v>35.236363636363627</v>
      </c>
      <c r="G10" s="30">
        <f>IF($C$5&lt;'Tariffs 2022'!K4,0,IF(($C$5-'Tariffs 2022'!K4)&lt;='Tariffs 2022'!L4,(($C$5-'Tariffs 2022'!K4)*'Tariffs 2022'!Q4/100),(('Tariffs 2022'!L4-'Tariffs 2022'!K4)*'Tariffs 2022'!Q4/100)))</f>
        <v>44.072727272727263</v>
      </c>
      <c r="H10" s="30">
        <v>0</v>
      </c>
      <c r="I10" s="30">
        <v>0</v>
      </c>
      <c r="J10" s="30">
        <f>IF(($C$5&lt;'Tariffs 2022'!N4),(0),($C$5-'Tariffs 2022'!N4)*'Tariffs 2022'!R4/100)</f>
        <v>0</v>
      </c>
      <c r="K10" s="30">
        <f t="shared" si="0"/>
        <v>168.00545454545451</v>
      </c>
      <c r="L10" s="229">
        <f t="shared" si="1"/>
        <v>1008.032727272727</v>
      </c>
      <c r="M10" s="145">
        <f t="shared" si="2"/>
        <v>1108.8359999999998</v>
      </c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spans="1:26" ht="25" customHeight="1" x14ac:dyDescent="0.15">
      <c r="A11" s="143" t="str">
        <f>'Tariffs 2022'!F5</f>
        <v>EnergyAustralia</v>
      </c>
      <c r="B11" s="24" t="str">
        <f>'Tariffs 2022'!D5</f>
        <v>Jemena Coastal Network</v>
      </c>
      <c r="C11" s="144">
        <f>'Tariffs 2022'!E5</f>
        <v>43281</v>
      </c>
      <c r="D11" s="30">
        <f>60*'Tariffs 2022'!H5/100</f>
        <v>40.063636363636363</v>
      </c>
      <c r="E11" s="30">
        <f>IF($C$5&gt;='Tariffs 2022'!J5,('Tariffs 2022'!J5*'Tariffs 2022'!O5/100),($C$5*'Tariffs 2022'!O5/100))</f>
        <v>48.218181818181812</v>
      </c>
      <c r="F11" s="30">
        <f>IF($C$5&lt;'Tariffs 2022'!J5,0,IF(($C$5-'Tariffs 2022'!J5)&lt;='Tariffs 2022'!K5,(($C$5-'Tariffs 2022'!J5)*'Tariffs 2022'!P5/100),(('Tariffs 2022'!K5-'Tariffs 2022'!J5)*'Tariffs 2022'!P5/100)))</f>
        <v>33.927272727272722</v>
      </c>
      <c r="G11" s="30">
        <f>IF($C$5&lt;'Tariffs 2022'!K5,0,IF(($C$5-'Tariffs 2022'!K5)&lt;='Tariffs 2022'!L5,(($C$5-'Tariffs 2022'!K5)*'Tariffs 2022'!Q5/100),(('Tariffs 2022'!L5-'Tariffs 2022'!K5)*'Tariffs 2022'!Q5/100)))</f>
        <v>43.345454545454544</v>
      </c>
      <c r="H11" s="30">
        <v>0</v>
      </c>
      <c r="I11" s="30">
        <v>0</v>
      </c>
      <c r="J11" s="30">
        <f>IF(($C$5&lt;'Tariffs 2022'!N5),(0),($C$5-'Tariffs 2022'!N5)*'Tariffs 2022'!R5/100)</f>
        <v>0</v>
      </c>
      <c r="K11" s="30">
        <f t="shared" si="0"/>
        <v>165.55454545454546</v>
      </c>
      <c r="L11" s="229">
        <f t="shared" si="1"/>
        <v>993.32727272727277</v>
      </c>
      <c r="M11" s="145">
        <f t="shared" si="2"/>
        <v>1092.6600000000001</v>
      </c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</row>
    <row r="12" spans="1:26" ht="25" customHeight="1" x14ac:dyDescent="0.15">
      <c r="A12" s="143" t="str">
        <f>'Tariffs 2022'!F6</f>
        <v>Origin Energy</v>
      </c>
      <c r="B12" s="24" t="str">
        <f>'Tariffs 2022'!D6</f>
        <v>Jemena Coastal Network</v>
      </c>
      <c r="C12" s="144">
        <f>'Tariffs 2022'!E6</f>
        <v>43281</v>
      </c>
      <c r="D12" s="30">
        <f>60*'Tariffs 2022'!H6/100</f>
        <v>40.412727272727274</v>
      </c>
      <c r="E12" s="30">
        <f>IF($C$5&gt;='Tariffs 2022'!J6,('Tariffs 2022'!J6*'Tariffs 2022'!O6/100),($C$5*'Tariffs 2022'!O6/100))</f>
        <v>48.872727272727282</v>
      </c>
      <c r="F12" s="30">
        <f>IF($C$5&lt;'Tariffs 2022'!J6,0,IF(($C$5-'Tariffs 2022'!J6)&lt;='Tariffs 2022'!K6,(($C$5-'Tariffs 2022'!J6)*'Tariffs 2022'!P6/100),(('Tariffs 2022'!K6-'Tariffs 2022'!J6)*'Tariffs 2022'!P6/100)))</f>
        <v>75.090909090909093</v>
      </c>
      <c r="G12" s="30">
        <f>IF($C$5&lt;'Tariffs 2022'!K6,0,IF(($C$5-'Tariffs 2022'!K6)&lt;='Tariffs 2022'!L6,(($C$5-'Tariffs 2022'!K6)*'Tariffs 2022'!Q6/100),(('Tariffs 2022'!L6-'Tariffs 2022'!K6)*'Tariffs 2022'!Q6/100)))</f>
        <v>0</v>
      </c>
      <c r="H12" s="30">
        <v>0</v>
      </c>
      <c r="I12" s="30">
        <v>0</v>
      </c>
      <c r="J12" s="30">
        <f>IF(($C$5&lt;'Tariffs 2022'!N6),(0),($C$5-'Tariffs 2022'!N6)*'Tariffs 2022'!R6/100)</f>
        <v>0</v>
      </c>
      <c r="K12" s="30">
        <f t="shared" si="0"/>
        <v>164.37636363636364</v>
      </c>
      <c r="L12" s="229">
        <f t="shared" si="1"/>
        <v>986.25818181818181</v>
      </c>
      <c r="M12" s="145">
        <f t="shared" si="2"/>
        <v>1084.884</v>
      </c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spans="1:26" ht="25" customHeight="1" x14ac:dyDescent="0.15">
      <c r="A13" s="143" t="str">
        <f>'Tariffs 2022'!F7</f>
        <v>Red Energy</v>
      </c>
      <c r="B13" s="24" t="str">
        <f>'Tariffs 2022'!D7</f>
        <v>Jemena Coastal Network</v>
      </c>
      <c r="C13" s="144">
        <f>'Tariffs 2022'!E7</f>
        <v>43281</v>
      </c>
      <c r="D13" s="30">
        <f>60*'Tariffs 2022'!H7/100</f>
        <v>40.79999999999999</v>
      </c>
      <c r="E13" s="30">
        <f>IF($C$5&gt;='Tariffs 2022'!J7,('Tariffs 2022'!J7*'Tariffs 2022'!O7/100),($C$5*'Tariffs 2022'!O7/100))</f>
        <v>50.4</v>
      </c>
      <c r="F13" s="30">
        <f>IF($C$5&lt;'Tariffs 2022'!J7,0,IF(($C$5-'Tariffs 2022'!J7)&lt;='Tariffs 2022'!K7,(($C$5-'Tariffs 2022'!J7)*'Tariffs 2022'!P7/100),(('Tariffs 2022'!K7-'Tariffs 2022'!J7)*'Tariffs 2022'!P7/100)))</f>
        <v>35.999999999999993</v>
      </c>
      <c r="G13" s="30">
        <f>IF($C$5&lt;'Tariffs 2022'!K7,0,IF(($C$5-'Tariffs 2022'!K7)&lt;='Tariffs 2022'!L7,(($C$5-'Tariffs 2022'!K7)*'Tariffs 2022'!Q7/100),(('Tariffs 2022'!L7-'Tariffs 2022'!K7)*'Tariffs 2022'!Q7/100)))</f>
        <v>43.781818181818174</v>
      </c>
      <c r="H13" s="30">
        <v>0</v>
      </c>
      <c r="I13" s="30">
        <v>0</v>
      </c>
      <c r="J13" s="30">
        <f>IF(($C$5&lt;'Tariffs 2022'!N7),(0),($C$5-'Tariffs 2022'!N7)*'Tariffs 2022'!R7/100)</f>
        <v>0</v>
      </c>
      <c r="K13" s="30">
        <f t="shared" si="0"/>
        <v>170.98181818181817</v>
      </c>
      <c r="L13" s="229">
        <f t="shared" si="1"/>
        <v>1025.890909090909</v>
      </c>
      <c r="M13" s="145">
        <f t="shared" si="2"/>
        <v>1128.48</v>
      </c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spans="1:26" ht="25" customHeight="1" x14ac:dyDescent="0.15">
      <c r="A14" s="143" t="str">
        <f>'Tariffs 2022'!F8</f>
        <v>Simply Energy</v>
      </c>
      <c r="B14" s="24" t="str">
        <f>'Tariffs 2022'!D8</f>
        <v>Jemena Coastal Network</v>
      </c>
      <c r="C14" s="144">
        <f>'Tariffs 2022'!E8</f>
        <v>43281</v>
      </c>
      <c r="D14" s="30">
        <f>60*'Tariffs 2022'!H8/100</f>
        <v>31.799999999999997</v>
      </c>
      <c r="E14" s="30">
        <f>IF($C$5&gt;='Tariffs 2022'!J8,('Tariffs 2022'!J8*'Tariffs 2022'!O8/100),($C$5*'Tariffs 2022'!O8/100))</f>
        <v>60.98181818181817</v>
      </c>
      <c r="F14" s="30">
        <f>IF($C$5&lt;'Tariffs 2022'!J8,0,IF(($C$5-'Tariffs 2022'!J8)&lt;='Tariffs 2022'!K8,(($C$5-'Tariffs 2022'!J8)*'Tariffs 2022'!P8/100),(('Tariffs 2022'!K8-'Tariffs 2022'!J8)*'Tariffs 2022'!P8/100)))</f>
        <v>40.581818181818178</v>
      </c>
      <c r="G14" s="30">
        <f>IF($C$5&lt;'Tariffs 2022'!K8,0,IF(($C$5-'Tariffs 2022'!K8)&lt;='Tariffs 2022'!L8,(($C$5-'Tariffs 2022'!K8)*'Tariffs 2022'!Q8/100),(('Tariffs 2022'!L8-'Tariffs 2022'!K8)*'Tariffs 2022'!Q8/100)))</f>
        <v>50.036363636363632</v>
      </c>
      <c r="H14" s="30">
        <v>0</v>
      </c>
      <c r="I14" s="30">
        <v>0</v>
      </c>
      <c r="J14" s="30">
        <f>IF(($C$5&lt;'Tariffs 2022'!N8),(0),($C$5-'Tariffs 2022'!N8)*'Tariffs 2022'!R8/100)</f>
        <v>0</v>
      </c>
      <c r="K14" s="30">
        <f t="shared" si="0"/>
        <v>183.39999999999998</v>
      </c>
      <c r="L14" s="229">
        <f t="shared" si="1"/>
        <v>1100.3999999999999</v>
      </c>
      <c r="M14" s="145">
        <f t="shared" si="2"/>
        <v>1210.44</v>
      </c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spans="1:26" ht="25" customHeight="1" x14ac:dyDescent="0.15">
      <c r="A15" s="143" t="str">
        <f>'Tariffs 2022'!F9</f>
        <v>Discover Energy</v>
      </c>
      <c r="B15" s="24" t="str">
        <f>'Tariffs 2022'!D9</f>
        <v>Jemena Coastal Network</v>
      </c>
      <c r="C15" s="144">
        <f>'Tariffs 2022'!E9</f>
        <v>43281</v>
      </c>
      <c r="D15" s="30">
        <f>60*'Tariffs 2022'!H9/100</f>
        <v>32.18181818181818</v>
      </c>
      <c r="E15" s="30">
        <f>IF($C$5&gt;='Tariffs 2022'!J9,('Tariffs 2022'!J9*'Tariffs 2022'!O9/100),($C$5*'Tariffs 2022'!O9/100))</f>
        <v>86.181818181818187</v>
      </c>
      <c r="F15" s="30">
        <f>IF($C$5&lt;'Tariffs 2022'!J9,0,IF(($C$5-'Tariffs 2022'!J9)&lt;='Tariffs 2022'!K9,(($C$5-'Tariffs 2022'!J9)*'Tariffs 2022'!P9/100),(('Tariffs 2022'!K9-'Tariffs 2022'!J9)*'Tariffs 2022'!P9/100)))</f>
        <v>71.999999999999986</v>
      </c>
      <c r="G15" s="30">
        <f>IF($C$5&lt;'Tariffs 2022'!K9,0,IF(($C$5-'Tariffs 2022'!K9)&lt;='Tariffs 2022'!L9,(($C$5-'Tariffs 2022'!K9)*'Tariffs 2022'!Q9/100),(('Tariffs 2022'!L9-'Tariffs 2022'!K9)*'Tariffs 2022'!Q9/100)))</f>
        <v>95.563636363636363</v>
      </c>
      <c r="H15" s="30">
        <v>0</v>
      </c>
      <c r="I15" s="30">
        <v>0</v>
      </c>
      <c r="J15" s="30">
        <f>IF(($C$5&lt;'Tariffs 2022'!N9),(0),($C$5-'Tariffs 2022'!N9)*'Tariffs 2022'!R9/100)</f>
        <v>0</v>
      </c>
      <c r="K15" s="30">
        <f t="shared" si="0"/>
        <v>285.92727272727274</v>
      </c>
      <c r="L15" s="229">
        <f t="shared" si="1"/>
        <v>1715.5636363636363</v>
      </c>
      <c r="M15" s="145">
        <f t="shared" si="2"/>
        <v>1887.1200000000001</v>
      </c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spans="1:26" ht="25" customHeight="1" x14ac:dyDescent="0.15">
      <c r="A16" s="143" t="str">
        <f>'Tariffs 2022'!F10</f>
        <v>Dodo Power &amp; Gas</v>
      </c>
      <c r="B16" s="24" t="str">
        <f>'Tariffs 2022'!D10</f>
        <v>Jemena Coastal Network</v>
      </c>
      <c r="C16" s="144">
        <f>'Tariffs 2022'!E10</f>
        <v>43281</v>
      </c>
      <c r="D16" s="30">
        <f>60*'Tariffs 2022'!H10/100</f>
        <v>37.952727272727273</v>
      </c>
      <c r="E16" s="30">
        <f>IF($C$5&gt;='Tariffs 2022'!J10,('Tariffs 2022'!J10*'Tariffs 2022'!O10/100),($C$5*'Tariffs 2022'!O10/100))</f>
        <v>58.036363636363632</v>
      </c>
      <c r="F16" s="30">
        <f>IF($C$5&lt;'Tariffs 2022'!J10,0,IF(($C$5-'Tariffs 2022'!J10)&lt;='Tariffs 2022'!K10,(($C$5-'Tariffs 2022'!J10)*'Tariffs 2022'!P10/100),(('Tariffs 2022'!K10-'Tariffs 2022'!J10)*'Tariffs 2022'!P10/100)))</f>
        <v>35.672727272727272</v>
      </c>
      <c r="G16" s="30">
        <f>IF($C$5&lt;'Tariffs 2022'!K10,0,IF(($C$5-'Tariffs 2022'!K10)&lt;='Tariffs 2022'!L10,(($C$5-'Tariffs 2022'!K10)*'Tariffs 2022'!Q10/100),(('Tariffs 2022'!L10-'Tariffs 2022'!K10)*'Tariffs 2022'!Q10/100)))</f>
        <v>46.690909090909088</v>
      </c>
      <c r="H16" s="30">
        <v>0</v>
      </c>
      <c r="I16" s="30">
        <v>0</v>
      </c>
      <c r="J16" s="30">
        <f>IF(($C$5&lt;'Tariffs 2022'!N10),(0),($C$5-'Tariffs 2022'!N10)*'Tariffs 2022'!R10/100)</f>
        <v>0</v>
      </c>
      <c r="K16" s="30">
        <f t="shared" si="0"/>
        <v>178.35272727272726</v>
      </c>
      <c r="L16" s="229">
        <f t="shared" si="1"/>
        <v>1070.1163636363635</v>
      </c>
      <c r="M16" s="145">
        <f t="shared" si="2"/>
        <v>1177.1279999999999</v>
      </c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</row>
    <row r="17" spans="1:26" ht="25" customHeight="1" x14ac:dyDescent="0.15">
      <c r="A17" s="143" t="str">
        <f>'Tariffs 2022'!F11</f>
        <v>Sumo Power</v>
      </c>
      <c r="B17" s="24" t="str">
        <f>'Tariffs 2022'!D11</f>
        <v>Jemena Coastal Network</v>
      </c>
      <c r="C17" s="144">
        <f>'Tariffs 2022'!E11</f>
        <v>43198</v>
      </c>
      <c r="D17" s="30">
        <f>60*'Tariffs 2022'!H11/100</f>
        <v>48</v>
      </c>
      <c r="E17" s="30">
        <f>IF($C$5&gt;='Tariffs 2022'!J11,('Tariffs 2022'!J11*'Tariffs 2022'!O11/100),($C$5*'Tariffs 2022'!O11/100))</f>
        <v>48</v>
      </c>
      <c r="F17" s="30">
        <f>IF($C$5&lt;'Tariffs 2022'!J11,0,IF(($C$5-'Tariffs 2022'!J11)&lt;='Tariffs 2022'!K11,(($C$5-'Tariffs 2022'!J11)*'Tariffs 2022'!P11/100),(('Tariffs 2022'!K11-'Tariffs 2022'!J11)*'Tariffs 2022'!P11/100)))</f>
        <v>33.6</v>
      </c>
      <c r="G17" s="30">
        <f>IF($C$5&lt;'Tariffs 2022'!K11,0,IF(($C$5-'Tariffs 2022'!K11)&lt;='Tariffs 2022'!L11,(($C$5-'Tariffs 2022'!K11)*'Tariffs 2022'!Q11/100),(('Tariffs 2022'!L11-'Tariffs 2022'!K11)*'Tariffs 2022'!Q11/100)))</f>
        <v>41.599999999999994</v>
      </c>
      <c r="H17" s="30">
        <v>0</v>
      </c>
      <c r="I17" s="30">
        <v>0</v>
      </c>
      <c r="J17" s="30">
        <f>IF(($C$5&lt;'Tariffs 2022'!N11),(0),($C$5-'Tariffs 2022'!N11)*'Tariffs 2022'!R11/100)</f>
        <v>0</v>
      </c>
      <c r="K17" s="30">
        <f t="shared" si="0"/>
        <v>171.2</v>
      </c>
      <c r="L17" s="229">
        <f t="shared" si="1"/>
        <v>1027.1999999999998</v>
      </c>
      <c r="M17" s="145">
        <f t="shared" si="2"/>
        <v>1129.9199999999998</v>
      </c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</row>
    <row r="18" spans="1:26" ht="25" customHeight="1" thickBot="1" x14ac:dyDescent="0.2">
      <c r="A18" s="176" t="str">
        <f>'Tariffs 2022'!F12</f>
        <v>GloBird</v>
      </c>
      <c r="B18" s="177" t="str">
        <f>'Tariffs 2022'!D12</f>
        <v>Jemena Coastal Network</v>
      </c>
      <c r="C18" s="178">
        <f>'Tariffs 2022'!E12</f>
        <v>43281</v>
      </c>
      <c r="D18" s="179">
        <f>60*'Tariffs 2022'!H12/100</f>
        <v>37.200000000000003</v>
      </c>
      <c r="E18" s="179">
        <f>IF($C$5&gt;='Tariffs 2022'!J12,('Tariffs 2022'!J12*'Tariffs 2022'!O12/100),($C$5*'Tariffs 2022'!O12/100))</f>
        <v>83.027999999999992</v>
      </c>
      <c r="F18" s="179">
        <f>IF($C$5&lt;'Tariffs 2022'!J12,0,IF(($C$5-'Tariffs 2022'!J12)&lt;='Tariffs 2022'!K12,(($C$5-'Tariffs 2022'!J12)*'Tariffs 2022'!P12/100),(('Tariffs 2022'!K12-'Tariffs 2022'!J12)*'Tariffs 2022'!P12/100)))</f>
        <v>0</v>
      </c>
      <c r="G18" s="179">
        <f>IF($C$5&lt;'Tariffs 2022'!K12,0,IF(($C$5-'Tariffs 2022'!K12)&lt;='Tariffs 2022'!L12,(($C$5-'Tariffs 2022'!K12)*'Tariffs 2022'!Q12/100),(('Tariffs 2022'!L12-'Tariffs 2022'!K12)*'Tariffs 2022'!Q12/100)))</f>
        <v>0</v>
      </c>
      <c r="H18" s="179">
        <v>0</v>
      </c>
      <c r="I18" s="179">
        <v>0</v>
      </c>
      <c r="J18" s="179">
        <f>IF(($C$5&lt;'Tariffs 2022'!N12),(0),($C$5-'Tariffs 2022'!N12)*'Tariffs 2022'!R12/100)</f>
        <v>164.51999999999995</v>
      </c>
      <c r="K18" s="179">
        <f t="shared" si="0"/>
        <v>284.74799999999993</v>
      </c>
      <c r="L18" s="230">
        <f t="shared" si="1"/>
        <v>1708.4879999999996</v>
      </c>
      <c r="M18" s="181">
        <f t="shared" si="2"/>
        <v>1879.3367999999998</v>
      </c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</row>
    <row r="19" spans="1:26" ht="25" customHeight="1" thickTop="1" x14ac:dyDescent="0.15">
      <c r="A19" s="143" t="str">
        <f>'Tariffs 2022'!F13</f>
        <v>ActewAGL</v>
      </c>
      <c r="B19" s="24" t="str">
        <f>'Tariffs 2022'!D13</f>
        <v>Jemena Capital Region</v>
      </c>
      <c r="C19" s="144">
        <f>'Tariffs 2022'!E13</f>
        <v>43281</v>
      </c>
      <c r="D19" s="30">
        <f>60*'Tariffs 2022'!H13/100</f>
        <v>35.252727272727263</v>
      </c>
      <c r="E19" s="30">
        <f>IF($C$5&gt;='Tariffs 2022'!J13,('Tariffs 2022'!J13*'Tariffs 2022'!O13/100),($C$5*'Tariffs 2022'!O13/100))</f>
        <v>46.690909090909088</v>
      </c>
      <c r="F19" s="30">
        <f>IF($C$5&lt;'Tariffs 2022'!J13,0,IF(($C$5-'Tariffs 2022'!J13)&lt;='Tariffs 2022'!K13,(($C$5-'Tariffs 2022'!J13)*'Tariffs 2022'!P13/100),(('Tariffs 2022'!K13-'Tariffs 2022'!J13)*'Tariffs 2022'!P13/100)))</f>
        <v>32.618181818181817</v>
      </c>
      <c r="G19" s="30">
        <f>IF($C$5&lt;'Tariffs 2022'!K13,0,IF(($C$5-'Tariffs 2022'!K13)&lt;='Tariffs 2022'!L13,(($C$5-'Tariffs 2022'!K13)*'Tariffs 2022'!Q13/100),(('Tariffs 2022'!L13-'Tariffs 2022'!K13)*'Tariffs 2022'!Q13/100)))</f>
        <v>42.909090909090907</v>
      </c>
      <c r="H19" s="30">
        <v>0</v>
      </c>
      <c r="I19" s="30">
        <v>0</v>
      </c>
      <c r="J19" s="30">
        <f>IF(($C$5&lt;'Tariffs 2022'!N13),(0),($C$5-'Tariffs 2022'!N13)*'Tariffs 2022'!R13/100)</f>
        <v>0</v>
      </c>
      <c r="K19" s="30">
        <f t="shared" si="0"/>
        <v>157.47090909090909</v>
      </c>
      <c r="L19" s="229">
        <f t="shared" si="1"/>
        <v>944.82545454545448</v>
      </c>
      <c r="M19" s="145">
        <f t="shared" si="2"/>
        <v>1039.308</v>
      </c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</row>
    <row r="20" spans="1:26" ht="25" customHeight="1" thickBot="1" x14ac:dyDescent="0.2">
      <c r="A20" s="176" t="str">
        <f>'Tariffs 2022'!F14</f>
        <v>EnergyAustralia</v>
      </c>
      <c r="B20" s="177" t="str">
        <f>'Tariffs 2022'!D14</f>
        <v>Jemena Capital Region</v>
      </c>
      <c r="C20" s="178">
        <f>'Tariffs 2022'!E14</f>
        <v>43281</v>
      </c>
      <c r="D20" s="179">
        <f>60*'Tariffs 2022'!H14/100</f>
        <v>40.063636363636363</v>
      </c>
      <c r="E20" s="179">
        <f>IF($C$5&gt;='Tariffs 2022'!J14,('Tariffs 2022'!J14*'Tariffs 2022'!O14/100),($C$5*'Tariffs 2022'!O14/100))</f>
        <v>48.218181818181812</v>
      </c>
      <c r="F20" s="179">
        <f>IF($C$5&lt;'Tariffs 2022'!J14,0,IF(($C$5-'Tariffs 2022'!J14)&lt;='Tariffs 2022'!K14,(($C$5-'Tariffs 2022'!J14)*'Tariffs 2022'!P14/100),(('Tariffs 2022'!K14-'Tariffs 2022'!J14)*'Tariffs 2022'!P14/100)))</f>
        <v>34.036363636363632</v>
      </c>
      <c r="G20" s="179">
        <f>IF($C$5&lt;'Tariffs 2022'!K14,0,IF(($C$5-'Tariffs 2022'!K14)&lt;='Tariffs 2022'!L14,(($C$5-'Tariffs 2022'!K14)*'Tariffs 2022'!Q14/100),(('Tariffs 2022'!L14-'Tariffs 2022'!K14)*'Tariffs 2022'!Q14/100)))</f>
        <v>43.345454545454544</v>
      </c>
      <c r="H20" s="179">
        <v>0</v>
      </c>
      <c r="I20" s="179">
        <v>0</v>
      </c>
      <c r="J20" s="179">
        <f>IF(($C$5&lt;'Tariffs 2022'!N14),(0),($C$5-'Tariffs 2022'!N14)*'Tariffs 2022'!R14/100)</f>
        <v>0</v>
      </c>
      <c r="K20" s="179">
        <f t="shared" si="0"/>
        <v>165.66363636363636</v>
      </c>
      <c r="L20" s="230">
        <f t="shared" si="1"/>
        <v>993.9818181818182</v>
      </c>
      <c r="M20" s="181">
        <f t="shared" si="2"/>
        <v>1093.3800000000001</v>
      </c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</row>
    <row r="21" spans="1:26" ht="25" customHeight="1" thickTop="1" x14ac:dyDescent="0.15">
      <c r="A21" s="143" t="str">
        <f>'Tariffs 2022'!F15</f>
        <v>ActewAGL</v>
      </c>
      <c r="B21" s="24" t="str">
        <f>'Tariffs 2022'!D15</f>
        <v xml:space="preserve">Evoenergy Queanbeyan </v>
      </c>
      <c r="C21" s="144">
        <f>'Tariffs 2022'!E15</f>
        <v>43281</v>
      </c>
      <c r="D21" s="30">
        <f>60*'Tariffs 2022'!H15/100</f>
        <v>45.599999999999994</v>
      </c>
      <c r="E21" s="30">
        <f>IF($C$5&gt;='Tariffs 2022'!J15,('Tariffs 2022'!J15*'Tariffs 2022'!O15/100),($C$5*'Tariffs 2022'!O15/100))</f>
        <v>84.981818181818184</v>
      </c>
      <c r="F21" s="30">
        <f>IF($C$5&lt;'Tariffs 2022'!J15,0,IF(($C$5-'Tariffs 2022'!J15)&lt;='Tariffs 2022'!K15,(($C$5-'Tariffs 2022'!J15)*'Tariffs 2022'!P15/100),(('Tariffs 2022'!K15-'Tariffs 2022'!J15)*'Tariffs 2022'!P15/100)))</f>
        <v>43.12</v>
      </c>
      <c r="G21" s="30">
        <f>IF($C$5&lt;'Tariffs 2022'!K15,0,IF(($C$5-'Tariffs 2022'!K15)&lt;='Tariffs 2022'!L15,(($C$5-'Tariffs 2022'!K15)*'Tariffs 2022'!Q15/100),(('Tariffs 2022'!L15-'Tariffs 2022'!K15)*'Tariffs 2022'!Q15/100)))</f>
        <v>0</v>
      </c>
      <c r="H21" s="30">
        <v>0</v>
      </c>
      <c r="I21" s="30">
        <v>0</v>
      </c>
      <c r="J21" s="30">
        <f>IF(($C$5&lt;'Tariffs 2022'!N15),(0),($C$5-'Tariffs 2022'!N15)*'Tariffs 2022'!R15/100)</f>
        <v>0</v>
      </c>
      <c r="K21" s="30">
        <f t="shared" si="0"/>
        <v>173.70181818181817</v>
      </c>
      <c r="L21" s="229">
        <f t="shared" si="1"/>
        <v>1042.2109090909089</v>
      </c>
      <c r="M21" s="145">
        <f t="shared" si="2"/>
        <v>1146.4319999999998</v>
      </c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spans="1:26" ht="25" customHeight="1" thickBot="1" x14ac:dyDescent="0.2">
      <c r="A22" s="176" t="str">
        <f>'Tariffs 2022'!F16</f>
        <v>EnergyAustralia</v>
      </c>
      <c r="B22" s="177" t="str">
        <f>'Tariffs 2022'!D16</f>
        <v xml:space="preserve">Evoenergy Queanbeyan </v>
      </c>
      <c r="C22" s="178">
        <f>'Tariffs 2022'!E16</f>
        <v>43281</v>
      </c>
      <c r="D22" s="179">
        <f>60*'Tariffs 2022'!H16/100</f>
        <v>48.703636363636363</v>
      </c>
      <c r="E22" s="179">
        <f>IF($C$5&gt;='Tariffs 2022'!J16,('Tariffs 2022'!J16*'Tariffs 2022'!O16/100),($C$5*'Tariffs 2022'!O16/100))</f>
        <v>82.521818181818162</v>
      </c>
      <c r="F22" s="179">
        <f>IF($C$5&lt;'Tariffs 2022'!J16,0,IF(($C$5-'Tariffs 2022'!J16)&lt;='Tariffs 2022'!K16,(($C$5-'Tariffs 2022'!J16)*'Tariffs 2022'!P16/100),(('Tariffs 2022'!K16-'Tariffs 2022'!J16)*'Tariffs 2022'!P16/100)))</f>
        <v>46.61999999999999</v>
      </c>
      <c r="G22" s="179">
        <f>IF($C$5&lt;'Tariffs 2022'!K16,0,IF(($C$5-'Tariffs 2022'!K16)&lt;='Tariffs 2022'!L16,(($C$5-'Tariffs 2022'!K16)*'Tariffs 2022'!Q16/100),(('Tariffs 2022'!L16-'Tariffs 2022'!K16)*'Tariffs 2022'!Q16/100)))</f>
        <v>0</v>
      </c>
      <c r="H22" s="179">
        <v>0</v>
      </c>
      <c r="I22" s="179">
        <v>0</v>
      </c>
      <c r="J22" s="179">
        <f>IF(($C$5&lt;'Tariffs 2022'!N16),(0),($C$5-'Tariffs 2022'!N16)*'Tariffs 2022'!R16/100)</f>
        <v>0</v>
      </c>
      <c r="K22" s="179">
        <f t="shared" si="0"/>
        <v>177.84545454545452</v>
      </c>
      <c r="L22" s="230">
        <f t="shared" si="1"/>
        <v>1067.0727272727272</v>
      </c>
      <c r="M22" s="181">
        <f t="shared" si="2"/>
        <v>1173.78</v>
      </c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</row>
    <row r="23" spans="1:26" ht="25" customHeight="1" thickTop="1" thickBot="1" x14ac:dyDescent="0.2">
      <c r="A23" s="182" t="str">
        <f>'Tariffs 2022'!F17</f>
        <v>ActewAGL</v>
      </c>
      <c r="B23" s="183" t="str">
        <f>'Tariffs 2022'!D17</f>
        <v>Evoenergy Shoalhaven</v>
      </c>
      <c r="C23" s="184">
        <f>'Tariffs 2022'!E17</f>
        <v>43281</v>
      </c>
      <c r="D23" s="185">
        <f>60*'Tariffs 2022'!H17/100</f>
        <v>53.58</v>
      </c>
      <c r="E23" s="185">
        <f>C5*'Tariffs 2022'!O17/100</f>
        <v>127.99999999999999</v>
      </c>
      <c r="F23" s="185">
        <v>0</v>
      </c>
      <c r="G23" s="185">
        <v>0</v>
      </c>
      <c r="H23" s="185">
        <v>0</v>
      </c>
      <c r="I23" s="185">
        <v>0</v>
      </c>
      <c r="J23" s="185">
        <v>0</v>
      </c>
      <c r="K23" s="185">
        <f t="shared" si="0"/>
        <v>181.57999999999998</v>
      </c>
      <c r="L23" s="231">
        <f t="shared" si="1"/>
        <v>1089.48</v>
      </c>
      <c r="M23" s="187">
        <f t="shared" si="2"/>
        <v>1198.4280000000001</v>
      </c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</row>
    <row r="24" spans="1:26" ht="25" customHeight="1" thickTop="1" x14ac:dyDescent="0.15">
      <c r="A24" s="143" t="str">
        <f>'Tariffs 2022'!F18</f>
        <v>EnergyAustralia</v>
      </c>
      <c r="B24" s="24" t="str">
        <f>'Tariffs 2022'!D18</f>
        <v>AGN Albury</v>
      </c>
      <c r="C24" s="144">
        <f>'Tariffs 2022'!E18</f>
        <v>43281</v>
      </c>
      <c r="D24" s="30">
        <f>60*'Tariffs 2022'!H18/100</f>
        <v>49.483636363636357</v>
      </c>
      <c r="E24" s="30">
        <f>IF($C$5&gt;='Tariffs 2022'!J18,('Tariffs 2022'!J18*'Tariffs 2022'!O18/100),($C$5*'Tariffs 2022'!O18/100))</f>
        <v>107.63636363636363</v>
      </c>
      <c r="F24" s="30">
        <f>IF($C$5&lt;'Tariffs 2022'!J18,0,IF(($C$5-'Tariffs 2022'!J18)&lt;='Tariffs 2022'!K18,(($C$5-'Tariffs 2022'!J18)*'Tariffs 2022'!P18/100),(('Tariffs 2022'!K18-'Tariffs 2022'!J18)*'Tariffs 2022'!P18/100)))</f>
        <v>0</v>
      </c>
      <c r="G24" s="30">
        <f>IF($C$5&lt;'Tariffs 2022'!K18,0,IF(($C$5-'Tariffs 2022'!K18)&lt;='Tariffs 2022'!L18,(($C$5-'Tariffs 2022'!K18)*'Tariffs 2022'!Q18/100),(('Tariffs 2022'!L18-'Tariffs 2022'!K18)*'Tariffs 2022'!Q18/100)))</f>
        <v>0</v>
      </c>
      <c r="H24" s="30">
        <v>0</v>
      </c>
      <c r="I24" s="30">
        <v>0</v>
      </c>
      <c r="J24" s="30">
        <f>IF(($C$5&lt;'Tariffs 2022'!N18),(0),($C$5-'Tariffs 2022'!N18)*'Tariffs 2022'!R18/100)</f>
        <v>0</v>
      </c>
      <c r="K24" s="30">
        <f t="shared" si="0"/>
        <v>157.11999999999998</v>
      </c>
      <c r="L24" s="229">
        <f t="shared" si="1"/>
        <v>942.7199999999998</v>
      </c>
      <c r="M24" s="145">
        <f t="shared" si="2"/>
        <v>1036.992</v>
      </c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</row>
    <row r="25" spans="1:26" ht="25" customHeight="1" x14ac:dyDescent="0.15">
      <c r="A25" s="143" t="str">
        <f>'Tariffs 2022'!F19</f>
        <v>Origin Energy</v>
      </c>
      <c r="B25" s="24" t="str">
        <f>'Tariffs 2022'!D19</f>
        <v>AGN Albury</v>
      </c>
      <c r="C25" s="144">
        <f>'Tariffs 2022'!E19</f>
        <v>43281</v>
      </c>
      <c r="D25" s="30">
        <f>60*'Tariffs 2022'!H19/100</f>
        <v>39.343636363636364</v>
      </c>
      <c r="E25" s="30">
        <f>IF($C$5&gt;='Tariffs 2022'!J19,('Tariffs 2022'!J19*'Tariffs 2022'!O19/100),($C$5*'Tariffs 2022'!O19/100))</f>
        <v>44.55</v>
      </c>
      <c r="F25" s="30">
        <f>IF($C$5&lt;'Tariffs 2022'!J19,0,IF(($C$5-'Tariffs 2022'!J19)&lt;='Tariffs 2022'!K19,(($C$5-'Tariffs 2022'!J19)*'Tariffs 2022'!P19/100),(('Tariffs 2022'!K19-'Tariffs 2022'!J19)*'Tariffs 2022'!P19/100)))</f>
        <v>0</v>
      </c>
      <c r="G25" s="30">
        <f>IF($C$5&lt;'Tariffs 2022'!K19,0,IF(($C$5-'Tariffs 2022'!K19)&lt;='Tariffs 2022'!L19,(($C$5-'Tariffs 2022'!K19)*'Tariffs 2022'!Q19/100),(('Tariffs 2022'!L19-'Tariffs 2022'!K19)*'Tariffs 2022'!Q19/100)))</f>
        <v>0</v>
      </c>
      <c r="H25" s="30">
        <v>0</v>
      </c>
      <c r="I25" s="30">
        <v>0</v>
      </c>
      <c r="J25" s="30">
        <f>IF(($C$5&lt;'Tariffs 2022'!N19),(0),($C$5-'Tariffs 2022'!N19)*'Tariffs 2022'!R19/100)</f>
        <v>55.11818181818181</v>
      </c>
      <c r="K25" s="30">
        <f>SUM(D25:J25)</f>
        <v>139.01181818181817</v>
      </c>
      <c r="L25" s="229">
        <f>K25*6</f>
        <v>834.07090909090903</v>
      </c>
      <c r="M25" s="145">
        <f t="shared" si="2"/>
        <v>917.47799999999995</v>
      </c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</row>
    <row r="26" spans="1:26" ht="25" customHeight="1" x14ac:dyDescent="0.15">
      <c r="A26" s="143" t="str">
        <f>'Tariffs 2022'!F20</f>
        <v>AGL</v>
      </c>
      <c r="B26" s="24" t="str">
        <f>'Tariffs 2022'!D20</f>
        <v>AGN Albury</v>
      </c>
      <c r="C26" s="144">
        <f>'Tariffs 2022'!E20</f>
        <v>43284</v>
      </c>
      <c r="D26" s="30">
        <f>60*'Tariffs 2022'!H20/100</f>
        <v>41.929090909090903</v>
      </c>
      <c r="E26" s="30">
        <f>IF($C$5&gt;='Tariffs 2022'!J20,('Tariffs 2022'!J20*'Tariffs 2022'!O20/100),($C$5*'Tariffs 2022'!O20/100))</f>
        <v>39.749999999999993</v>
      </c>
      <c r="F26" s="30">
        <f>IF($C$5&lt;'Tariffs 2022'!J20,0,IF(($C$5-'Tariffs 2022'!J20)&gt;='Tariffs 2022'!K20,(($C$5-'Tariffs 2022'!J20)*'Tariffs 2022'!P20/100),(('Tariffs 2022'!K20-'Tariffs 2022'!J20)*'Tariffs 2022'!P20/100)))</f>
        <v>28.462727272727275</v>
      </c>
      <c r="G26" s="30">
        <f>IF($C$5&lt;'Tariffs 2022'!K20,0,IF(($C$5-'Tariffs 2022'!K20)&lt;='Tariffs 2022'!L20,(($C$5-'Tariffs 2022'!K20)*'Tariffs 2022'!Q20/100),(('Tariffs 2022'!L20-'Tariffs 2022'!K20)*'Tariffs 2022'!Q20/100)))</f>
        <v>21.461818181818181</v>
      </c>
      <c r="H26" s="30">
        <v>0</v>
      </c>
      <c r="I26" s="30">
        <v>0</v>
      </c>
      <c r="J26" s="30">
        <f>IF(($C$5&lt;'Tariffs 2022'!N20),(0),($C$5-'Tariffs 2022'!N20)*'Tariffs 2022'!R20/100)</f>
        <v>0</v>
      </c>
      <c r="K26" s="30">
        <f>SUM(D26:J26)</f>
        <v>131.60363636363635</v>
      </c>
      <c r="L26" s="229">
        <f>K26*6</f>
        <v>789.62181818181807</v>
      </c>
      <c r="M26" s="145">
        <f t="shared" si="2"/>
        <v>868.58399999999995</v>
      </c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</row>
    <row r="27" spans="1:26" ht="25" customHeight="1" thickBot="1" x14ac:dyDescent="0.2">
      <c r="A27" s="176" t="str">
        <f>'Tariffs 2022'!F21</f>
        <v>Red Energy</v>
      </c>
      <c r="B27" s="177" t="str">
        <f>'Tariffs 2022'!D21</f>
        <v>AGN Albury</v>
      </c>
      <c r="C27" s="178">
        <f>'Tariffs 2022'!E21</f>
        <v>43292</v>
      </c>
      <c r="D27" s="179">
        <f>60*'Tariffs 2022'!H21/100</f>
        <v>43.2</v>
      </c>
      <c r="E27" s="179">
        <f>IF($C$5&gt;='Tariffs 2022'!J21,('Tariffs 2022'!J21*'Tariffs 2022'!O21/100),($C$5*'Tariffs 2022'!O21/100))</f>
        <v>40.5</v>
      </c>
      <c r="F27" s="179">
        <f>IF($C$5&lt;'Tariffs 2022'!J21,0,IF(($C$5-'Tariffs 2022'!J21)&gt;='Tariffs 2022'!K21,(($C$5-'Tariffs 2022'!J21)*'Tariffs 2022'!P21/100),(('Tariffs 2022'!K21-'Tariffs 2022'!J21)*'Tariffs 2022'!P21/100)))</f>
        <v>28.224545454545449</v>
      </c>
      <c r="G27" s="179">
        <f>IF($C$5&lt;'Tariffs 2022'!K21,0,IF(($C$5-'Tariffs 2022'!K21)&lt;='Tariffs 2022'!L21,(($C$5-'Tariffs 2022'!K21)*'Tariffs 2022'!Q21/100),(('Tariffs 2022'!L21-'Tariffs 2022'!K21)*'Tariffs 2022'!Q21/100)))</f>
        <v>20.61090909090909</v>
      </c>
      <c r="H27" s="179">
        <v>0</v>
      </c>
      <c r="I27" s="179">
        <v>0</v>
      </c>
      <c r="J27" s="179">
        <f>IF(($C$5&lt;'Tariffs 2022'!N21),(0),($C$5-'Tariffs 2022'!N21)*'Tariffs 2022'!R21/100)</f>
        <v>0</v>
      </c>
      <c r="K27" s="179">
        <f>SUM(D27:J27)</f>
        <v>132.53545454545454</v>
      </c>
      <c r="L27" s="230">
        <f>K27*6</f>
        <v>795.21272727272731</v>
      </c>
      <c r="M27" s="181">
        <f t="shared" si="2"/>
        <v>874.73400000000015</v>
      </c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</row>
    <row r="28" spans="1:26" ht="25" customHeight="1" thickTop="1" x14ac:dyDescent="0.15">
      <c r="A28" s="143" t="str">
        <f>'Tariffs 2022'!F22</f>
        <v>EnergyAustralia</v>
      </c>
      <c r="B28" s="24" t="str">
        <f>'Tariffs 2022'!D22</f>
        <v>AGN Murray Valley</v>
      </c>
      <c r="C28" s="144">
        <f>'Tariffs 2022'!E22</f>
        <v>43281</v>
      </c>
      <c r="D28" s="30">
        <f>60*'Tariffs 2022'!H22/100</f>
        <v>48.490909090909092</v>
      </c>
      <c r="E28" s="30">
        <f>IF($C$5&gt;='Tariffs 2022'!J22,('Tariffs 2022'!J22*'Tariffs 2022'!O22/100),($C$5*'Tariffs 2022'!O22/100))</f>
        <v>153.81818181818181</v>
      </c>
      <c r="F28" s="30">
        <f>IF($C$5&lt;'Tariffs 2022'!J22,0,IF(($C$5-'Tariffs 2022'!J22)&lt;='Tariffs 2022'!K22,(($C$5-'Tariffs 2022'!J22)*'Tariffs 2022'!P22/100),(('Tariffs 2022'!K22-'Tariffs 2022'!J22)*'Tariffs 2022'!P22/100)))</f>
        <v>0</v>
      </c>
      <c r="G28" s="30">
        <f>IF($C$5&lt;'Tariffs 2022'!K22,0,IF(($C$5-'Tariffs 2022'!K22)&lt;='Tariffs 2022'!L22,(($C$5-'Tariffs 2022'!K22)*'Tariffs 2022'!Q22/100),(('Tariffs 2022'!L22-'Tariffs 2022'!K22)*'Tariffs 2022'!Q22/100)))</f>
        <v>0</v>
      </c>
      <c r="H28" s="30">
        <v>0</v>
      </c>
      <c r="I28" s="30">
        <v>0</v>
      </c>
      <c r="J28" s="30">
        <f>IF(($C$5&lt;'Tariffs 2022'!N22),(0),($C$5-'Tariffs 2022'!N22)*'Tariffs 2022'!R22/100)</f>
        <v>0</v>
      </c>
      <c r="K28" s="30">
        <f t="shared" ref="K28:K34" si="3">SUM(D28:J28)</f>
        <v>202.30909090909091</v>
      </c>
      <c r="L28" s="229">
        <f t="shared" ref="L28:L43" si="4">K28*6</f>
        <v>1213.8545454545456</v>
      </c>
      <c r="M28" s="145">
        <f t="shared" si="2"/>
        <v>1335.2400000000002</v>
      </c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</row>
    <row r="29" spans="1:26" ht="25" customHeight="1" x14ac:dyDescent="0.15">
      <c r="A29" s="143" t="str">
        <f>'Tariffs 2022'!F23</f>
        <v>Origin Energy</v>
      </c>
      <c r="B29" s="24" t="str">
        <f>'Tariffs 2022'!D23</f>
        <v>AGN Murray Valley</v>
      </c>
      <c r="C29" s="144">
        <f>'Tariffs 2022'!E23</f>
        <v>43281</v>
      </c>
      <c r="D29" s="30">
        <f>60*'Tariffs 2022'!H23/100</f>
        <v>40.849090909090904</v>
      </c>
      <c r="E29" s="30">
        <f>IF($C$5&gt;='Tariffs 2022'!J23,('Tariffs 2022'!J23*'Tariffs 2022'!O23/100),($C$5*'Tariffs 2022'!O23/100))</f>
        <v>65.55</v>
      </c>
      <c r="F29" s="30">
        <f>IF($C$5&lt;'Tariffs 2022'!J23,0,IF(($C$5-'Tariffs 2022'!J23)&lt;='Tariffs 2022'!K23,(($C$5-'Tariffs 2022'!J23)*'Tariffs 2022'!P23/100),(('Tariffs 2022'!K23-'Tariffs 2022'!J23)*'Tariffs 2022'!P23/100)))</f>
        <v>0</v>
      </c>
      <c r="G29" s="30">
        <f>IF($C$5&lt;'Tariffs 2022'!K23,0,IF(($C$5-'Tariffs 2022'!K23)&lt;='Tariffs 2022'!L23,(($C$5-'Tariffs 2022'!K23)*'Tariffs 2022'!Q23/100),(('Tariffs 2022'!L23-'Tariffs 2022'!K23)*'Tariffs 2022'!Q23/100)))</f>
        <v>0</v>
      </c>
      <c r="H29" s="30">
        <v>0</v>
      </c>
      <c r="I29" s="30">
        <v>0</v>
      </c>
      <c r="J29" s="30">
        <f>IF(($C$5&lt;'Tariffs 2022'!N23),(0),($C$5-'Tariffs 2022'!N23)*'Tariffs 2022'!R23/100)</f>
        <v>71.995454545454535</v>
      </c>
      <c r="K29" s="30">
        <f t="shared" si="3"/>
        <v>178.39454545454544</v>
      </c>
      <c r="L29" s="229">
        <f t="shared" si="4"/>
        <v>1070.3672727272726</v>
      </c>
      <c r="M29" s="145">
        <f t="shared" si="2"/>
        <v>1177.404</v>
      </c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</row>
    <row r="30" spans="1:26" ht="25" customHeight="1" x14ac:dyDescent="0.15">
      <c r="A30" s="143" t="str">
        <f>'Tariffs 2022'!F24</f>
        <v>AGL</v>
      </c>
      <c r="B30" s="24" t="str">
        <f>'Tariffs 2022'!D24</f>
        <v>AGN Murray Valley</v>
      </c>
      <c r="C30" s="144">
        <f>'Tariffs 2022'!E24</f>
        <v>43284</v>
      </c>
      <c r="D30" s="30">
        <f>60*'Tariffs 2022'!H24/100</f>
        <v>48.016363636363629</v>
      </c>
      <c r="E30" s="30">
        <f>IF($C$5&gt;='Tariffs 2022'!J24,('Tariffs 2022'!J24*'Tariffs 2022'!O24/100),($C$5*'Tariffs 2022'!O24/100))</f>
        <v>62.54999999999999</v>
      </c>
      <c r="F30" s="30">
        <f>IF($C$5&lt;'Tariffs 2022'!J24,0,IF(($C$5-'Tariffs 2022'!J24)&gt;='Tariffs 2022'!K24,(($C$5-'Tariffs 2022'!J24)*'Tariffs 2022'!P24/100),(('Tariffs 2022'!K24-'Tariffs 2022'!J24)*'Tariffs 2022'!P24/100)))</f>
        <v>45.135454545454543</v>
      </c>
      <c r="G30" s="30">
        <f>IF($C$5&lt;'Tariffs 2022'!K24,0,IF(($C$5-'Tariffs 2022'!K24)&lt;='Tariffs 2022'!L24,(($C$5-'Tariffs 2022'!K24)*'Tariffs 2022'!Q24/100),(('Tariffs 2022'!L24-'Tariffs 2022'!K24)*'Tariffs 2022'!Q24/100)))</f>
        <v>28.647272727272721</v>
      </c>
      <c r="H30" s="30">
        <v>0</v>
      </c>
      <c r="I30" s="30">
        <v>0</v>
      </c>
      <c r="J30" s="30">
        <f>IF(($C$5&lt;'Tariffs 2022'!N24),(0),($C$5-'Tariffs 2022'!N24)*'Tariffs 2022'!R24/100)</f>
        <v>0</v>
      </c>
      <c r="K30" s="30">
        <f t="shared" si="3"/>
        <v>184.34909090909088</v>
      </c>
      <c r="L30" s="229">
        <f t="shared" si="4"/>
        <v>1106.0945454545454</v>
      </c>
      <c r="M30" s="145">
        <f t="shared" si="2"/>
        <v>1216.704</v>
      </c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</row>
    <row r="31" spans="1:26" ht="25" customHeight="1" thickBot="1" x14ac:dyDescent="0.2">
      <c r="A31" s="176" t="str">
        <f>'Tariffs 2022'!F25</f>
        <v>Red Energy</v>
      </c>
      <c r="B31" s="177" t="str">
        <f>'Tariffs 2022'!D25</f>
        <v>AGN Murray Valley</v>
      </c>
      <c r="C31" s="178">
        <f>'Tariffs 2022'!E25</f>
        <v>43292</v>
      </c>
      <c r="D31" s="179">
        <f>60*'Tariffs 2022'!H25/100</f>
        <v>49.2</v>
      </c>
      <c r="E31" s="179">
        <f>IF($C$5&gt;='Tariffs 2022'!J25,('Tariffs 2022'!J25*'Tariffs 2022'!O25/100),($C$5*'Tariffs 2022'!O25/100))</f>
        <v>56.999999999999993</v>
      </c>
      <c r="F31" s="179">
        <f>IF($C$5&lt;'Tariffs 2022'!J25,0,IF(($C$5-'Tariffs 2022'!J25)&gt;='Tariffs 2022'!K25,(($C$5-'Tariffs 2022'!J25)*'Tariffs 2022'!P25/100),(('Tariffs 2022'!K25-'Tariffs 2022'!J25)*'Tariffs 2022'!P25/100)))</f>
        <v>41.68181818181818</v>
      </c>
      <c r="G31" s="179">
        <f>IF($C$5&lt;'Tariffs 2022'!K25,0,IF(($C$5-'Tariffs 2022'!K25)&lt;='Tariffs 2022'!L25,(($C$5-'Tariffs 2022'!K25)*'Tariffs 2022'!Q25/100),(('Tariffs 2022'!L25-'Tariffs 2022'!K25)*'Tariffs 2022'!Q25/100)))</f>
        <v>26.567272727272726</v>
      </c>
      <c r="H31" s="179">
        <v>0</v>
      </c>
      <c r="I31" s="179">
        <v>0</v>
      </c>
      <c r="J31" s="179">
        <f>IF(($C$5&lt;'Tariffs 2022'!N25),(0),($C$5-'Tariffs 2022'!N25)*'Tariffs 2022'!R25/100)</f>
        <v>0</v>
      </c>
      <c r="K31" s="179">
        <f t="shared" si="3"/>
        <v>174.4490909090909</v>
      </c>
      <c r="L31" s="230">
        <f t="shared" si="4"/>
        <v>1046.6945454545453</v>
      </c>
      <c r="M31" s="181">
        <f t="shared" si="2"/>
        <v>1151.3639999999998</v>
      </c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</row>
    <row r="32" spans="1:26" ht="25" customHeight="1" thickTop="1" x14ac:dyDescent="0.15">
      <c r="A32" s="143" t="str">
        <f>'Tariffs 2022'!F26</f>
        <v>Origin Energy</v>
      </c>
      <c r="B32" s="24" t="str">
        <f>'Tariffs 2022'!D26</f>
        <v>AGN Cooma</v>
      </c>
      <c r="C32" s="144">
        <f>'Tariffs 2022'!E26</f>
        <v>43281</v>
      </c>
      <c r="D32" s="30">
        <f>60*'Tariffs 2022'!H26/100</f>
        <v>46.319999999999993</v>
      </c>
      <c r="E32" s="30">
        <f>$C$5*'Tariffs 2022'!O26/100</f>
        <v>134.18181818181816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f t="shared" si="3"/>
        <v>180.50181818181815</v>
      </c>
      <c r="L32" s="229">
        <f t="shared" si="4"/>
        <v>1083.0109090909089</v>
      </c>
      <c r="M32" s="145">
        <f t="shared" si="2"/>
        <v>1191.3119999999999</v>
      </c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</row>
    <row r="33" spans="1:26" ht="25" customHeight="1" thickBot="1" x14ac:dyDescent="0.2">
      <c r="A33" s="176" t="str">
        <f>'Tariffs 2022'!F27</f>
        <v>Red Energy</v>
      </c>
      <c r="B33" s="177" t="str">
        <f>'Tariffs 2022'!D27</f>
        <v>AGN Cooma</v>
      </c>
      <c r="C33" s="178">
        <f>'Tariffs 2022'!E27</f>
        <v>43281</v>
      </c>
      <c r="D33" s="179">
        <f>60*'Tariffs 2022'!H27/100</f>
        <v>46.925454545454542</v>
      </c>
      <c r="E33" s="179">
        <f>$C$5*'Tariffs 2022'!O27/100</f>
        <v>127.99999999999999</v>
      </c>
      <c r="F33" s="179">
        <v>0</v>
      </c>
      <c r="G33" s="179">
        <v>0</v>
      </c>
      <c r="H33" s="179">
        <v>0</v>
      </c>
      <c r="I33" s="179">
        <v>0</v>
      </c>
      <c r="J33" s="179">
        <v>0</v>
      </c>
      <c r="K33" s="179">
        <f t="shared" si="3"/>
        <v>174.92545454545453</v>
      </c>
      <c r="L33" s="230">
        <f t="shared" si="4"/>
        <v>1049.5527272727272</v>
      </c>
      <c r="M33" s="181">
        <f t="shared" si="2"/>
        <v>1154.508</v>
      </c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spans="1:26" ht="25" customHeight="1" thickTop="1" x14ac:dyDescent="0.15">
      <c r="A34" s="143" t="str">
        <f>'Tariffs 2022'!F28</f>
        <v>Origin Energy</v>
      </c>
      <c r="B34" s="24" t="str">
        <f>'Tariffs 2022'!D28</f>
        <v>AGN Temora</v>
      </c>
      <c r="C34" s="144">
        <f>'Tariffs 2022'!E28</f>
        <v>43281</v>
      </c>
      <c r="D34" s="30">
        <f>60*'Tariffs 2022'!H28/100</f>
        <v>48.938181818181818</v>
      </c>
      <c r="E34" s="30">
        <f>$C$5*'Tariffs 2022'!O28/100</f>
        <v>134.54545454545453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f t="shared" si="3"/>
        <v>183.48363636363635</v>
      </c>
      <c r="L34" s="229">
        <f t="shared" si="4"/>
        <v>1100.901818181818</v>
      </c>
      <c r="M34" s="145">
        <f t="shared" si="2"/>
        <v>1210.992</v>
      </c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</row>
    <row r="35" spans="1:26" ht="25" customHeight="1" x14ac:dyDescent="0.15">
      <c r="A35" s="143" t="str">
        <f>'Tariffs 2022'!F29</f>
        <v>AGL</v>
      </c>
      <c r="B35" s="24" t="str">
        <f>'Tariffs 2022'!D29</f>
        <v>AGN Temora</v>
      </c>
      <c r="C35" s="144">
        <f>'Tariffs 2022'!E29</f>
        <v>43284</v>
      </c>
      <c r="D35" s="30">
        <f>60*'Tariffs 2022'!H29/100</f>
        <v>57.485454545454537</v>
      </c>
      <c r="E35" s="30">
        <f>$C$5*'Tariffs 2022'!O29/100</f>
        <v>128.36363636363635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f>SUM(D35:J35)</f>
        <v>185.84909090909088</v>
      </c>
      <c r="L35" s="229">
        <f t="shared" si="4"/>
        <v>1115.0945454545454</v>
      </c>
      <c r="M35" s="145">
        <f t="shared" si="2"/>
        <v>1226.604</v>
      </c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</row>
    <row r="36" spans="1:26" ht="25" customHeight="1" thickBot="1" x14ac:dyDescent="0.2">
      <c r="A36" s="176" t="str">
        <f>'Tariffs 2022'!F30</f>
        <v>Red Energy</v>
      </c>
      <c r="B36" s="177" t="str">
        <f>'Tariffs 2022'!D30</f>
        <v>AGN Temora</v>
      </c>
      <c r="C36" s="178">
        <f>'Tariffs 2022'!E30</f>
        <v>43281</v>
      </c>
      <c r="D36" s="179">
        <f>60*'Tariffs 2022'!H30/100</f>
        <v>47.329090909090901</v>
      </c>
      <c r="E36" s="179">
        <f>$C$5*'Tariffs 2022'!O30/100</f>
        <v>134.18181818181816</v>
      </c>
      <c r="F36" s="179">
        <v>0</v>
      </c>
      <c r="G36" s="179">
        <v>0</v>
      </c>
      <c r="H36" s="179">
        <v>0</v>
      </c>
      <c r="I36" s="179">
        <v>0</v>
      </c>
      <c r="J36" s="179">
        <v>0</v>
      </c>
      <c r="K36" s="179">
        <f>SUM(D36:J36)</f>
        <v>181.51090909090905</v>
      </c>
      <c r="L36" s="230">
        <f>K36*6</f>
        <v>1089.0654545454543</v>
      </c>
      <c r="M36" s="181">
        <f t="shared" si="2"/>
        <v>1197.9719999999998</v>
      </c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</row>
    <row r="37" spans="1:26" ht="25" customHeight="1" thickTop="1" x14ac:dyDescent="0.15">
      <c r="A37" s="143" t="str">
        <f>'Tariffs 2022'!F31</f>
        <v>Origin Energy</v>
      </c>
      <c r="B37" s="24" t="str">
        <f>'Tariffs 2022'!D31</f>
        <v>AGN Tumut</v>
      </c>
      <c r="C37" s="144">
        <f>'Tariffs 2022'!E31</f>
        <v>43281</v>
      </c>
      <c r="D37" s="30">
        <f>60*'Tariffs 2022'!H31/100</f>
        <v>50.596363636363641</v>
      </c>
      <c r="E37" s="30">
        <f>$C$5*'Tariffs 2022'!O31/100</f>
        <v>132.36363636363637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f t="shared" ref="K37:K43" si="5">SUM(D37:J37)</f>
        <v>182.96</v>
      </c>
      <c r="L37" s="229">
        <f t="shared" si="4"/>
        <v>1097.76</v>
      </c>
      <c r="M37" s="145">
        <f t="shared" si="2"/>
        <v>1207.5360000000001</v>
      </c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</row>
    <row r="38" spans="1:26" ht="25" customHeight="1" thickBot="1" x14ac:dyDescent="0.2">
      <c r="A38" s="176" t="str">
        <f>'Tariffs 2022'!F32</f>
        <v>Red Energy</v>
      </c>
      <c r="B38" s="177" t="str">
        <f>'Tariffs 2022'!D32</f>
        <v>AGN Tumut</v>
      </c>
      <c r="C38" s="178">
        <f>'Tariffs 2022'!E32</f>
        <v>43281</v>
      </c>
      <c r="D38" s="179">
        <f>60*'Tariffs 2022'!H32/100</f>
        <v>52.79999999999999</v>
      </c>
      <c r="E38" s="179">
        <f>$C$5*'Tariffs 2022'!O32/100</f>
        <v>135.27272727272728</v>
      </c>
      <c r="F38" s="179">
        <v>0</v>
      </c>
      <c r="G38" s="179">
        <v>0</v>
      </c>
      <c r="H38" s="179">
        <v>0</v>
      </c>
      <c r="I38" s="179">
        <v>0</v>
      </c>
      <c r="J38" s="179">
        <v>0</v>
      </c>
      <c r="K38" s="179">
        <f t="shared" si="5"/>
        <v>188.07272727272726</v>
      </c>
      <c r="L38" s="230">
        <f t="shared" si="4"/>
        <v>1128.4363636363637</v>
      </c>
      <c r="M38" s="181">
        <f t="shared" si="2"/>
        <v>1241.2800000000002</v>
      </c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</row>
    <row r="39" spans="1:26" ht="25" customHeight="1" thickTop="1" x14ac:dyDescent="0.15">
      <c r="A39" s="143" t="str">
        <f>'Tariffs 2022'!F33</f>
        <v>Origin Energy</v>
      </c>
      <c r="B39" s="24" t="str">
        <f>'Tariffs 2022'!D33</f>
        <v>AGN Wagga Wagga</v>
      </c>
      <c r="C39" s="144">
        <f>'Tariffs 2022'!E33</f>
        <v>43281</v>
      </c>
      <c r="D39" s="30">
        <f>60*'Tariffs 2022'!H33/100</f>
        <v>58.93636363636363</v>
      </c>
      <c r="E39" s="30">
        <f>$C$5*'Tariffs 2022'!O33/100</f>
        <v>117.81818181818181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f t="shared" si="5"/>
        <v>176.75454545454545</v>
      </c>
      <c r="L39" s="229">
        <f t="shared" si="4"/>
        <v>1060.5272727272727</v>
      </c>
      <c r="M39" s="145">
        <f t="shared" si="2"/>
        <v>1166.5800000000002</v>
      </c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spans="1:26" ht="25" customHeight="1" x14ac:dyDescent="0.15">
      <c r="A40" s="143" t="str">
        <f>'Tariffs 2022'!F34</f>
        <v>AGL</v>
      </c>
      <c r="B40" s="24" t="str">
        <f>'Tariffs 2022'!D34</f>
        <v>AGN Wagga Wagga</v>
      </c>
      <c r="C40" s="144">
        <f>'Tariffs 2022'!E34</f>
        <v>43284</v>
      </c>
      <c r="D40" s="30">
        <f>60*'Tariffs 2022'!H34/100</f>
        <v>64.919999999999987</v>
      </c>
      <c r="E40" s="30">
        <f>$C$5*'Tariffs 2022'!O34/100</f>
        <v>105.45454545454544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f t="shared" si="5"/>
        <v>170.37454545454543</v>
      </c>
      <c r="L40" s="229">
        <f t="shared" si="4"/>
        <v>1022.2472727272725</v>
      </c>
      <c r="M40" s="145">
        <f t="shared" si="2"/>
        <v>1124.4719999999998</v>
      </c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</row>
    <row r="41" spans="1:26" ht="25" customHeight="1" x14ac:dyDescent="0.15">
      <c r="A41" s="143" t="str">
        <f>'Tariffs 2022'!F35</f>
        <v>EnergyAustralia</v>
      </c>
      <c r="B41" s="24" t="str">
        <f>'Tariffs 2022'!D35</f>
        <v>AGN Wagga Wagga</v>
      </c>
      <c r="C41" s="144">
        <f>'Tariffs 2022'!E35</f>
        <v>43281</v>
      </c>
      <c r="D41" s="30">
        <f>60*'Tariffs 2022'!H35/100</f>
        <v>57.878181818181808</v>
      </c>
      <c r="E41" s="30">
        <f>IF($C$5&gt;='Tariffs 2022'!J35,('Tariffs 2022'!J35*'Tariffs 2022'!O35/100),($C$5*'Tariffs 2022'!O35/100))</f>
        <v>63.29999999999999</v>
      </c>
      <c r="F41" s="30">
        <f>IF($C$5&lt;'Tariffs 2022'!J35,0,IF(($C$5-'Tariffs 2022'!J35)&gt;='Tariffs 2022'!K35,(($C$5-'Tariffs 2022'!J35)*'Tariffs 2022'!P35/100),(('Tariffs 2022'!K35-'Tariffs 2022'!J35)*'Tariffs 2022'!P35/100)))</f>
        <v>40.252727272727263</v>
      </c>
      <c r="G41" s="30">
        <f>IF($C$5&lt;'Tariffs 2022'!K35,0,IF(($C$5-'Tariffs 2022'!K35)&lt;='Tariffs 2022'!L35,(($C$5-'Tariffs 2022'!K35)*'Tariffs 2022'!Q35/100),(('Tariffs 2022'!L35-'Tariffs 2022'!K35)*'Tariffs 2022'!Q35/100)))</f>
        <v>25.527272727272731</v>
      </c>
      <c r="H41" s="30">
        <v>0</v>
      </c>
      <c r="I41" s="30">
        <v>0</v>
      </c>
      <c r="J41" s="30">
        <f>IF(($C$5&lt;'Tariffs 2022'!N35),(0),($C$5-'Tariffs 2022'!N35)*'Tariffs 2022'!R35/100)</f>
        <v>0</v>
      </c>
      <c r="K41" s="30">
        <f>SUM(D41:J41)</f>
        <v>186.9581818181818</v>
      </c>
      <c r="L41" s="229">
        <f t="shared" si="4"/>
        <v>1121.7490909090907</v>
      </c>
      <c r="M41" s="145">
        <f t="shared" si="2"/>
        <v>1233.9239999999998</v>
      </c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</row>
    <row r="42" spans="1:26" ht="25" customHeight="1" thickBot="1" x14ac:dyDescent="0.2">
      <c r="A42" s="176" t="str">
        <f>'Tariffs 2022'!F36</f>
        <v>Red Energy</v>
      </c>
      <c r="B42" s="177" t="str">
        <f>'Tariffs 2022'!D36</f>
        <v>AGN Wagga Wagga</v>
      </c>
      <c r="C42" s="178">
        <f>'Tariffs 2022'!E36</f>
        <v>43281</v>
      </c>
      <c r="D42" s="179">
        <f>60*'Tariffs 2022'!H36/100</f>
        <v>58.79999999999999</v>
      </c>
      <c r="E42" s="179">
        <f>$C$5*'Tariffs 2022'!O36/100</f>
        <v>112</v>
      </c>
      <c r="F42" s="179">
        <v>0</v>
      </c>
      <c r="G42" s="179">
        <v>0</v>
      </c>
      <c r="H42" s="179">
        <v>0</v>
      </c>
      <c r="I42" s="179">
        <v>0</v>
      </c>
      <c r="J42" s="179">
        <v>0</v>
      </c>
      <c r="K42" s="179">
        <f t="shared" si="5"/>
        <v>170.79999999999998</v>
      </c>
      <c r="L42" s="230">
        <f t="shared" si="4"/>
        <v>1024.8</v>
      </c>
      <c r="M42" s="181">
        <f t="shared" si="2"/>
        <v>1127.28</v>
      </c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</row>
    <row r="43" spans="1:26" ht="25" customHeight="1" thickTop="1" thickBot="1" x14ac:dyDescent="0.2">
      <c r="A43" s="150" t="str">
        <f>'Tariffs 2022'!F37</f>
        <v>Origin Energy</v>
      </c>
      <c r="B43" s="151" t="str">
        <f>'Tariffs 2022'!D37</f>
        <v>Central Ranges Pipeline Tamworth</v>
      </c>
      <c r="C43" s="152">
        <f>'Tariffs 2022'!E37</f>
        <v>43281</v>
      </c>
      <c r="D43" s="153">
        <f>60*'Tariffs 2022'!H37/100</f>
        <v>39.327272727272721</v>
      </c>
      <c r="E43" s="153">
        <f>$C$5*'Tariffs 2022'!O37/100</f>
        <v>182.54545454545448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153">
        <f t="shared" si="5"/>
        <v>221.87272727272719</v>
      </c>
      <c r="L43" s="232">
        <f t="shared" si="4"/>
        <v>1331.2363636363632</v>
      </c>
      <c r="M43" s="154">
        <f t="shared" si="2"/>
        <v>1464.3599999999997</v>
      </c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</row>
    <row r="44" spans="1:26" customFormat="1" ht="25" customHeight="1" x14ac:dyDescent="0.15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</row>
    <row r="45" spans="1:26" customFormat="1" x14ac:dyDescent="0.15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</row>
    <row r="46" spans="1:26" customFormat="1" x14ac:dyDescent="0.15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</row>
    <row r="47" spans="1:26" customFormat="1" x14ac:dyDescent="0.15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</row>
    <row r="48" spans="1:26" customFormat="1" x14ac:dyDescent="0.15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</row>
    <row r="49" spans="1:26" customFormat="1" x14ac:dyDescent="0.15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</row>
    <row r="50" spans="1:26" customFormat="1" x14ac:dyDescent="0.15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</row>
    <row r="51" spans="1:26" customFormat="1" x14ac:dyDescent="0.15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spans="1:26" customFormat="1" x14ac:dyDescent="0.15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</row>
    <row r="53" spans="1:26" customFormat="1" x14ac:dyDescent="0.15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spans="1:26" customFormat="1" x14ac:dyDescent="0.15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spans="1:26" customFormat="1" x14ac:dyDescent="0.15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spans="1:26" customFormat="1" x14ac:dyDescent="0.15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spans="1:26" customFormat="1" x14ac:dyDescent="0.15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spans="1:26" customFormat="1" x14ac:dyDescent="0.15">
      <c r="A58" s="241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spans="1:26" customFormat="1" x14ac:dyDescent="0.15">
      <c r="A59" s="241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spans="1:26" customFormat="1" x14ac:dyDescent="0.15">
      <c r="A60" s="241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spans="1:26" customFormat="1" x14ac:dyDescent="0.15">
      <c r="A61" s="241"/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spans="1:26" customFormat="1" x14ac:dyDescent="0.15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spans="1:26" customFormat="1" x14ac:dyDescent="0.15">
      <c r="A63" s="241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spans="1:26" customFormat="1" x14ac:dyDescent="0.15">
      <c r="A64" s="241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spans="1:26" customFormat="1" x14ac:dyDescent="0.15">
      <c r="A65" s="241"/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spans="1:26" customFormat="1" x14ac:dyDescent="0.15">
      <c r="A66" s="241"/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spans="1:26" customFormat="1" x14ac:dyDescent="0.15">
      <c r="A67" s="241"/>
      <c r="B67" s="241"/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spans="1:26" customFormat="1" x14ac:dyDescent="0.15">
      <c r="A68" s="241"/>
      <c r="B68" s="241"/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spans="1:26" customFormat="1" x14ac:dyDescent="0.15">
      <c r="A69" s="241"/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spans="1:26" customFormat="1" x14ac:dyDescent="0.15">
      <c r="A70" s="241"/>
      <c r="B70" s="241"/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spans="1:26" customFormat="1" x14ac:dyDescent="0.15">
      <c r="A71" s="241"/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spans="1:26" customFormat="1" x14ac:dyDescent="0.15">
      <c r="A72" s="241"/>
      <c r="B72" s="241"/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spans="1:26" customFormat="1" x14ac:dyDescent="0.15">
      <c r="A73" s="241"/>
      <c r="B73" s="241"/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spans="1:26" customFormat="1" x14ac:dyDescent="0.15">
      <c r="A74" s="241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spans="1:26" customFormat="1" x14ac:dyDescent="0.15">
      <c r="A75" s="241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spans="1:26" customFormat="1" x14ac:dyDescent="0.15">
      <c r="A76" s="241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spans="1:26" customFormat="1" x14ac:dyDescent="0.15">
      <c r="A77" s="241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spans="1:26" customFormat="1" x14ac:dyDescent="0.15">
      <c r="A78" s="241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spans="1:26" customFormat="1" x14ac:dyDescent="0.15">
      <c r="A79" s="241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spans="1:26" customFormat="1" x14ac:dyDescent="0.15">
      <c r="A80" s="241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spans="1:26" customFormat="1" x14ac:dyDescent="0.15">
      <c r="A81" s="241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spans="1:26" customFormat="1" x14ac:dyDescent="0.15">
      <c r="A82" s="241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spans="1:26" customFormat="1" x14ac:dyDescent="0.15"/>
    <row r="84" spans="1:26" customFormat="1" x14ac:dyDescent="0.15"/>
    <row r="85" spans="1:26" customFormat="1" x14ac:dyDescent="0.15"/>
    <row r="86" spans="1:26" customFormat="1" x14ac:dyDescent="0.15"/>
    <row r="87" spans="1:26" customFormat="1" x14ac:dyDescent="0.15"/>
    <row r="88" spans="1:26" customFormat="1" x14ac:dyDescent="0.15"/>
    <row r="89" spans="1:26" customFormat="1" x14ac:dyDescent="0.15"/>
    <row r="90" spans="1:26" customFormat="1" x14ac:dyDescent="0.15"/>
    <row r="91" spans="1:26" customFormat="1" x14ac:dyDescent="0.15"/>
    <row r="92" spans="1:26" customFormat="1" x14ac:dyDescent="0.15"/>
    <row r="93" spans="1:26" customFormat="1" x14ac:dyDescent="0.15"/>
    <row r="94" spans="1:26" customFormat="1" x14ac:dyDescent="0.15"/>
    <row r="95" spans="1:26" customFormat="1" x14ac:dyDescent="0.15"/>
    <row r="96" spans="1:26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  <row r="7914" customFormat="1" x14ac:dyDescent="0.15"/>
    <row r="7915" customFormat="1" x14ac:dyDescent="0.15"/>
    <row r="7916" customFormat="1" x14ac:dyDescent="0.15"/>
    <row r="7917" customFormat="1" x14ac:dyDescent="0.15"/>
    <row r="7918" customFormat="1" x14ac:dyDescent="0.15"/>
    <row r="7919" customFormat="1" x14ac:dyDescent="0.15"/>
    <row r="7920" customFormat="1" x14ac:dyDescent="0.15"/>
    <row r="7921" customFormat="1" x14ac:dyDescent="0.15"/>
    <row r="7922" customFormat="1" x14ac:dyDescent="0.15"/>
    <row r="7923" customFormat="1" x14ac:dyDescent="0.15"/>
    <row r="7924" customFormat="1" x14ac:dyDescent="0.15"/>
    <row r="7925" customFormat="1" x14ac:dyDescent="0.15"/>
    <row r="7926" customFormat="1" x14ac:dyDescent="0.15"/>
    <row r="7927" customFormat="1" x14ac:dyDescent="0.15"/>
    <row r="7928" customFormat="1" x14ac:dyDescent="0.15"/>
    <row r="7929" customFormat="1" x14ac:dyDescent="0.15"/>
    <row r="7930" customFormat="1" x14ac:dyDescent="0.15"/>
    <row r="7931" customFormat="1" x14ac:dyDescent="0.15"/>
    <row r="7932" customFormat="1" x14ac:dyDescent="0.15"/>
    <row r="7933" customFormat="1" x14ac:dyDescent="0.15"/>
    <row r="7934" customFormat="1" x14ac:dyDescent="0.15"/>
    <row r="7935" customFormat="1" x14ac:dyDescent="0.15"/>
    <row r="7936" customFormat="1" x14ac:dyDescent="0.15"/>
    <row r="7937" customFormat="1" x14ac:dyDescent="0.15"/>
    <row r="7938" customFormat="1" x14ac:dyDescent="0.15"/>
    <row r="7939" customFormat="1" x14ac:dyDescent="0.15"/>
    <row r="7940" customFormat="1" x14ac:dyDescent="0.15"/>
    <row r="7941" customFormat="1" x14ac:dyDescent="0.15"/>
    <row r="7942" customFormat="1" x14ac:dyDescent="0.15"/>
    <row r="7943" customFormat="1" x14ac:dyDescent="0.15"/>
    <row r="7944" customFormat="1" x14ac:dyDescent="0.15"/>
    <row r="7945" customFormat="1" x14ac:dyDescent="0.15"/>
    <row r="7946" customFormat="1" x14ac:dyDescent="0.15"/>
    <row r="7947" customFormat="1" x14ac:dyDescent="0.15"/>
    <row r="7948" customFormat="1" x14ac:dyDescent="0.15"/>
    <row r="7949" customFormat="1" x14ac:dyDescent="0.15"/>
    <row r="7950" customFormat="1" x14ac:dyDescent="0.15"/>
    <row r="7951" customFormat="1" x14ac:dyDescent="0.15"/>
    <row r="7952" customFormat="1" x14ac:dyDescent="0.15"/>
    <row r="7953" customFormat="1" x14ac:dyDescent="0.15"/>
    <row r="7954" customFormat="1" x14ac:dyDescent="0.15"/>
    <row r="7955" customFormat="1" x14ac:dyDescent="0.15"/>
    <row r="7956" customFormat="1" x14ac:dyDescent="0.15"/>
    <row r="7957" customFormat="1" x14ac:dyDescent="0.15"/>
    <row r="7958" customFormat="1" x14ac:dyDescent="0.15"/>
    <row r="7959" customFormat="1" x14ac:dyDescent="0.15"/>
    <row r="7960" customFormat="1" x14ac:dyDescent="0.15"/>
    <row r="7961" customFormat="1" x14ac:dyDescent="0.15"/>
    <row r="7962" customFormat="1" x14ac:dyDescent="0.15"/>
    <row r="7963" customFormat="1" x14ac:dyDescent="0.15"/>
    <row r="7964" customFormat="1" x14ac:dyDescent="0.15"/>
    <row r="7965" customFormat="1" x14ac:dyDescent="0.15"/>
    <row r="7966" customFormat="1" x14ac:dyDescent="0.15"/>
    <row r="7967" customFormat="1" x14ac:dyDescent="0.15"/>
    <row r="7968" customFormat="1" x14ac:dyDescent="0.15"/>
    <row r="7969" customFormat="1" x14ac:dyDescent="0.15"/>
    <row r="7970" customFormat="1" x14ac:dyDescent="0.15"/>
    <row r="7971" customFormat="1" x14ac:dyDescent="0.15"/>
    <row r="7972" customFormat="1" x14ac:dyDescent="0.15"/>
    <row r="7973" customFormat="1" x14ac:dyDescent="0.15"/>
    <row r="7974" customFormat="1" x14ac:dyDescent="0.15"/>
    <row r="7975" customFormat="1" x14ac:dyDescent="0.15"/>
    <row r="7976" customFormat="1" x14ac:dyDescent="0.15"/>
    <row r="7977" customFormat="1" x14ac:dyDescent="0.15"/>
    <row r="7978" customFormat="1" x14ac:dyDescent="0.15"/>
    <row r="7979" customFormat="1" x14ac:dyDescent="0.15"/>
    <row r="7980" customFormat="1" x14ac:dyDescent="0.15"/>
    <row r="7981" customFormat="1" x14ac:dyDescent="0.15"/>
    <row r="7982" customFormat="1" x14ac:dyDescent="0.15"/>
    <row r="7983" customFormat="1" x14ac:dyDescent="0.15"/>
    <row r="7984" customFormat="1" x14ac:dyDescent="0.15"/>
    <row r="7985" customFormat="1" x14ac:dyDescent="0.15"/>
    <row r="7986" customFormat="1" x14ac:dyDescent="0.15"/>
    <row r="7987" customFormat="1" x14ac:dyDescent="0.15"/>
    <row r="7988" customFormat="1" x14ac:dyDescent="0.15"/>
    <row r="7989" customFormat="1" x14ac:dyDescent="0.15"/>
    <row r="7990" customFormat="1" x14ac:dyDescent="0.15"/>
    <row r="7991" customFormat="1" x14ac:dyDescent="0.15"/>
    <row r="7992" customFormat="1" x14ac:dyDescent="0.15"/>
    <row r="7993" customFormat="1" x14ac:dyDescent="0.15"/>
    <row r="7994" customFormat="1" x14ac:dyDescent="0.15"/>
    <row r="7995" customFormat="1" x14ac:dyDescent="0.15"/>
    <row r="7996" customFormat="1" x14ac:dyDescent="0.15"/>
    <row r="7997" customFormat="1" x14ac:dyDescent="0.15"/>
    <row r="7998" customFormat="1" x14ac:dyDescent="0.15"/>
    <row r="7999" customFormat="1" x14ac:dyDescent="0.15"/>
    <row r="8000" customFormat="1" x14ac:dyDescent="0.15"/>
    <row r="8001" customFormat="1" x14ac:dyDescent="0.15"/>
    <row r="8002" customFormat="1" x14ac:dyDescent="0.15"/>
    <row r="8003" customFormat="1" x14ac:dyDescent="0.15"/>
    <row r="8004" customFormat="1" x14ac:dyDescent="0.15"/>
    <row r="8005" customFormat="1" x14ac:dyDescent="0.15"/>
    <row r="8006" customFormat="1" x14ac:dyDescent="0.15"/>
    <row r="8007" customFormat="1" x14ac:dyDescent="0.15"/>
    <row r="8008" customFormat="1" x14ac:dyDescent="0.15"/>
    <row r="8009" customFormat="1" x14ac:dyDescent="0.15"/>
    <row r="8010" customFormat="1" x14ac:dyDescent="0.15"/>
    <row r="8011" customFormat="1" x14ac:dyDescent="0.15"/>
    <row r="8012" customFormat="1" x14ac:dyDescent="0.15"/>
    <row r="8013" customFormat="1" x14ac:dyDescent="0.15"/>
    <row r="8014" customFormat="1" x14ac:dyDescent="0.15"/>
    <row r="8015" customFormat="1" x14ac:dyDescent="0.15"/>
    <row r="8016" customFormat="1" x14ac:dyDescent="0.15"/>
    <row r="8017" customFormat="1" x14ac:dyDescent="0.15"/>
    <row r="8018" customFormat="1" x14ac:dyDescent="0.15"/>
    <row r="8019" customFormat="1" x14ac:dyDescent="0.15"/>
    <row r="8020" customFormat="1" x14ac:dyDescent="0.15"/>
    <row r="8021" customFormat="1" x14ac:dyDescent="0.15"/>
    <row r="8022" customFormat="1" x14ac:dyDescent="0.15"/>
    <row r="8023" customFormat="1" x14ac:dyDescent="0.15"/>
    <row r="8024" customFormat="1" x14ac:dyDescent="0.15"/>
    <row r="8025" customFormat="1" x14ac:dyDescent="0.15"/>
    <row r="8026" customFormat="1" x14ac:dyDescent="0.15"/>
    <row r="8027" customFormat="1" x14ac:dyDescent="0.15"/>
    <row r="8028" customFormat="1" x14ac:dyDescent="0.15"/>
    <row r="8029" customFormat="1" x14ac:dyDescent="0.15"/>
    <row r="8030" customFormat="1" x14ac:dyDescent="0.15"/>
    <row r="8031" customFormat="1" x14ac:dyDescent="0.15"/>
    <row r="8032" customFormat="1" x14ac:dyDescent="0.15"/>
    <row r="8033" customFormat="1" x14ac:dyDescent="0.15"/>
    <row r="8034" customFormat="1" x14ac:dyDescent="0.15"/>
    <row r="8035" customFormat="1" x14ac:dyDescent="0.15"/>
    <row r="8036" customFormat="1" x14ac:dyDescent="0.15"/>
    <row r="8037" customFormat="1" x14ac:dyDescent="0.15"/>
    <row r="8038" customFormat="1" x14ac:dyDescent="0.15"/>
    <row r="8039" customFormat="1" x14ac:dyDescent="0.15"/>
    <row r="8040" customFormat="1" x14ac:dyDescent="0.15"/>
    <row r="8041" customFormat="1" x14ac:dyDescent="0.15"/>
    <row r="8042" customFormat="1" x14ac:dyDescent="0.15"/>
    <row r="8043" customFormat="1" x14ac:dyDescent="0.15"/>
    <row r="8044" customFormat="1" x14ac:dyDescent="0.15"/>
    <row r="8045" customFormat="1" x14ac:dyDescent="0.15"/>
    <row r="8046" customFormat="1" x14ac:dyDescent="0.15"/>
    <row r="8047" customFormat="1" x14ac:dyDescent="0.15"/>
    <row r="8048" customFormat="1" x14ac:dyDescent="0.15"/>
    <row r="8049" customFormat="1" x14ac:dyDescent="0.15"/>
    <row r="8050" customFormat="1" x14ac:dyDescent="0.15"/>
    <row r="8051" customFormat="1" x14ac:dyDescent="0.15"/>
    <row r="8052" customFormat="1" x14ac:dyDescent="0.15"/>
    <row r="8053" customFormat="1" x14ac:dyDescent="0.15"/>
    <row r="8054" customFormat="1" x14ac:dyDescent="0.15"/>
    <row r="8055" customFormat="1" x14ac:dyDescent="0.15"/>
    <row r="8056" customFormat="1" x14ac:dyDescent="0.15"/>
    <row r="8057" customFormat="1" x14ac:dyDescent="0.15"/>
    <row r="8058" customFormat="1" x14ac:dyDescent="0.15"/>
    <row r="8059" customFormat="1" x14ac:dyDescent="0.15"/>
    <row r="8060" customFormat="1" x14ac:dyDescent="0.15"/>
    <row r="8061" customFormat="1" x14ac:dyDescent="0.15"/>
    <row r="8062" customFormat="1" x14ac:dyDescent="0.15"/>
    <row r="8063" customFormat="1" x14ac:dyDescent="0.15"/>
    <row r="8064" customFormat="1" x14ac:dyDescent="0.15"/>
    <row r="8065" customFormat="1" x14ac:dyDescent="0.15"/>
    <row r="8066" customFormat="1" x14ac:dyDescent="0.15"/>
    <row r="8067" customFormat="1" x14ac:dyDescent="0.15"/>
    <row r="8068" customFormat="1" x14ac:dyDescent="0.15"/>
    <row r="8069" customFormat="1" x14ac:dyDescent="0.15"/>
    <row r="8070" customFormat="1" x14ac:dyDescent="0.15"/>
    <row r="8071" customFormat="1" x14ac:dyDescent="0.15"/>
    <row r="8072" customFormat="1" x14ac:dyDescent="0.15"/>
    <row r="8073" customFormat="1" x14ac:dyDescent="0.15"/>
    <row r="8074" customFormat="1" x14ac:dyDescent="0.15"/>
    <row r="8075" customFormat="1" x14ac:dyDescent="0.15"/>
    <row r="8076" customFormat="1" x14ac:dyDescent="0.15"/>
    <row r="8077" customFormat="1" x14ac:dyDescent="0.15"/>
    <row r="8078" customFormat="1" x14ac:dyDescent="0.15"/>
    <row r="8079" customFormat="1" x14ac:dyDescent="0.15"/>
    <row r="8080" customFormat="1" x14ac:dyDescent="0.15"/>
    <row r="8081" customFormat="1" x14ac:dyDescent="0.15"/>
    <row r="8082" customFormat="1" x14ac:dyDescent="0.15"/>
    <row r="8083" customFormat="1" x14ac:dyDescent="0.15"/>
    <row r="8084" customFormat="1" x14ac:dyDescent="0.15"/>
    <row r="8085" customFormat="1" x14ac:dyDescent="0.15"/>
    <row r="8086" customFormat="1" x14ac:dyDescent="0.15"/>
    <row r="8087" customFormat="1" x14ac:dyDescent="0.15"/>
    <row r="8088" customFormat="1" x14ac:dyDescent="0.15"/>
    <row r="8089" customFormat="1" x14ac:dyDescent="0.15"/>
    <row r="8090" customFormat="1" x14ac:dyDescent="0.15"/>
    <row r="8091" customFormat="1" x14ac:dyDescent="0.15"/>
    <row r="8092" customFormat="1" x14ac:dyDescent="0.15"/>
    <row r="8093" customFormat="1" x14ac:dyDescent="0.15"/>
    <row r="8094" customFormat="1" x14ac:dyDescent="0.15"/>
    <row r="8095" customFormat="1" x14ac:dyDescent="0.15"/>
    <row r="8096" customFormat="1" x14ac:dyDescent="0.15"/>
    <row r="8097" customFormat="1" x14ac:dyDescent="0.15"/>
    <row r="8098" customFormat="1" x14ac:dyDescent="0.15"/>
    <row r="8099" customFormat="1" x14ac:dyDescent="0.15"/>
    <row r="8100" customFormat="1" x14ac:dyDescent="0.15"/>
    <row r="8101" customFormat="1" x14ac:dyDescent="0.15"/>
    <row r="8102" customFormat="1" x14ac:dyDescent="0.15"/>
    <row r="8103" customFormat="1" x14ac:dyDescent="0.15"/>
    <row r="8104" customFormat="1" x14ac:dyDescent="0.15"/>
    <row r="8105" customFormat="1" x14ac:dyDescent="0.15"/>
    <row r="8106" customFormat="1" x14ac:dyDescent="0.15"/>
    <row r="8107" customFormat="1" x14ac:dyDescent="0.15"/>
    <row r="8108" customFormat="1" x14ac:dyDescent="0.15"/>
    <row r="8109" customFormat="1" x14ac:dyDescent="0.15"/>
    <row r="8110" customFormat="1" x14ac:dyDescent="0.15"/>
    <row r="8111" customFormat="1" x14ac:dyDescent="0.15"/>
    <row r="8112" customFormat="1" x14ac:dyDescent="0.15"/>
    <row r="8113" customFormat="1" x14ac:dyDescent="0.15"/>
    <row r="8114" customFormat="1" x14ac:dyDescent="0.15"/>
    <row r="8115" customFormat="1" x14ac:dyDescent="0.15"/>
    <row r="8116" customFormat="1" x14ac:dyDescent="0.15"/>
    <row r="8117" customFormat="1" x14ac:dyDescent="0.15"/>
    <row r="8118" customFormat="1" x14ac:dyDescent="0.15"/>
    <row r="8119" customFormat="1" x14ac:dyDescent="0.15"/>
    <row r="8120" customFormat="1" x14ac:dyDescent="0.15"/>
    <row r="8121" customFormat="1" x14ac:dyDescent="0.15"/>
    <row r="8122" customFormat="1" x14ac:dyDescent="0.15"/>
    <row r="8123" customFormat="1" x14ac:dyDescent="0.15"/>
    <row r="8124" customFormat="1" x14ac:dyDescent="0.15"/>
    <row r="8125" customFormat="1" x14ac:dyDescent="0.15"/>
    <row r="8126" customFormat="1" x14ac:dyDescent="0.15"/>
    <row r="8127" customFormat="1" x14ac:dyDescent="0.15"/>
    <row r="8128" customFormat="1" x14ac:dyDescent="0.15"/>
    <row r="8129" customFormat="1" x14ac:dyDescent="0.15"/>
    <row r="8130" customFormat="1" x14ac:dyDescent="0.15"/>
    <row r="8131" customFormat="1" x14ac:dyDescent="0.15"/>
    <row r="8132" customFormat="1" x14ac:dyDescent="0.15"/>
    <row r="8133" customFormat="1" x14ac:dyDescent="0.15"/>
    <row r="8134" customFormat="1" x14ac:dyDescent="0.15"/>
    <row r="8135" customFormat="1" x14ac:dyDescent="0.15"/>
    <row r="8136" customFormat="1" x14ac:dyDescent="0.15"/>
    <row r="8137" customFormat="1" x14ac:dyDescent="0.15"/>
    <row r="8138" customFormat="1" x14ac:dyDescent="0.15"/>
    <row r="8139" customFormat="1" x14ac:dyDescent="0.15"/>
    <row r="8140" customFormat="1" x14ac:dyDescent="0.15"/>
    <row r="8141" customFormat="1" x14ac:dyDescent="0.15"/>
    <row r="8142" customFormat="1" x14ac:dyDescent="0.15"/>
    <row r="8143" customFormat="1" x14ac:dyDescent="0.15"/>
    <row r="8144" customFormat="1" x14ac:dyDescent="0.15"/>
    <row r="8145" customFormat="1" x14ac:dyDescent="0.15"/>
    <row r="8146" customFormat="1" x14ac:dyDescent="0.15"/>
    <row r="8147" customFormat="1" x14ac:dyDescent="0.15"/>
    <row r="8148" customFormat="1" x14ac:dyDescent="0.15"/>
    <row r="8149" customFormat="1" x14ac:dyDescent="0.15"/>
    <row r="8150" customFormat="1" x14ac:dyDescent="0.15"/>
    <row r="8151" customFormat="1" x14ac:dyDescent="0.15"/>
    <row r="8152" customFormat="1" x14ac:dyDescent="0.15"/>
    <row r="8153" customFormat="1" x14ac:dyDescent="0.15"/>
    <row r="8154" customFormat="1" x14ac:dyDescent="0.15"/>
    <row r="8155" customFormat="1" x14ac:dyDescent="0.15"/>
    <row r="8156" customFormat="1" x14ac:dyDescent="0.15"/>
    <row r="8157" customFormat="1" x14ac:dyDescent="0.15"/>
    <row r="8158" customFormat="1" x14ac:dyDescent="0.15"/>
    <row r="8159" customFormat="1" x14ac:dyDescent="0.15"/>
    <row r="8160" customFormat="1" x14ac:dyDescent="0.15"/>
    <row r="8161" customFormat="1" x14ac:dyDescent="0.15"/>
    <row r="8162" customFormat="1" x14ac:dyDescent="0.15"/>
    <row r="8163" customFormat="1" x14ac:dyDescent="0.15"/>
    <row r="8164" customFormat="1" x14ac:dyDescent="0.15"/>
    <row r="8165" customFormat="1" x14ac:dyDescent="0.15"/>
    <row r="8166" customFormat="1" x14ac:dyDescent="0.15"/>
    <row r="8167" customFormat="1" x14ac:dyDescent="0.15"/>
    <row r="8168" customFormat="1" x14ac:dyDescent="0.15"/>
    <row r="8169" customFormat="1" x14ac:dyDescent="0.15"/>
    <row r="8170" customFormat="1" x14ac:dyDescent="0.15"/>
    <row r="8171" customFormat="1" x14ac:dyDescent="0.15"/>
    <row r="8172" customFormat="1" x14ac:dyDescent="0.15"/>
    <row r="8173" customFormat="1" x14ac:dyDescent="0.15"/>
    <row r="8174" customFormat="1" x14ac:dyDescent="0.15"/>
    <row r="8175" customFormat="1" x14ac:dyDescent="0.15"/>
    <row r="8176" customFormat="1" x14ac:dyDescent="0.15"/>
    <row r="8177" customFormat="1" x14ac:dyDescent="0.15"/>
    <row r="8178" customFormat="1" x14ac:dyDescent="0.15"/>
    <row r="8179" customFormat="1" x14ac:dyDescent="0.15"/>
    <row r="8180" customFormat="1" x14ac:dyDescent="0.15"/>
    <row r="8181" customFormat="1" x14ac:dyDescent="0.15"/>
    <row r="8182" customFormat="1" x14ac:dyDescent="0.15"/>
    <row r="8183" customFormat="1" x14ac:dyDescent="0.15"/>
    <row r="8184" customFormat="1" x14ac:dyDescent="0.15"/>
    <row r="8185" customFormat="1" x14ac:dyDescent="0.15"/>
    <row r="8186" customFormat="1" x14ac:dyDescent="0.15"/>
    <row r="8187" customFormat="1" x14ac:dyDescent="0.15"/>
    <row r="8188" customFormat="1" x14ac:dyDescent="0.15"/>
    <row r="8189" customFormat="1" x14ac:dyDescent="0.15"/>
    <row r="8190" customFormat="1" x14ac:dyDescent="0.15"/>
    <row r="8191" customFormat="1" x14ac:dyDescent="0.15"/>
    <row r="8192" customFormat="1" x14ac:dyDescent="0.15"/>
    <row r="8193" customFormat="1" x14ac:dyDescent="0.15"/>
    <row r="8194" customFormat="1" x14ac:dyDescent="0.15"/>
    <row r="8195" customFormat="1" x14ac:dyDescent="0.15"/>
    <row r="8196" customFormat="1" x14ac:dyDescent="0.15"/>
    <row r="8197" customFormat="1" x14ac:dyDescent="0.15"/>
    <row r="8198" customFormat="1" x14ac:dyDescent="0.15"/>
    <row r="8199" customFormat="1" x14ac:dyDescent="0.15"/>
    <row r="8200" customFormat="1" x14ac:dyDescent="0.15"/>
    <row r="8201" customFormat="1" x14ac:dyDescent="0.15"/>
    <row r="8202" customFormat="1" x14ac:dyDescent="0.15"/>
    <row r="8203" customFormat="1" x14ac:dyDescent="0.15"/>
    <row r="8204" customFormat="1" x14ac:dyDescent="0.15"/>
    <row r="8205" customFormat="1" x14ac:dyDescent="0.15"/>
    <row r="8206" customFormat="1" x14ac:dyDescent="0.15"/>
    <row r="8207" customFormat="1" x14ac:dyDescent="0.15"/>
    <row r="8208" customFormat="1" x14ac:dyDescent="0.15"/>
    <row r="8209" customFormat="1" x14ac:dyDescent="0.15"/>
    <row r="8210" customFormat="1" x14ac:dyDescent="0.15"/>
    <row r="8211" customFormat="1" x14ac:dyDescent="0.15"/>
    <row r="8212" customFormat="1" x14ac:dyDescent="0.15"/>
    <row r="8213" customFormat="1" x14ac:dyDescent="0.15"/>
    <row r="8214" customFormat="1" x14ac:dyDescent="0.15"/>
    <row r="8215" customFormat="1" x14ac:dyDescent="0.15"/>
    <row r="8216" customFormat="1" x14ac:dyDescent="0.15"/>
    <row r="8217" customFormat="1" x14ac:dyDescent="0.15"/>
    <row r="8218" customFormat="1" x14ac:dyDescent="0.15"/>
    <row r="8219" customFormat="1" x14ac:dyDescent="0.15"/>
    <row r="8220" customFormat="1" x14ac:dyDescent="0.15"/>
    <row r="8221" customFormat="1" x14ac:dyDescent="0.15"/>
    <row r="8222" customFormat="1" x14ac:dyDescent="0.15"/>
    <row r="8223" customFormat="1" x14ac:dyDescent="0.15"/>
    <row r="8224" customFormat="1" x14ac:dyDescent="0.15"/>
    <row r="8225" customFormat="1" x14ac:dyDescent="0.15"/>
    <row r="8226" customFormat="1" x14ac:dyDescent="0.15"/>
    <row r="8227" customFormat="1" x14ac:dyDescent="0.15"/>
    <row r="8228" customFormat="1" x14ac:dyDescent="0.15"/>
    <row r="8229" customFormat="1" x14ac:dyDescent="0.15"/>
    <row r="8230" customFormat="1" x14ac:dyDescent="0.15"/>
    <row r="8231" customFormat="1" x14ac:dyDescent="0.15"/>
    <row r="8232" customFormat="1" x14ac:dyDescent="0.15"/>
    <row r="8233" customFormat="1" x14ac:dyDescent="0.15"/>
    <row r="8234" customFormat="1" x14ac:dyDescent="0.15"/>
    <row r="8235" customFormat="1" x14ac:dyDescent="0.15"/>
    <row r="8236" customFormat="1" x14ac:dyDescent="0.15"/>
    <row r="8237" customFormat="1" x14ac:dyDescent="0.15"/>
    <row r="8238" customFormat="1" x14ac:dyDescent="0.15"/>
    <row r="8239" customFormat="1" x14ac:dyDescent="0.15"/>
    <row r="8240" customFormat="1" x14ac:dyDescent="0.15"/>
    <row r="8241" customFormat="1" x14ac:dyDescent="0.15"/>
    <row r="8242" customFormat="1" x14ac:dyDescent="0.15"/>
    <row r="8243" customFormat="1" x14ac:dyDescent="0.15"/>
    <row r="8244" customFormat="1" x14ac:dyDescent="0.15"/>
    <row r="8245" customFormat="1" x14ac:dyDescent="0.15"/>
    <row r="8246" customFormat="1" x14ac:dyDescent="0.15"/>
    <row r="8247" customFormat="1" x14ac:dyDescent="0.15"/>
    <row r="8248" customFormat="1" x14ac:dyDescent="0.15"/>
    <row r="8249" customFormat="1" x14ac:dyDescent="0.15"/>
    <row r="8250" customFormat="1" x14ac:dyDescent="0.15"/>
    <row r="8251" customFormat="1" x14ac:dyDescent="0.15"/>
    <row r="8252" customFormat="1" x14ac:dyDescent="0.15"/>
    <row r="8253" customFormat="1" x14ac:dyDescent="0.15"/>
    <row r="8254" customFormat="1" x14ac:dyDescent="0.15"/>
    <row r="8255" customFormat="1" x14ac:dyDescent="0.15"/>
    <row r="8256" customFormat="1" x14ac:dyDescent="0.15"/>
    <row r="8257" customFormat="1" x14ac:dyDescent="0.15"/>
    <row r="8258" customFormat="1" x14ac:dyDescent="0.15"/>
    <row r="8259" customFormat="1" x14ac:dyDescent="0.15"/>
    <row r="8260" customFormat="1" x14ac:dyDescent="0.15"/>
    <row r="8261" customFormat="1" x14ac:dyDescent="0.15"/>
    <row r="8262" customFormat="1" x14ac:dyDescent="0.15"/>
    <row r="8263" customFormat="1" x14ac:dyDescent="0.15"/>
    <row r="8264" customFormat="1" x14ac:dyDescent="0.15"/>
    <row r="8265" customFormat="1" x14ac:dyDescent="0.15"/>
    <row r="8266" customFormat="1" x14ac:dyDescent="0.15"/>
    <row r="8267" customFormat="1" x14ac:dyDescent="0.15"/>
    <row r="8268" customFormat="1" x14ac:dyDescent="0.15"/>
    <row r="8269" customFormat="1" x14ac:dyDescent="0.15"/>
    <row r="8270" customFormat="1" x14ac:dyDescent="0.15"/>
    <row r="8271" customFormat="1" x14ac:dyDescent="0.15"/>
    <row r="8272" customFormat="1" x14ac:dyDescent="0.15"/>
    <row r="8273" customFormat="1" x14ac:dyDescent="0.15"/>
    <row r="8274" customFormat="1" x14ac:dyDescent="0.15"/>
    <row r="8275" customFormat="1" x14ac:dyDescent="0.15"/>
    <row r="8276" customFormat="1" x14ac:dyDescent="0.15"/>
    <row r="8277" customFormat="1" x14ac:dyDescent="0.15"/>
    <row r="8278" customFormat="1" x14ac:dyDescent="0.15"/>
    <row r="8279" customFormat="1" x14ac:dyDescent="0.15"/>
    <row r="8280" customFormat="1" x14ac:dyDescent="0.15"/>
    <row r="8281" customFormat="1" x14ac:dyDescent="0.15"/>
    <row r="8282" customFormat="1" x14ac:dyDescent="0.15"/>
    <row r="8283" customFormat="1" x14ac:dyDescent="0.15"/>
    <row r="8284" customFormat="1" x14ac:dyDescent="0.15"/>
    <row r="8285" customFormat="1" x14ac:dyDescent="0.15"/>
    <row r="8286" customFormat="1" x14ac:dyDescent="0.15"/>
    <row r="8287" customFormat="1" x14ac:dyDescent="0.15"/>
    <row r="8288" customFormat="1" x14ac:dyDescent="0.15"/>
    <row r="8289" customFormat="1" x14ac:dyDescent="0.15"/>
    <row r="8290" customFormat="1" x14ac:dyDescent="0.15"/>
    <row r="8291" customFormat="1" x14ac:dyDescent="0.15"/>
    <row r="8292" customFormat="1" x14ac:dyDescent="0.15"/>
    <row r="8293" customFormat="1" x14ac:dyDescent="0.15"/>
    <row r="8294" customFormat="1" x14ac:dyDescent="0.15"/>
    <row r="8295" customFormat="1" x14ac:dyDescent="0.15"/>
    <row r="8296" customFormat="1" x14ac:dyDescent="0.15"/>
    <row r="8297" customFormat="1" x14ac:dyDescent="0.15"/>
    <row r="8298" customFormat="1" x14ac:dyDescent="0.15"/>
    <row r="8299" customFormat="1" x14ac:dyDescent="0.15"/>
    <row r="8300" customFormat="1" x14ac:dyDescent="0.15"/>
    <row r="8301" customFormat="1" x14ac:dyDescent="0.15"/>
    <row r="8302" customFormat="1" x14ac:dyDescent="0.15"/>
    <row r="8303" customFormat="1" x14ac:dyDescent="0.15"/>
    <row r="8304" customFormat="1" x14ac:dyDescent="0.15"/>
    <row r="8305" customFormat="1" x14ac:dyDescent="0.15"/>
    <row r="8306" customFormat="1" x14ac:dyDescent="0.15"/>
    <row r="8307" customFormat="1" x14ac:dyDescent="0.15"/>
    <row r="8308" customFormat="1" x14ac:dyDescent="0.15"/>
    <row r="8309" customFormat="1" x14ac:dyDescent="0.15"/>
    <row r="8310" customFormat="1" x14ac:dyDescent="0.15"/>
    <row r="8311" customFormat="1" x14ac:dyDescent="0.15"/>
    <row r="8312" customFormat="1" x14ac:dyDescent="0.15"/>
    <row r="8313" customFormat="1" x14ac:dyDescent="0.15"/>
    <row r="8314" customFormat="1" x14ac:dyDescent="0.15"/>
    <row r="8315" customFormat="1" x14ac:dyDescent="0.15"/>
    <row r="8316" customFormat="1" x14ac:dyDescent="0.15"/>
    <row r="8317" customFormat="1" x14ac:dyDescent="0.15"/>
    <row r="8318" customFormat="1" x14ac:dyDescent="0.15"/>
    <row r="8319" customFormat="1" x14ac:dyDescent="0.15"/>
    <row r="8320" customFormat="1" x14ac:dyDescent="0.15"/>
    <row r="8321" customFormat="1" x14ac:dyDescent="0.15"/>
    <row r="8322" customFormat="1" x14ac:dyDescent="0.15"/>
    <row r="8323" customFormat="1" x14ac:dyDescent="0.15"/>
    <row r="8324" customFormat="1" x14ac:dyDescent="0.15"/>
    <row r="8325" customFormat="1" x14ac:dyDescent="0.15"/>
    <row r="8326" customFormat="1" x14ac:dyDescent="0.15"/>
    <row r="8327" customFormat="1" x14ac:dyDescent="0.15"/>
    <row r="8328" customFormat="1" x14ac:dyDescent="0.15"/>
    <row r="8329" customFormat="1" x14ac:dyDescent="0.15"/>
    <row r="8330" customFormat="1" x14ac:dyDescent="0.15"/>
    <row r="8331" customFormat="1" x14ac:dyDescent="0.15"/>
    <row r="8332" customFormat="1" x14ac:dyDescent="0.15"/>
    <row r="8333" customFormat="1" x14ac:dyDescent="0.15"/>
    <row r="8334" customFormat="1" x14ac:dyDescent="0.15"/>
    <row r="8335" customFormat="1" x14ac:dyDescent="0.15"/>
    <row r="8336" customFormat="1" x14ac:dyDescent="0.15"/>
    <row r="8337" customFormat="1" x14ac:dyDescent="0.15"/>
    <row r="8338" customFormat="1" x14ac:dyDescent="0.15"/>
    <row r="8339" customFormat="1" x14ac:dyDescent="0.15"/>
    <row r="8340" customFormat="1" x14ac:dyDescent="0.15"/>
    <row r="8341" customFormat="1" x14ac:dyDescent="0.15"/>
    <row r="8342" customFormat="1" x14ac:dyDescent="0.15"/>
    <row r="8343" customFormat="1" x14ac:dyDescent="0.15"/>
    <row r="8344" customFormat="1" x14ac:dyDescent="0.15"/>
    <row r="8345" customFormat="1" x14ac:dyDescent="0.15"/>
    <row r="8346" customFormat="1" x14ac:dyDescent="0.15"/>
    <row r="8347" customFormat="1" x14ac:dyDescent="0.15"/>
    <row r="8348" customFormat="1" x14ac:dyDescent="0.15"/>
    <row r="8349" customFormat="1" x14ac:dyDescent="0.15"/>
    <row r="8350" customFormat="1" x14ac:dyDescent="0.15"/>
    <row r="8351" customFormat="1" x14ac:dyDescent="0.15"/>
    <row r="8352" customFormat="1" x14ac:dyDescent="0.15"/>
    <row r="8353" customFormat="1" x14ac:dyDescent="0.15"/>
    <row r="8354" customFormat="1" x14ac:dyDescent="0.15"/>
    <row r="8355" customFormat="1" x14ac:dyDescent="0.15"/>
    <row r="8356" customFormat="1" x14ac:dyDescent="0.15"/>
    <row r="8357" customFormat="1" x14ac:dyDescent="0.15"/>
    <row r="8358" customFormat="1" x14ac:dyDescent="0.15"/>
    <row r="8359" customFormat="1" x14ac:dyDescent="0.15"/>
    <row r="8360" customFormat="1" x14ac:dyDescent="0.15"/>
    <row r="8361" customFormat="1" x14ac:dyDescent="0.15"/>
    <row r="8362" customFormat="1" x14ac:dyDescent="0.15"/>
    <row r="8363" customFormat="1" x14ac:dyDescent="0.15"/>
    <row r="8364" customFormat="1" x14ac:dyDescent="0.15"/>
    <row r="8365" customFormat="1" x14ac:dyDescent="0.15"/>
    <row r="8366" customFormat="1" x14ac:dyDescent="0.15"/>
    <row r="8367" customFormat="1" x14ac:dyDescent="0.15"/>
    <row r="8368" customFormat="1" x14ac:dyDescent="0.15"/>
    <row r="8369" customFormat="1" x14ac:dyDescent="0.15"/>
    <row r="8370" customFormat="1" x14ac:dyDescent="0.15"/>
    <row r="8371" customFormat="1" x14ac:dyDescent="0.15"/>
    <row r="8372" customFormat="1" x14ac:dyDescent="0.15"/>
    <row r="8373" customFormat="1" x14ac:dyDescent="0.15"/>
    <row r="8374" customFormat="1" x14ac:dyDescent="0.15"/>
    <row r="8375" customFormat="1" x14ac:dyDescent="0.15"/>
    <row r="8376" customFormat="1" x14ac:dyDescent="0.15"/>
    <row r="8377" customFormat="1" x14ac:dyDescent="0.15"/>
    <row r="8378" customFormat="1" x14ac:dyDescent="0.15"/>
    <row r="8379" customFormat="1" x14ac:dyDescent="0.15"/>
    <row r="8380" customFormat="1" x14ac:dyDescent="0.15"/>
    <row r="8381" customFormat="1" x14ac:dyDescent="0.15"/>
    <row r="8382" customFormat="1" x14ac:dyDescent="0.15"/>
    <row r="8383" customFormat="1" x14ac:dyDescent="0.15"/>
    <row r="8384" customFormat="1" x14ac:dyDescent="0.15"/>
    <row r="8385" customFormat="1" x14ac:dyDescent="0.15"/>
    <row r="8386" customFormat="1" x14ac:dyDescent="0.15"/>
    <row r="8387" customFormat="1" x14ac:dyDescent="0.15"/>
    <row r="8388" customFormat="1" x14ac:dyDescent="0.15"/>
    <row r="8389" customFormat="1" x14ac:dyDescent="0.15"/>
    <row r="8390" customFormat="1" x14ac:dyDescent="0.15"/>
    <row r="8391" customFormat="1" x14ac:dyDescent="0.15"/>
    <row r="8392" customFormat="1" x14ac:dyDescent="0.15"/>
    <row r="8393" customFormat="1" x14ac:dyDescent="0.15"/>
    <row r="8394" customFormat="1" x14ac:dyDescent="0.15"/>
    <row r="8395" customFormat="1" x14ac:dyDescent="0.15"/>
    <row r="8396" customFormat="1" x14ac:dyDescent="0.15"/>
    <row r="8397" customFormat="1" x14ac:dyDescent="0.15"/>
    <row r="8398" customFormat="1" x14ac:dyDescent="0.15"/>
    <row r="8399" customFormat="1" x14ac:dyDescent="0.15"/>
    <row r="8400" customFormat="1" x14ac:dyDescent="0.15"/>
    <row r="8401" customFormat="1" x14ac:dyDescent="0.15"/>
    <row r="8402" customFormat="1" x14ac:dyDescent="0.15"/>
    <row r="8403" customFormat="1" x14ac:dyDescent="0.15"/>
    <row r="8404" customFormat="1" x14ac:dyDescent="0.15"/>
    <row r="8405" customFormat="1" x14ac:dyDescent="0.15"/>
    <row r="8406" customFormat="1" x14ac:dyDescent="0.15"/>
    <row r="8407" customFormat="1" x14ac:dyDescent="0.15"/>
    <row r="8408" customFormat="1" x14ac:dyDescent="0.15"/>
    <row r="8409" customFormat="1" x14ac:dyDescent="0.15"/>
    <row r="8410" customFormat="1" x14ac:dyDescent="0.15"/>
    <row r="8411" customFormat="1" x14ac:dyDescent="0.15"/>
    <row r="8412" customFormat="1" x14ac:dyDescent="0.15"/>
    <row r="8413" customFormat="1" x14ac:dyDescent="0.15"/>
    <row r="8414" customFormat="1" x14ac:dyDescent="0.15"/>
    <row r="8415" customFormat="1" x14ac:dyDescent="0.15"/>
    <row r="8416" customFormat="1" x14ac:dyDescent="0.15"/>
    <row r="8417" customFormat="1" x14ac:dyDescent="0.15"/>
    <row r="8418" customFormat="1" x14ac:dyDescent="0.15"/>
    <row r="8419" customFormat="1" x14ac:dyDescent="0.15"/>
    <row r="8420" customFormat="1" x14ac:dyDescent="0.15"/>
    <row r="8421" customFormat="1" x14ac:dyDescent="0.15"/>
    <row r="8422" customFormat="1" x14ac:dyDescent="0.15"/>
    <row r="8423" customFormat="1" x14ac:dyDescent="0.15"/>
    <row r="8424" customFormat="1" x14ac:dyDescent="0.15"/>
    <row r="8425" customFormat="1" x14ac:dyDescent="0.15"/>
    <row r="8426" customFormat="1" x14ac:dyDescent="0.15"/>
    <row r="8427" customFormat="1" x14ac:dyDescent="0.15"/>
    <row r="8428" customFormat="1" x14ac:dyDescent="0.15"/>
    <row r="8429" customFormat="1" x14ac:dyDescent="0.15"/>
    <row r="8430" customFormat="1" x14ac:dyDescent="0.15"/>
    <row r="8431" customFormat="1" x14ac:dyDescent="0.15"/>
    <row r="8432" customFormat="1" x14ac:dyDescent="0.15"/>
    <row r="8433" customFormat="1" x14ac:dyDescent="0.15"/>
    <row r="8434" customFormat="1" x14ac:dyDescent="0.15"/>
    <row r="8435" customFormat="1" x14ac:dyDescent="0.15"/>
    <row r="8436" customFormat="1" x14ac:dyDescent="0.15"/>
    <row r="8437" customFormat="1" x14ac:dyDescent="0.15"/>
    <row r="8438" customFormat="1" x14ac:dyDescent="0.15"/>
    <row r="8439" customFormat="1" x14ac:dyDescent="0.15"/>
    <row r="8440" customFormat="1" x14ac:dyDescent="0.15"/>
    <row r="8441" customFormat="1" x14ac:dyDescent="0.15"/>
    <row r="8442" customFormat="1" x14ac:dyDescent="0.15"/>
    <row r="8443" customFormat="1" x14ac:dyDescent="0.15"/>
    <row r="8444" customFormat="1" x14ac:dyDescent="0.15"/>
    <row r="8445" customFormat="1" x14ac:dyDescent="0.15"/>
    <row r="8446" customFormat="1" x14ac:dyDescent="0.15"/>
    <row r="8447" customFormat="1" x14ac:dyDescent="0.15"/>
    <row r="8448" customFormat="1" x14ac:dyDescent="0.15"/>
    <row r="8449" customFormat="1" x14ac:dyDescent="0.15"/>
    <row r="8450" customFormat="1" x14ac:dyDescent="0.15"/>
    <row r="8451" customFormat="1" x14ac:dyDescent="0.15"/>
    <row r="8452" customFormat="1" x14ac:dyDescent="0.15"/>
    <row r="8453" customFormat="1" x14ac:dyDescent="0.15"/>
    <row r="8454" customFormat="1" x14ac:dyDescent="0.15"/>
    <row r="8455" customFormat="1" x14ac:dyDescent="0.15"/>
    <row r="8456" customFormat="1" x14ac:dyDescent="0.15"/>
    <row r="8457" customFormat="1" x14ac:dyDescent="0.15"/>
    <row r="8458" customFormat="1" x14ac:dyDescent="0.15"/>
    <row r="8459" customFormat="1" x14ac:dyDescent="0.15"/>
    <row r="8460" customFormat="1" x14ac:dyDescent="0.15"/>
    <row r="8461" customFormat="1" x14ac:dyDescent="0.15"/>
    <row r="8462" customFormat="1" x14ac:dyDescent="0.15"/>
    <row r="8463" customFormat="1" x14ac:dyDescent="0.15"/>
    <row r="8464" customFormat="1" x14ac:dyDescent="0.15"/>
    <row r="8465" customFormat="1" x14ac:dyDescent="0.15"/>
    <row r="8466" customFormat="1" x14ac:dyDescent="0.15"/>
    <row r="8467" customFormat="1" x14ac:dyDescent="0.15"/>
    <row r="8468" customFormat="1" x14ac:dyDescent="0.15"/>
    <row r="8469" customFormat="1" x14ac:dyDescent="0.15"/>
    <row r="8470" customFormat="1" x14ac:dyDescent="0.15"/>
    <row r="8471" customFormat="1" x14ac:dyDescent="0.15"/>
    <row r="8472" customFormat="1" x14ac:dyDescent="0.15"/>
    <row r="8473" customFormat="1" x14ac:dyDescent="0.15"/>
    <row r="8474" customFormat="1" x14ac:dyDescent="0.15"/>
    <row r="8475" customFormat="1" x14ac:dyDescent="0.15"/>
    <row r="8476" customFormat="1" x14ac:dyDescent="0.15"/>
    <row r="8477" customFormat="1" x14ac:dyDescent="0.15"/>
    <row r="8478" customFormat="1" x14ac:dyDescent="0.15"/>
    <row r="8479" customFormat="1" x14ac:dyDescent="0.15"/>
    <row r="8480" customFormat="1" x14ac:dyDescent="0.15"/>
    <row r="8481" customFormat="1" x14ac:dyDescent="0.15"/>
    <row r="8482" customFormat="1" x14ac:dyDescent="0.15"/>
    <row r="8483" customFormat="1" x14ac:dyDescent="0.15"/>
    <row r="8484" customFormat="1" x14ac:dyDescent="0.15"/>
    <row r="8485" customFormat="1" x14ac:dyDescent="0.15"/>
    <row r="8486" customFormat="1" x14ac:dyDescent="0.15"/>
    <row r="8487" customFormat="1" x14ac:dyDescent="0.15"/>
    <row r="8488" customFormat="1" x14ac:dyDescent="0.15"/>
    <row r="8489" customFormat="1" x14ac:dyDescent="0.15"/>
    <row r="8490" customFormat="1" x14ac:dyDescent="0.15"/>
    <row r="8491" customFormat="1" x14ac:dyDescent="0.15"/>
    <row r="8492" customFormat="1" x14ac:dyDescent="0.15"/>
    <row r="8493" customFormat="1" x14ac:dyDescent="0.15"/>
    <row r="8494" customFormat="1" x14ac:dyDescent="0.15"/>
    <row r="8495" customFormat="1" x14ac:dyDescent="0.15"/>
    <row r="8496" customFormat="1" x14ac:dyDescent="0.15"/>
    <row r="8497" customFormat="1" x14ac:dyDescent="0.15"/>
    <row r="8498" customFormat="1" x14ac:dyDescent="0.15"/>
    <row r="8499" customFormat="1" x14ac:dyDescent="0.15"/>
    <row r="8500" customFormat="1" x14ac:dyDescent="0.15"/>
    <row r="8501" customFormat="1" x14ac:dyDescent="0.15"/>
    <row r="8502" customFormat="1" x14ac:dyDescent="0.15"/>
    <row r="8503" customFormat="1" x14ac:dyDescent="0.15"/>
    <row r="8504" customFormat="1" x14ac:dyDescent="0.15"/>
    <row r="8505" customFormat="1" x14ac:dyDescent="0.15"/>
    <row r="8506" customFormat="1" x14ac:dyDescent="0.15"/>
    <row r="8507" customFormat="1" x14ac:dyDescent="0.15"/>
    <row r="8508" customFormat="1" x14ac:dyDescent="0.15"/>
    <row r="8509" customFormat="1" x14ac:dyDescent="0.15"/>
    <row r="8510" customFormat="1" x14ac:dyDescent="0.15"/>
    <row r="8511" customFormat="1" x14ac:dyDescent="0.15"/>
    <row r="8512" customFormat="1" x14ac:dyDescent="0.15"/>
    <row r="8513" customFormat="1" x14ac:dyDescent="0.15"/>
    <row r="8514" customFormat="1" x14ac:dyDescent="0.15"/>
    <row r="8515" customFormat="1" x14ac:dyDescent="0.15"/>
    <row r="8516" customFormat="1" x14ac:dyDescent="0.15"/>
    <row r="8517" customFormat="1" x14ac:dyDescent="0.15"/>
    <row r="8518" customFormat="1" x14ac:dyDescent="0.15"/>
    <row r="8519" customFormat="1" x14ac:dyDescent="0.15"/>
    <row r="8520" customFormat="1" x14ac:dyDescent="0.15"/>
    <row r="8521" customFormat="1" x14ac:dyDescent="0.15"/>
    <row r="8522" customFormat="1" x14ac:dyDescent="0.15"/>
    <row r="8523" customFormat="1" x14ac:dyDescent="0.15"/>
    <row r="8524" customFormat="1" x14ac:dyDescent="0.15"/>
    <row r="8525" customFormat="1" x14ac:dyDescent="0.15"/>
    <row r="8526" customFormat="1" x14ac:dyDescent="0.15"/>
    <row r="8527" customFormat="1" x14ac:dyDescent="0.15"/>
    <row r="8528" customFormat="1" x14ac:dyDescent="0.15"/>
    <row r="8529" customFormat="1" x14ac:dyDescent="0.15"/>
    <row r="8530" customFormat="1" x14ac:dyDescent="0.15"/>
    <row r="8531" customFormat="1" x14ac:dyDescent="0.15"/>
    <row r="8532" customFormat="1" x14ac:dyDescent="0.15"/>
    <row r="8533" customFormat="1" x14ac:dyDescent="0.15"/>
    <row r="8534" customFormat="1" x14ac:dyDescent="0.15"/>
    <row r="8535" customFormat="1" x14ac:dyDescent="0.15"/>
    <row r="8536" customFormat="1" x14ac:dyDescent="0.15"/>
    <row r="8537" customFormat="1" x14ac:dyDescent="0.15"/>
    <row r="8538" customFormat="1" x14ac:dyDescent="0.15"/>
    <row r="8539" customFormat="1" x14ac:dyDescent="0.15"/>
    <row r="8540" customFormat="1" x14ac:dyDescent="0.15"/>
    <row r="8541" customFormat="1" x14ac:dyDescent="0.15"/>
    <row r="8542" customFormat="1" x14ac:dyDescent="0.15"/>
    <row r="8543" customFormat="1" x14ac:dyDescent="0.15"/>
    <row r="8544" customFormat="1" x14ac:dyDescent="0.15"/>
    <row r="8545" customFormat="1" x14ac:dyDescent="0.15"/>
    <row r="8546" customFormat="1" x14ac:dyDescent="0.15"/>
    <row r="8547" customFormat="1" x14ac:dyDescent="0.15"/>
    <row r="8548" customFormat="1" x14ac:dyDescent="0.15"/>
    <row r="8549" customFormat="1" x14ac:dyDescent="0.15"/>
    <row r="8550" customFormat="1" x14ac:dyDescent="0.15"/>
    <row r="8551" customFormat="1" x14ac:dyDescent="0.15"/>
    <row r="8552" customFormat="1" x14ac:dyDescent="0.15"/>
    <row r="8553" customFormat="1" x14ac:dyDescent="0.15"/>
    <row r="8554" customFormat="1" x14ac:dyDescent="0.15"/>
    <row r="8555" customFormat="1" x14ac:dyDescent="0.15"/>
    <row r="8556" customFormat="1" x14ac:dyDescent="0.15"/>
    <row r="8557" customFormat="1" x14ac:dyDescent="0.15"/>
    <row r="8558" customFormat="1" x14ac:dyDescent="0.15"/>
    <row r="8559" customFormat="1" x14ac:dyDescent="0.15"/>
    <row r="8560" customFormat="1" x14ac:dyDescent="0.15"/>
    <row r="8561" customFormat="1" x14ac:dyDescent="0.15"/>
    <row r="8562" customFormat="1" x14ac:dyDescent="0.15"/>
    <row r="8563" customFormat="1" x14ac:dyDescent="0.15"/>
    <row r="8564" customFormat="1" x14ac:dyDescent="0.15"/>
    <row r="8565" customFormat="1" x14ac:dyDescent="0.15"/>
    <row r="8566" customFormat="1" x14ac:dyDescent="0.15"/>
    <row r="8567" customFormat="1" x14ac:dyDescent="0.15"/>
    <row r="8568" customFormat="1" x14ac:dyDescent="0.15"/>
    <row r="8569" customFormat="1" x14ac:dyDescent="0.15"/>
    <row r="8570" customFormat="1" x14ac:dyDescent="0.15"/>
    <row r="8571" customFormat="1" x14ac:dyDescent="0.15"/>
    <row r="8572" customFormat="1" x14ac:dyDescent="0.15"/>
    <row r="8573" customFormat="1" x14ac:dyDescent="0.15"/>
    <row r="8574" customFormat="1" x14ac:dyDescent="0.15"/>
    <row r="8575" customFormat="1" x14ac:dyDescent="0.15"/>
    <row r="8576" customFormat="1" x14ac:dyDescent="0.15"/>
    <row r="8577" customFormat="1" x14ac:dyDescent="0.15"/>
    <row r="8578" customFormat="1" x14ac:dyDescent="0.15"/>
    <row r="8579" customFormat="1" x14ac:dyDescent="0.15"/>
    <row r="8580" customFormat="1" x14ac:dyDescent="0.15"/>
    <row r="8581" customFormat="1" x14ac:dyDescent="0.15"/>
    <row r="8582" customFormat="1" x14ac:dyDescent="0.15"/>
    <row r="8583" customFormat="1" x14ac:dyDescent="0.15"/>
    <row r="8584" customFormat="1" x14ac:dyDescent="0.15"/>
    <row r="8585" customFormat="1" x14ac:dyDescent="0.15"/>
    <row r="8586" customFormat="1" x14ac:dyDescent="0.15"/>
    <row r="8587" customFormat="1" x14ac:dyDescent="0.15"/>
    <row r="8588" customFormat="1" x14ac:dyDescent="0.15"/>
    <row r="8589" customFormat="1" x14ac:dyDescent="0.15"/>
    <row r="8590" customFormat="1" x14ac:dyDescent="0.15"/>
    <row r="8591" customFormat="1" x14ac:dyDescent="0.15"/>
    <row r="8592" customFormat="1" x14ac:dyDescent="0.15"/>
    <row r="8593" customFormat="1" x14ac:dyDescent="0.15"/>
    <row r="8594" customFormat="1" x14ac:dyDescent="0.15"/>
    <row r="8595" customFormat="1" x14ac:dyDescent="0.15"/>
    <row r="8596" customFormat="1" x14ac:dyDescent="0.15"/>
    <row r="8597" customFormat="1" x14ac:dyDescent="0.15"/>
    <row r="8598" customFormat="1" x14ac:dyDescent="0.15"/>
    <row r="8599" customFormat="1" x14ac:dyDescent="0.15"/>
    <row r="8600" customFormat="1" x14ac:dyDescent="0.15"/>
    <row r="8601" customFormat="1" x14ac:dyDescent="0.15"/>
    <row r="8602" customFormat="1" x14ac:dyDescent="0.15"/>
    <row r="8603" customFormat="1" x14ac:dyDescent="0.15"/>
    <row r="8604" customFormat="1" x14ac:dyDescent="0.15"/>
    <row r="8605" customFormat="1" x14ac:dyDescent="0.15"/>
    <row r="8606" customFormat="1" x14ac:dyDescent="0.15"/>
    <row r="8607" customFormat="1" x14ac:dyDescent="0.15"/>
    <row r="8608" customFormat="1" x14ac:dyDescent="0.15"/>
    <row r="8609" customFormat="1" x14ac:dyDescent="0.15"/>
    <row r="8610" customFormat="1" x14ac:dyDescent="0.15"/>
    <row r="8611" customFormat="1" x14ac:dyDescent="0.15"/>
    <row r="8612" customFormat="1" x14ac:dyDescent="0.15"/>
    <row r="8613" customFormat="1" x14ac:dyDescent="0.15"/>
    <row r="8614" customFormat="1" x14ac:dyDescent="0.15"/>
    <row r="8615" customFormat="1" x14ac:dyDescent="0.15"/>
    <row r="8616" customFormat="1" x14ac:dyDescent="0.15"/>
    <row r="8617" customFormat="1" x14ac:dyDescent="0.15"/>
    <row r="8618" customFormat="1" x14ac:dyDescent="0.15"/>
    <row r="8619" customFormat="1" x14ac:dyDescent="0.15"/>
    <row r="8620" customFormat="1" x14ac:dyDescent="0.15"/>
    <row r="8621" customFormat="1" x14ac:dyDescent="0.15"/>
    <row r="8622" customFormat="1" x14ac:dyDescent="0.15"/>
    <row r="8623" customFormat="1" x14ac:dyDescent="0.15"/>
    <row r="8624" customFormat="1" x14ac:dyDescent="0.15"/>
    <row r="8625" customFormat="1" x14ac:dyDescent="0.15"/>
    <row r="8626" customFormat="1" x14ac:dyDescent="0.15"/>
    <row r="8627" customFormat="1" x14ac:dyDescent="0.15"/>
    <row r="8628" customFormat="1" x14ac:dyDescent="0.15"/>
    <row r="8629" customFormat="1" x14ac:dyDescent="0.15"/>
    <row r="8630" customFormat="1" x14ac:dyDescent="0.15"/>
    <row r="8631" customFormat="1" x14ac:dyDescent="0.15"/>
    <row r="8632" customFormat="1" x14ac:dyDescent="0.15"/>
    <row r="8633" customFormat="1" x14ac:dyDescent="0.15"/>
    <row r="8634" customFormat="1" x14ac:dyDescent="0.15"/>
    <row r="8635" customFormat="1" x14ac:dyDescent="0.15"/>
    <row r="8636" customFormat="1" x14ac:dyDescent="0.15"/>
    <row r="8637" customFormat="1" x14ac:dyDescent="0.15"/>
    <row r="8638" customFormat="1" x14ac:dyDescent="0.15"/>
    <row r="8639" customFormat="1" x14ac:dyDescent="0.15"/>
    <row r="8640" customFormat="1" x14ac:dyDescent="0.15"/>
    <row r="8641" customFormat="1" x14ac:dyDescent="0.15"/>
    <row r="8642" customFormat="1" x14ac:dyDescent="0.15"/>
    <row r="8643" customFormat="1" x14ac:dyDescent="0.15"/>
    <row r="8644" customFormat="1" x14ac:dyDescent="0.15"/>
    <row r="8645" customFormat="1" x14ac:dyDescent="0.15"/>
    <row r="8646" customFormat="1" x14ac:dyDescent="0.15"/>
    <row r="8647" customFormat="1" x14ac:dyDescent="0.15"/>
    <row r="8648" customFormat="1" x14ac:dyDescent="0.15"/>
    <row r="8649" customFormat="1" x14ac:dyDescent="0.15"/>
    <row r="8650" customFormat="1" x14ac:dyDescent="0.15"/>
    <row r="8651" customFormat="1" x14ac:dyDescent="0.15"/>
    <row r="8652" customFormat="1" x14ac:dyDescent="0.15"/>
    <row r="8653" customFormat="1" x14ac:dyDescent="0.15"/>
    <row r="8654" customFormat="1" x14ac:dyDescent="0.15"/>
    <row r="8655" customFormat="1" x14ac:dyDescent="0.15"/>
    <row r="8656" customFormat="1" x14ac:dyDescent="0.15"/>
    <row r="8657" customFormat="1" x14ac:dyDescent="0.15"/>
    <row r="8658" customFormat="1" x14ac:dyDescent="0.15"/>
    <row r="8659" customFormat="1" x14ac:dyDescent="0.15"/>
    <row r="8660" customFormat="1" x14ac:dyDescent="0.15"/>
    <row r="8661" customFormat="1" x14ac:dyDescent="0.15"/>
    <row r="8662" customFormat="1" x14ac:dyDescent="0.15"/>
    <row r="8663" customFormat="1" x14ac:dyDescent="0.15"/>
    <row r="8664" customFormat="1" x14ac:dyDescent="0.15"/>
    <row r="8665" customFormat="1" x14ac:dyDescent="0.15"/>
    <row r="8666" customFormat="1" x14ac:dyDescent="0.15"/>
    <row r="8667" customFormat="1" x14ac:dyDescent="0.15"/>
    <row r="8668" customFormat="1" x14ac:dyDescent="0.15"/>
    <row r="8669" customFormat="1" x14ac:dyDescent="0.15"/>
    <row r="8670" customFormat="1" x14ac:dyDescent="0.15"/>
    <row r="8671" customFormat="1" x14ac:dyDescent="0.15"/>
    <row r="8672" customFormat="1" x14ac:dyDescent="0.15"/>
    <row r="8673" customFormat="1" x14ac:dyDescent="0.15"/>
    <row r="8674" customFormat="1" x14ac:dyDescent="0.15"/>
    <row r="8675" customFormat="1" x14ac:dyDescent="0.15"/>
    <row r="8676" customFormat="1" x14ac:dyDescent="0.15"/>
    <row r="8677" customFormat="1" x14ac:dyDescent="0.15"/>
    <row r="8678" customFormat="1" x14ac:dyDescent="0.15"/>
    <row r="8679" customFormat="1" x14ac:dyDescent="0.15"/>
    <row r="8680" customFormat="1" x14ac:dyDescent="0.15"/>
    <row r="8681" customFormat="1" x14ac:dyDescent="0.15"/>
    <row r="8682" customFormat="1" x14ac:dyDescent="0.15"/>
    <row r="8683" customFormat="1" x14ac:dyDescent="0.15"/>
    <row r="8684" customFormat="1" x14ac:dyDescent="0.15"/>
    <row r="8685" customFormat="1" x14ac:dyDescent="0.15"/>
    <row r="8686" customFormat="1" x14ac:dyDescent="0.15"/>
    <row r="8687" customFormat="1" x14ac:dyDescent="0.15"/>
    <row r="8688" customFormat="1" x14ac:dyDescent="0.15"/>
    <row r="8689" customFormat="1" x14ac:dyDescent="0.15"/>
    <row r="8690" customFormat="1" x14ac:dyDescent="0.15"/>
    <row r="8691" customFormat="1" x14ac:dyDescent="0.15"/>
    <row r="8692" customFormat="1" x14ac:dyDescent="0.15"/>
    <row r="8693" customFormat="1" x14ac:dyDescent="0.15"/>
    <row r="8694" customFormat="1" x14ac:dyDescent="0.15"/>
    <row r="8695" customFormat="1" x14ac:dyDescent="0.15"/>
    <row r="8696" customFormat="1" x14ac:dyDescent="0.15"/>
    <row r="8697" customFormat="1" x14ac:dyDescent="0.15"/>
    <row r="8698" customFormat="1" x14ac:dyDescent="0.15"/>
    <row r="8699" customFormat="1" x14ac:dyDescent="0.15"/>
    <row r="8700" customFormat="1" x14ac:dyDescent="0.15"/>
    <row r="8701" customFormat="1" x14ac:dyDescent="0.15"/>
    <row r="8702" customFormat="1" x14ac:dyDescent="0.15"/>
    <row r="8703" customFormat="1" x14ac:dyDescent="0.15"/>
    <row r="8704" customFormat="1" x14ac:dyDescent="0.15"/>
    <row r="8705" customFormat="1" x14ac:dyDescent="0.15"/>
    <row r="8706" customFormat="1" x14ac:dyDescent="0.15"/>
    <row r="8707" customFormat="1" x14ac:dyDescent="0.15"/>
    <row r="8708" customFormat="1" x14ac:dyDescent="0.15"/>
    <row r="8709" customFormat="1" x14ac:dyDescent="0.15"/>
    <row r="8710" customFormat="1" x14ac:dyDescent="0.15"/>
    <row r="8711" customFormat="1" x14ac:dyDescent="0.15"/>
    <row r="8712" customFormat="1" x14ac:dyDescent="0.15"/>
    <row r="8713" customFormat="1" x14ac:dyDescent="0.15"/>
    <row r="8714" customFormat="1" x14ac:dyDescent="0.15"/>
    <row r="8715" customFormat="1" x14ac:dyDescent="0.15"/>
    <row r="8716" customFormat="1" x14ac:dyDescent="0.15"/>
    <row r="8717" customFormat="1" x14ac:dyDescent="0.15"/>
    <row r="8718" customFormat="1" x14ac:dyDescent="0.15"/>
    <row r="8719" customFormat="1" x14ac:dyDescent="0.15"/>
    <row r="8720" customFormat="1" x14ac:dyDescent="0.15"/>
    <row r="8721" customFormat="1" x14ac:dyDescent="0.15"/>
    <row r="8722" customFormat="1" x14ac:dyDescent="0.15"/>
    <row r="8723" customFormat="1" x14ac:dyDescent="0.15"/>
    <row r="8724" customFormat="1" x14ac:dyDescent="0.15"/>
    <row r="8725" customFormat="1" x14ac:dyDescent="0.15"/>
    <row r="8726" customFormat="1" x14ac:dyDescent="0.15"/>
    <row r="8727" customFormat="1" x14ac:dyDescent="0.15"/>
    <row r="8728" customFormat="1" x14ac:dyDescent="0.15"/>
    <row r="8729" customFormat="1" x14ac:dyDescent="0.15"/>
    <row r="8730" customFormat="1" x14ac:dyDescent="0.15"/>
    <row r="8731" customFormat="1" x14ac:dyDescent="0.15"/>
    <row r="8732" customFormat="1" x14ac:dyDescent="0.15"/>
    <row r="8733" customFormat="1" x14ac:dyDescent="0.15"/>
    <row r="8734" customFormat="1" x14ac:dyDescent="0.15"/>
    <row r="8735" customFormat="1" x14ac:dyDescent="0.15"/>
    <row r="8736" customFormat="1" x14ac:dyDescent="0.15"/>
    <row r="8737" customFormat="1" x14ac:dyDescent="0.15"/>
    <row r="8738" customFormat="1" x14ac:dyDescent="0.15"/>
    <row r="8739" customFormat="1" x14ac:dyDescent="0.15"/>
    <row r="8740" customFormat="1" x14ac:dyDescent="0.15"/>
    <row r="8741" customFormat="1" x14ac:dyDescent="0.15"/>
    <row r="8742" customFormat="1" x14ac:dyDescent="0.15"/>
    <row r="8743" customFormat="1" x14ac:dyDescent="0.15"/>
    <row r="8744" customFormat="1" x14ac:dyDescent="0.15"/>
    <row r="8745" customFormat="1" x14ac:dyDescent="0.15"/>
    <row r="8746" customFormat="1" x14ac:dyDescent="0.15"/>
    <row r="8747" customFormat="1" x14ac:dyDescent="0.15"/>
    <row r="8748" customFormat="1" x14ac:dyDescent="0.15"/>
    <row r="8749" customFormat="1" x14ac:dyDescent="0.15"/>
    <row r="8750" customFormat="1" x14ac:dyDescent="0.15"/>
    <row r="8751" customFormat="1" x14ac:dyDescent="0.15"/>
    <row r="8752" customFormat="1" x14ac:dyDescent="0.15"/>
    <row r="8753" customFormat="1" x14ac:dyDescent="0.15"/>
    <row r="8754" customFormat="1" x14ac:dyDescent="0.15"/>
    <row r="8755" customFormat="1" x14ac:dyDescent="0.15"/>
    <row r="8756" customFormat="1" x14ac:dyDescent="0.15"/>
    <row r="8757" customFormat="1" x14ac:dyDescent="0.15"/>
    <row r="8758" customFormat="1" x14ac:dyDescent="0.15"/>
    <row r="8759" customFormat="1" x14ac:dyDescent="0.15"/>
    <row r="8760" customFormat="1" x14ac:dyDescent="0.15"/>
    <row r="8761" customFormat="1" x14ac:dyDescent="0.15"/>
    <row r="8762" customFormat="1" x14ac:dyDescent="0.15"/>
    <row r="8763" customFormat="1" x14ac:dyDescent="0.15"/>
    <row r="8764" customFormat="1" x14ac:dyDescent="0.15"/>
    <row r="8765" customFormat="1" x14ac:dyDescent="0.15"/>
    <row r="8766" customFormat="1" x14ac:dyDescent="0.15"/>
    <row r="8767" customFormat="1" x14ac:dyDescent="0.15"/>
    <row r="8768" customFormat="1" x14ac:dyDescent="0.15"/>
    <row r="8769" customFormat="1" x14ac:dyDescent="0.15"/>
    <row r="8770" customFormat="1" x14ac:dyDescent="0.15"/>
    <row r="8771" customFormat="1" x14ac:dyDescent="0.15"/>
    <row r="8772" customFormat="1" x14ac:dyDescent="0.15"/>
    <row r="8773" customFormat="1" x14ac:dyDescent="0.15"/>
    <row r="8774" customFormat="1" x14ac:dyDescent="0.15"/>
    <row r="8775" customFormat="1" x14ac:dyDescent="0.15"/>
    <row r="8776" customFormat="1" x14ac:dyDescent="0.15"/>
    <row r="8777" customFormat="1" x14ac:dyDescent="0.15"/>
    <row r="8778" customFormat="1" x14ac:dyDescent="0.15"/>
    <row r="8779" customFormat="1" x14ac:dyDescent="0.15"/>
    <row r="8780" customFormat="1" x14ac:dyDescent="0.15"/>
    <row r="8781" customFormat="1" x14ac:dyDescent="0.15"/>
    <row r="8782" customFormat="1" x14ac:dyDescent="0.15"/>
    <row r="8783" customFormat="1" x14ac:dyDescent="0.15"/>
    <row r="8784" customFormat="1" x14ac:dyDescent="0.15"/>
    <row r="8785" customFormat="1" x14ac:dyDescent="0.15"/>
    <row r="8786" customFormat="1" x14ac:dyDescent="0.15"/>
    <row r="8787" customFormat="1" x14ac:dyDescent="0.15"/>
    <row r="8788" customFormat="1" x14ac:dyDescent="0.15"/>
    <row r="8789" customFormat="1" x14ac:dyDescent="0.15"/>
    <row r="8790" customFormat="1" x14ac:dyDescent="0.15"/>
    <row r="8791" customFormat="1" x14ac:dyDescent="0.15"/>
    <row r="8792" customFormat="1" x14ac:dyDescent="0.15"/>
    <row r="8793" customFormat="1" x14ac:dyDescent="0.15"/>
    <row r="8794" customFormat="1" x14ac:dyDescent="0.15"/>
    <row r="8795" customFormat="1" x14ac:dyDescent="0.15"/>
    <row r="8796" customFormat="1" x14ac:dyDescent="0.15"/>
    <row r="8797" customFormat="1" x14ac:dyDescent="0.15"/>
    <row r="8798" customFormat="1" x14ac:dyDescent="0.15"/>
    <row r="8799" customFormat="1" x14ac:dyDescent="0.15"/>
    <row r="8800" customFormat="1" x14ac:dyDescent="0.15"/>
    <row r="8801" customFormat="1" x14ac:dyDescent="0.15"/>
    <row r="8802" customFormat="1" x14ac:dyDescent="0.15"/>
    <row r="8803" customFormat="1" x14ac:dyDescent="0.15"/>
    <row r="8804" customFormat="1" x14ac:dyDescent="0.15"/>
    <row r="8805" customFormat="1" x14ac:dyDescent="0.15"/>
    <row r="8806" customFormat="1" x14ac:dyDescent="0.15"/>
    <row r="8807" customFormat="1" x14ac:dyDescent="0.15"/>
    <row r="8808" customFormat="1" x14ac:dyDescent="0.15"/>
    <row r="8809" customFormat="1" x14ac:dyDescent="0.15"/>
    <row r="8810" customFormat="1" x14ac:dyDescent="0.15"/>
    <row r="8811" customFormat="1" x14ac:dyDescent="0.15"/>
    <row r="8812" customFormat="1" x14ac:dyDescent="0.15"/>
    <row r="8813" customFormat="1" x14ac:dyDescent="0.15"/>
    <row r="8814" customFormat="1" x14ac:dyDescent="0.15"/>
    <row r="8815" customFormat="1" x14ac:dyDescent="0.15"/>
    <row r="8816" customFormat="1" x14ac:dyDescent="0.15"/>
    <row r="8817" customFormat="1" x14ac:dyDescent="0.15"/>
    <row r="8818" customFormat="1" x14ac:dyDescent="0.15"/>
    <row r="8819" customFormat="1" x14ac:dyDescent="0.15"/>
    <row r="8820" customFormat="1" x14ac:dyDescent="0.15"/>
    <row r="8821" customFormat="1" x14ac:dyDescent="0.15"/>
    <row r="8822" customFormat="1" x14ac:dyDescent="0.15"/>
    <row r="8823" customFormat="1" x14ac:dyDescent="0.15"/>
    <row r="8824" customFormat="1" x14ac:dyDescent="0.15"/>
    <row r="8825" customFormat="1" x14ac:dyDescent="0.15"/>
    <row r="8826" customFormat="1" x14ac:dyDescent="0.15"/>
    <row r="8827" customFormat="1" x14ac:dyDescent="0.15"/>
    <row r="8828" customFormat="1" x14ac:dyDescent="0.15"/>
    <row r="8829" customFormat="1" x14ac:dyDescent="0.15"/>
    <row r="8830" customFormat="1" x14ac:dyDescent="0.15"/>
    <row r="8831" customFormat="1" x14ac:dyDescent="0.15"/>
    <row r="8832" customFormat="1" x14ac:dyDescent="0.15"/>
    <row r="8833" customFormat="1" x14ac:dyDescent="0.15"/>
    <row r="8834" customFormat="1" x14ac:dyDescent="0.15"/>
    <row r="8835" customFormat="1" x14ac:dyDescent="0.15"/>
    <row r="8836" customFormat="1" x14ac:dyDescent="0.15"/>
    <row r="8837" customFormat="1" x14ac:dyDescent="0.15"/>
    <row r="8838" customFormat="1" x14ac:dyDescent="0.15"/>
    <row r="8839" customFormat="1" x14ac:dyDescent="0.15"/>
    <row r="8840" customFormat="1" x14ac:dyDescent="0.15"/>
    <row r="8841" customFormat="1" x14ac:dyDescent="0.15"/>
    <row r="8842" customFormat="1" x14ac:dyDescent="0.15"/>
    <row r="8843" customFormat="1" x14ac:dyDescent="0.15"/>
    <row r="8844" customFormat="1" x14ac:dyDescent="0.15"/>
    <row r="8845" customFormat="1" x14ac:dyDescent="0.15"/>
    <row r="8846" customFormat="1" x14ac:dyDescent="0.15"/>
    <row r="8847" customFormat="1" x14ac:dyDescent="0.15"/>
    <row r="8848" customFormat="1" x14ac:dyDescent="0.15"/>
    <row r="8849" customFormat="1" x14ac:dyDescent="0.15"/>
    <row r="8850" customFormat="1" x14ac:dyDescent="0.15"/>
    <row r="8851" customFormat="1" x14ac:dyDescent="0.15"/>
    <row r="8852" customFormat="1" x14ac:dyDescent="0.15"/>
    <row r="8853" customFormat="1" x14ac:dyDescent="0.15"/>
    <row r="8854" customFormat="1" x14ac:dyDescent="0.15"/>
    <row r="8855" customFormat="1" x14ac:dyDescent="0.15"/>
    <row r="8856" customFormat="1" x14ac:dyDescent="0.15"/>
    <row r="8857" customFormat="1" x14ac:dyDescent="0.15"/>
    <row r="8858" customFormat="1" x14ac:dyDescent="0.15"/>
    <row r="8859" customFormat="1" x14ac:dyDescent="0.15"/>
    <row r="8860" customFormat="1" x14ac:dyDescent="0.15"/>
    <row r="8861" customFormat="1" x14ac:dyDescent="0.15"/>
    <row r="8862" customFormat="1" x14ac:dyDescent="0.15"/>
    <row r="8863" customFormat="1" x14ac:dyDescent="0.15"/>
    <row r="8864" customFormat="1" x14ac:dyDescent="0.15"/>
    <row r="8865" customFormat="1" x14ac:dyDescent="0.15"/>
    <row r="8866" customFormat="1" x14ac:dyDescent="0.15"/>
    <row r="8867" customFormat="1" x14ac:dyDescent="0.15"/>
    <row r="8868" customFormat="1" x14ac:dyDescent="0.15"/>
    <row r="8869" customFormat="1" x14ac:dyDescent="0.15"/>
    <row r="8870" customFormat="1" x14ac:dyDescent="0.15"/>
    <row r="8871" customFormat="1" x14ac:dyDescent="0.15"/>
    <row r="8872" customFormat="1" x14ac:dyDescent="0.15"/>
    <row r="8873" customFormat="1" x14ac:dyDescent="0.15"/>
    <row r="8874" customFormat="1" x14ac:dyDescent="0.15"/>
    <row r="8875" customFormat="1" x14ac:dyDescent="0.15"/>
    <row r="8876" customFormat="1" x14ac:dyDescent="0.15"/>
    <row r="8877" customFormat="1" x14ac:dyDescent="0.15"/>
    <row r="8878" customFormat="1" x14ac:dyDescent="0.15"/>
    <row r="8879" customFormat="1" x14ac:dyDescent="0.15"/>
    <row r="8880" customFormat="1" x14ac:dyDescent="0.15"/>
    <row r="8881" customFormat="1" x14ac:dyDescent="0.15"/>
    <row r="8882" customFormat="1" x14ac:dyDescent="0.15"/>
    <row r="8883" customFormat="1" x14ac:dyDescent="0.15"/>
    <row r="8884" customFormat="1" x14ac:dyDescent="0.15"/>
    <row r="8885" customFormat="1" x14ac:dyDescent="0.15"/>
    <row r="8886" customFormat="1" x14ac:dyDescent="0.15"/>
    <row r="8887" customFormat="1" x14ac:dyDescent="0.15"/>
    <row r="8888" customFormat="1" x14ac:dyDescent="0.15"/>
    <row r="8889" customFormat="1" x14ac:dyDescent="0.15"/>
    <row r="8890" customFormat="1" x14ac:dyDescent="0.15"/>
    <row r="8891" customFormat="1" x14ac:dyDescent="0.15"/>
    <row r="8892" customFormat="1" x14ac:dyDescent="0.15"/>
    <row r="8893" customFormat="1" x14ac:dyDescent="0.15"/>
    <row r="8894" customFormat="1" x14ac:dyDescent="0.15"/>
    <row r="8895" customFormat="1" x14ac:dyDescent="0.15"/>
    <row r="8896" customFormat="1" x14ac:dyDescent="0.15"/>
    <row r="8897" customFormat="1" x14ac:dyDescent="0.15"/>
    <row r="8898" customFormat="1" x14ac:dyDescent="0.15"/>
    <row r="8899" customFormat="1" x14ac:dyDescent="0.15"/>
    <row r="8900" customFormat="1" x14ac:dyDescent="0.15"/>
    <row r="8901" customFormat="1" x14ac:dyDescent="0.15"/>
    <row r="8902" customFormat="1" x14ac:dyDescent="0.15"/>
    <row r="8903" customFormat="1" x14ac:dyDescent="0.15"/>
    <row r="8904" customFormat="1" x14ac:dyDescent="0.15"/>
    <row r="8905" customFormat="1" x14ac:dyDescent="0.15"/>
    <row r="8906" customFormat="1" x14ac:dyDescent="0.15"/>
    <row r="8907" customFormat="1" x14ac:dyDescent="0.15"/>
    <row r="8908" customFormat="1" x14ac:dyDescent="0.15"/>
    <row r="8909" customFormat="1" x14ac:dyDescent="0.15"/>
    <row r="8910" customFormat="1" x14ac:dyDescent="0.15"/>
    <row r="8911" customFormat="1" x14ac:dyDescent="0.15"/>
    <row r="8912" customFormat="1" x14ac:dyDescent="0.15"/>
    <row r="8913" customFormat="1" x14ac:dyDescent="0.15"/>
    <row r="8914" customFormat="1" x14ac:dyDescent="0.15"/>
    <row r="8915" customFormat="1" x14ac:dyDescent="0.15"/>
    <row r="8916" customFormat="1" x14ac:dyDescent="0.15"/>
    <row r="8917" customFormat="1" x14ac:dyDescent="0.15"/>
    <row r="8918" customFormat="1" x14ac:dyDescent="0.15"/>
    <row r="8919" customFormat="1" x14ac:dyDescent="0.15"/>
    <row r="8920" customFormat="1" x14ac:dyDescent="0.15"/>
    <row r="8921" customFormat="1" x14ac:dyDescent="0.15"/>
    <row r="8922" customFormat="1" x14ac:dyDescent="0.15"/>
    <row r="8923" customFormat="1" x14ac:dyDescent="0.15"/>
    <row r="8924" customFormat="1" x14ac:dyDescent="0.15"/>
    <row r="8925" customFormat="1" x14ac:dyDescent="0.15"/>
    <row r="8926" customFormat="1" x14ac:dyDescent="0.15"/>
    <row r="8927" customFormat="1" x14ac:dyDescent="0.15"/>
    <row r="8928" customFormat="1" x14ac:dyDescent="0.15"/>
    <row r="8929" customFormat="1" x14ac:dyDescent="0.15"/>
    <row r="8930" customFormat="1" x14ac:dyDescent="0.15"/>
    <row r="8931" customFormat="1" x14ac:dyDescent="0.15"/>
    <row r="8932" customFormat="1" x14ac:dyDescent="0.15"/>
    <row r="8933" customFormat="1" x14ac:dyDescent="0.15"/>
    <row r="8934" customFormat="1" x14ac:dyDescent="0.15"/>
    <row r="8935" customFormat="1" x14ac:dyDescent="0.15"/>
    <row r="8936" customFormat="1" x14ac:dyDescent="0.15"/>
    <row r="8937" customFormat="1" x14ac:dyDescent="0.15"/>
    <row r="8938" customFormat="1" x14ac:dyDescent="0.15"/>
    <row r="8939" customFormat="1" x14ac:dyDescent="0.15"/>
    <row r="8940" customFormat="1" x14ac:dyDescent="0.15"/>
    <row r="8941" customFormat="1" x14ac:dyDescent="0.15"/>
    <row r="8942" customFormat="1" x14ac:dyDescent="0.15"/>
    <row r="8943" customFormat="1" x14ac:dyDescent="0.15"/>
    <row r="8944" customFormat="1" x14ac:dyDescent="0.15"/>
    <row r="8945" customFormat="1" x14ac:dyDescent="0.15"/>
    <row r="8946" customFormat="1" x14ac:dyDescent="0.15"/>
    <row r="8947" customFormat="1" x14ac:dyDescent="0.15"/>
    <row r="8948" customFormat="1" x14ac:dyDescent="0.15"/>
    <row r="8949" customFormat="1" x14ac:dyDescent="0.15"/>
    <row r="8950" customFormat="1" x14ac:dyDescent="0.15"/>
    <row r="8951" customFormat="1" x14ac:dyDescent="0.15"/>
    <row r="8952" customFormat="1" x14ac:dyDescent="0.15"/>
    <row r="8953" customFormat="1" x14ac:dyDescent="0.15"/>
    <row r="8954" customFormat="1" x14ac:dyDescent="0.15"/>
    <row r="8955" customFormat="1" x14ac:dyDescent="0.15"/>
    <row r="8956" customFormat="1" x14ac:dyDescent="0.15"/>
    <row r="8957" customFormat="1" x14ac:dyDescent="0.15"/>
    <row r="8958" customFormat="1" x14ac:dyDescent="0.15"/>
    <row r="8959" customFormat="1" x14ac:dyDescent="0.15"/>
    <row r="8960" customFormat="1" x14ac:dyDescent="0.15"/>
    <row r="8961" customFormat="1" x14ac:dyDescent="0.15"/>
    <row r="8962" customFormat="1" x14ac:dyDescent="0.15"/>
    <row r="8963" customFormat="1" x14ac:dyDescent="0.15"/>
    <row r="8964" customFormat="1" x14ac:dyDescent="0.15"/>
    <row r="8965" customFormat="1" x14ac:dyDescent="0.15"/>
    <row r="8966" customFormat="1" x14ac:dyDescent="0.15"/>
    <row r="8967" customFormat="1" x14ac:dyDescent="0.15"/>
    <row r="8968" customFormat="1" x14ac:dyDescent="0.15"/>
    <row r="8969" customFormat="1" x14ac:dyDescent="0.15"/>
    <row r="8970" customFormat="1" x14ac:dyDescent="0.15"/>
    <row r="8971" customFormat="1" x14ac:dyDescent="0.15"/>
    <row r="8972" customFormat="1" x14ac:dyDescent="0.15"/>
    <row r="8973" customFormat="1" x14ac:dyDescent="0.15"/>
    <row r="8974" customFormat="1" x14ac:dyDescent="0.15"/>
    <row r="8975" customFormat="1" x14ac:dyDescent="0.15"/>
    <row r="8976" customFormat="1" x14ac:dyDescent="0.15"/>
    <row r="8977" customFormat="1" x14ac:dyDescent="0.15"/>
    <row r="8978" customFormat="1" x14ac:dyDescent="0.15"/>
    <row r="8979" customFormat="1" x14ac:dyDescent="0.15"/>
    <row r="8980" customFormat="1" x14ac:dyDescent="0.15"/>
    <row r="8981" customFormat="1" x14ac:dyDescent="0.15"/>
    <row r="8982" customFormat="1" x14ac:dyDescent="0.15"/>
    <row r="8983" customFormat="1" x14ac:dyDescent="0.15"/>
    <row r="8984" customFormat="1" x14ac:dyDescent="0.15"/>
    <row r="8985" customFormat="1" x14ac:dyDescent="0.15"/>
    <row r="8986" customFormat="1" x14ac:dyDescent="0.15"/>
    <row r="8987" customFormat="1" x14ac:dyDescent="0.15"/>
    <row r="8988" customFormat="1" x14ac:dyDescent="0.15"/>
    <row r="8989" customFormat="1" x14ac:dyDescent="0.15"/>
    <row r="8990" customFormat="1" x14ac:dyDescent="0.15"/>
    <row r="8991" customFormat="1" x14ac:dyDescent="0.15"/>
    <row r="8992" customFormat="1" x14ac:dyDescent="0.15"/>
    <row r="8993" customFormat="1" x14ac:dyDescent="0.15"/>
    <row r="8994" customFormat="1" x14ac:dyDescent="0.15"/>
    <row r="8995" customFormat="1" x14ac:dyDescent="0.15"/>
    <row r="8996" customFormat="1" x14ac:dyDescent="0.15"/>
    <row r="8997" customFormat="1" x14ac:dyDescent="0.15"/>
    <row r="8998" customFormat="1" x14ac:dyDescent="0.15"/>
    <row r="8999" customFormat="1" x14ac:dyDescent="0.15"/>
    <row r="9000" customFormat="1" x14ac:dyDescent="0.15"/>
    <row r="9001" customFormat="1" x14ac:dyDescent="0.15"/>
    <row r="9002" customFormat="1" x14ac:dyDescent="0.15"/>
    <row r="9003" customFormat="1" x14ac:dyDescent="0.15"/>
    <row r="9004" customFormat="1" x14ac:dyDescent="0.15"/>
    <row r="9005" customFormat="1" x14ac:dyDescent="0.15"/>
    <row r="9006" customFormat="1" x14ac:dyDescent="0.15"/>
    <row r="9007" customFormat="1" x14ac:dyDescent="0.15"/>
    <row r="9008" customFormat="1" x14ac:dyDescent="0.15"/>
    <row r="9009" customFormat="1" x14ac:dyDescent="0.15"/>
    <row r="9010" customFormat="1" x14ac:dyDescent="0.15"/>
    <row r="9011" customFormat="1" x14ac:dyDescent="0.15"/>
    <row r="9012" customFormat="1" x14ac:dyDescent="0.15"/>
    <row r="9013" customFormat="1" x14ac:dyDescent="0.15"/>
    <row r="9014" customFormat="1" x14ac:dyDescent="0.15"/>
    <row r="9015" customFormat="1" x14ac:dyDescent="0.15"/>
    <row r="9016" customFormat="1" x14ac:dyDescent="0.15"/>
    <row r="9017" customFormat="1" x14ac:dyDescent="0.15"/>
    <row r="9018" customFormat="1" x14ac:dyDescent="0.15"/>
    <row r="9019" customFormat="1" x14ac:dyDescent="0.15"/>
    <row r="9020" customFormat="1" x14ac:dyDescent="0.15"/>
    <row r="9021" customFormat="1" x14ac:dyDescent="0.15"/>
    <row r="9022" customFormat="1" x14ac:dyDescent="0.15"/>
    <row r="9023" customFormat="1" x14ac:dyDescent="0.15"/>
    <row r="9024" customFormat="1" x14ac:dyDescent="0.15"/>
    <row r="9025" customFormat="1" x14ac:dyDescent="0.15"/>
    <row r="9026" customFormat="1" x14ac:dyDescent="0.15"/>
    <row r="9027" customFormat="1" x14ac:dyDescent="0.15"/>
    <row r="9028" customFormat="1" x14ac:dyDescent="0.15"/>
    <row r="9029" customFormat="1" x14ac:dyDescent="0.15"/>
    <row r="9030" customFormat="1" x14ac:dyDescent="0.15"/>
    <row r="9031" customFormat="1" x14ac:dyDescent="0.15"/>
    <row r="9032" customFormat="1" x14ac:dyDescent="0.15"/>
    <row r="9033" customFormat="1" x14ac:dyDescent="0.15"/>
    <row r="9034" customFormat="1" x14ac:dyDescent="0.15"/>
    <row r="9035" customFormat="1" x14ac:dyDescent="0.15"/>
    <row r="9036" customFormat="1" x14ac:dyDescent="0.15"/>
    <row r="9037" customFormat="1" x14ac:dyDescent="0.15"/>
    <row r="9038" customFormat="1" x14ac:dyDescent="0.15"/>
    <row r="9039" customFormat="1" x14ac:dyDescent="0.15"/>
    <row r="9040" customFormat="1" x14ac:dyDescent="0.15"/>
    <row r="9041" customFormat="1" x14ac:dyDescent="0.15"/>
    <row r="9042" customFormat="1" x14ac:dyDescent="0.15"/>
    <row r="9043" customFormat="1" x14ac:dyDescent="0.15"/>
    <row r="9044" customFormat="1" x14ac:dyDescent="0.15"/>
    <row r="9045" customFormat="1" x14ac:dyDescent="0.15"/>
    <row r="9046" customFormat="1" x14ac:dyDescent="0.15"/>
    <row r="9047" customFormat="1" x14ac:dyDescent="0.15"/>
    <row r="9048" customFormat="1" x14ac:dyDescent="0.15"/>
    <row r="9049" customFormat="1" x14ac:dyDescent="0.15"/>
    <row r="9050" customFormat="1" x14ac:dyDescent="0.15"/>
    <row r="9051" customFormat="1" x14ac:dyDescent="0.15"/>
    <row r="9052" customFormat="1" x14ac:dyDescent="0.15"/>
    <row r="9053" customFormat="1" x14ac:dyDescent="0.15"/>
    <row r="9054" customFormat="1" x14ac:dyDescent="0.15"/>
    <row r="9055" customFormat="1" x14ac:dyDescent="0.15"/>
    <row r="9056" customFormat="1" x14ac:dyDescent="0.15"/>
    <row r="9057" customFormat="1" x14ac:dyDescent="0.15"/>
    <row r="9058" customFormat="1" x14ac:dyDescent="0.15"/>
    <row r="9059" customFormat="1" x14ac:dyDescent="0.15"/>
    <row r="9060" customFormat="1" x14ac:dyDescent="0.15"/>
    <row r="9061" customFormat="1" x14ac:dyDescent="0.15"/>
    <row r="9062" customFormat="1" x14ac:dyDescent="0.15"/>
    <row r="9063" customFormat="1" x14ac:dyDescent="0.15"/>
    <row r="9064" customFormat="1" x14ac:dyDescent="0.15"/>
    <row r="9065" customFormat="1" x14ac:dyDescent="0.15"/>
    <row r="9066" customFormat="1" x14ac:dyDescent="0.15"/>
    <row r="9067" customFormat="1" x14ac:dyDescent="0.15"/>
    <row r="9068" customFormat="1" x14ac:dyDescent="0.15"/>
    <row r="9069" customFormat="1" x14ac:dyDescent="0.15"/>
    <row r="9070" customFormat="1" x14ac:dyDescent="0.15"/>
    <row r="9071" customFormat="1" x14ac:dyDescent="0.15"/>
    <row r="9072" customFormat="1" x14ac:dyDescent="0.15"/>
    <row r="9073" customFormat="1" x14ac:dyDescent="0.15"/>
    <row r="9074" customFormat="1" x14ac:dyDescent="0.15"/>
    <row r="9075" customFormat="1" x14ac:dyDescent="0.15"/>
    <row r="9076" customFormat="1" x14ac:dyDescent="0.15"/>
    <row r="9077" customFormat="1" x14ac:dyDescent="0.15"/>
    <row r="9078" customFormat="1" x14ac:dyDescent="0.15"/>
    <row r="9079" customFormat="1" x14ac:dyDescent="0.15"/>
    <row r="9080" customFormat="1" x14ac:dyDescent="0.15"/>
    <row r="9081" customFormat="1" x14ac:dyDescent="0.15"/>
    <row r="9082" customFormat="1" x14ac:dyDescent="0.15"/>
    <row r="9083" customFormat="1" x14ac:dyDescent="0.15"/>
    <row r="9084" customFormat="1" x14ac:dyDescent="0.15"/>
    <row r="9085" customFormat="1" x14ac:dyDescent="0.15"/>
    <row r="9086" customFormat="1" x14ac:dyDescent="0.15"/>
    <row r="9087" customFormat="1" x14ac:dyDescent="0.15"/>
    <row r="9088" customFormat="1" x14ac:dyDescent="0.15"/>
    <row r="9089" customFormat="1" x14ac:dyDescent="0.15"/>
    <row r="9090" customFormat="1" x14ac:dyDescent="0.15"/>
    <row r="9091" customFormat="1" x14ac:dyDescent="0.15"/>
    <row r="9092" customFormat="1" x14ac:dyDescent="0.15"/>
    <row r="9093" customFormat="1" x14ac:dyDescent="0.15"/>
    <row r="9094" customFormat="1" x14ac:dyDescent="0.15"/>
    <row r="9095" customFormat="1" x14ac:dyDescent="0.15"/>
    <row r="9096" customFormat="1" x14ac:dyDescent="0.15"/>
    <row r="9097" customFormat="1" x14ac:dyDescent="0.15"/>
    <row r="9098" customFormat="1" x14ac:dyDescent="0.15"/>
    <row r="9099" customFormat="1" x14ac:dyDescent="0.15"/>
    <row r="9100" customFormat="1" x14ac:dyDescent="0.15"/>
    <row r="9101" customFormat="1" x14ac:dyDescent="0.15"/>
    <row r="9102" customFormat="1" x14ac:dyDescent="0.15"/>
    <row r="9103" customFormat="1" x14ac:dyDescent="0.15"/>
    <row r="9104" customFormat="1" x14ac:dyDescent="0.15"/>
    <row r="9105" customFormat="1" x14ac:dyDescent="0.15"/>
    <row r="9106" customFormat="1" x14ac:dyDescent="0.15"/>
    <row r="9107" customFormat="1" x14ac:dyDescent="0.15"/>
    <row r="9108" customFormat="1" x14ac:dyDescent="0.15"/>
    <row r="9109" customFormat="1" x14ac:dyDescent="0.15"/>
    <row r="9110" customFormat="1" x14ac:dyDescent="0.15"/>
    <row r="9111" customFormat="1" x14ac:dyDescent="0.15"/>
    <row r="9112" customFormat="1" x14ac:dyDescent="0.15"/>
    <row r="9113" customFormat="1" x14ac:dyDescent="0.15"/>
    <row r="9114" customFormat="1" x14ac:dyDescent="0.15"/>
    <row r="9115" customFormat="1" x14ac:dyDescent="0.15"/>
    <row r="9116" customFormat="1" x14ac:dyDescent="0.15"/>
    <row r="9117" customFormat="1" x14ac:dyDescent="0.15"/>
    <row r="9118" customFormat="1" x14ac:dyDescent="0.15"/>
    <row r="9119" customFormat="1" x14ac:dyDescent="0.15"/>
    <row r="9120" customFormat="1" x14ac:dyDescent="0.15"/>
    <row r="9121" customFormat="1" x14ac:dyDescent="0.15"/>
    <row r="9122" customFormat="1" x14ac:dyDescent="0.15"/>
    <row r="9123" customFormat="1" x14ac:dyDescent="0.15"/>
    <row r="9124" customFormat="1" x14ac:dyDescent="0.15"/>
    <row r="9125" customFormat="1" x14ac:dyDescent="0.15"/>
    <row r="9126" customFormat="1" x14ac:dyDescent="0.15"/>
    <row r="9127" customFormat="1" x14ac:dyDescent="0.15"/>
    <row r="9128" customFormat="1" x14ac:dyDescent="0.15"/>
    <row r="9129" customFormat="1" x14ac:dyDescent="0.15"/>
    <row r="9130" customFormat="1" x14ac:dyDescent="0.15"/>
    <row r="9131" customFormat="1" x14ac:dyDescent="0.15"/>
    <row r="9132" customFormat="1" x14ac:dyDescent="0.15"/>
    <row r="9133" customFormat="1" x14ac:dyDescent="0.15"/>
    <row r="9134" customFormat="1" x14ac:dyDescent="0.15"/>
    <row r="9135" customFormat="1" x14ac:dyDescent="0.15"/>
    <row r="9136" customFormat="1" x14ac:dyDescent="0.15"/>
    <row r="9137" customFormat="1" x14ac:dyDescent="0.15"/>
    <row r="9138" customFormat="1" x14ac:dyDescent="0.15"/>
    <row r="9139" customFormat="1" x14ac:dyDescent="0.15"/>
    <row r="9140" customFormat="1" x14ac:dyDescent="0.15"/>
    <row r="9141" customFormat="1" x14ac:dyDescent="0.15"/>
    <row r="9142" customFormat="1" x14ac:dyDescent="0.15"/>
    <row r="9143" customFormat="1" x14ac:dyDescent="0.15"/>
    <row r="9144" customFormat="1" x14ac:dyDescent="0.15"/>
    <row r="9145" customFormat="1" x14ac:dyDescent="0.15"/>
    <row r="9146" customFormat="1" x14ac:dyDescent="0.15"/>
    <row r="9147" customFormat="1" x14ac:dyDescent="0.15"/>
    <row r="9148" customFormat="1" x14ac:dyDescent="0.15"/>
    <row r="9149" customFormat="1" x14ac:dyDescent="0.15"/>
    <row r="9150" customFormat="1" x14ac:dyDescent="0.15"/>
    <row r="9151" customFormat="1" x14ac:dyDescent="0.15"/>
    <row r="9152" customFormat="1" x14ac:dyDescent="0.15"/>
    <row r="9153" customFormat="1" x14ac:dyDescent="0.15"/>
    <row r="9154" customFormat="1" x14ac:dyDescent="0.15"/>
    <row r="9155" customFormat="1" x14ac:dyDescent="0.15"/>
    <row r="9156" customFormat="1" x14ac:dyDescent="0.15"/>
    <row r="9157" customFormat="1" x14ac:dyDescent="0.15"/>
    <row r="9158" customFormat="1" x14ac:dyDescent="0.15"/>
    <row r="9159" customFormat="1" x14ac:dyDescent="0.15"/>
    <row r="9160" customFormat="1" x14ac:dyDescent="0.15"/>
    <row r="9161" customFormat="1" x14ac:dyDescent="0.15"/>
    <row r="9162" customFormat="1" x14ac:dyDescent="0.15"/>
    <row r="9163" customFormat="1" x14ac:dyDescent="0.15"/>
    <row r="9164" customFormat="1" x14ac:dyDescent="0.15"/>
    <row r="9165" customFormat="1" x14ac:dyDescent="0.15"/>
    <row r="9166" customFormat="1" x14ac:dyDescent="0.15"/>
    <row r="9167" customFormat="1" x14ac:dyDescent="0.15"/>
    <row r="9168" customFormat="1" x14ac:dyDescent="0.15"/>
    <row r="9169" customFormat="1" x14ac:dyDescent="0.15"/>
    <row r="9170" customFormat="1" x14ac:dyDescent="0.15"/>
    <row r="9171" customFormat="1" x14ac:dyDescent="0.15"/>
    <row r="9172" customFormat="1" x14ac:dyDescent="0.15"/>
    <row r="9173" customFormat="1" x14ac:dyDescent="0.15"/>
    <row r="9174" customFormat="1" x14ac:dyDescent="0.15"/>
    <row r="9175" customFormat="1" x14ac:dyDescent="0.15"/>
    <row r="9176" customFormat="1" x14ac:dyDescent="0.15"/>
    <row r="9177" customFormat="1" x14ac:dyDescent="0.15"/>
    <row r="9178" customFormat="1" x14ac:dyDescent="0.15"/>
    <row r="9179" customFormat="1" x14ac:dyDescent="0.15"/>
    <row r="9180" customFormat="1" x14ac:dyDescent="0.15"/>
    <row r="9181" customFormat="1" x14ac:dyDescent="0.15"/>
    <row r="9182" customFormat="1" x14ac:dyDescent="0.15"/>
    <row r="9183" customFormat="1" x14ac:dyDescent="0.15"/>
    <row r="9184" customFormat="1" x14ac:dyDescent="0.15"/>
    <row r="9185" customFormat="1" x14ac:dyDescent="0.15"/>
    <row r="9186" customFormat="1" x14ac:dyDescent="0.15"/>
    <row r="9187" customFormat="1" x14ac:dyDescent="0.15"/>
    <row r="9188" customFormat="1" x14ac:dyDescent="0.15"/>
    <row r="9189" customFormat="1" x14ac:dyDescent="0.15"/>
    <row r="9190" customFormat="1" x14ac:dyDescent="0.15"/>
    <row r="9191" customFormat="1" x14ac:dyDescent="0.15"/>
    <row r="9192" customFormat="1" x14ac:dyDescent="0.15"/>
    <row r="9193" customFormat="1" x14ac:dyDescent="0.15"/>
    <row r="9194" customFormat="1" x14ac:dyDescent="0.15"/>
    <row r="9195" customFormat="1" x14ac:dyDescent="0.15"/>
    <row r="9196" customFormat="1" x14ac:dyDescent="0.15"/>
    <row r="9197" customFormat="1" x14ac:dyDescent="0.15"/>
    <row r="9198" customFormat="1" x14ac:dyDescent="0.15"/>
    <row r="9199" customFormat="1" x14ac:dyDescent="0.15"/>
    <row r="9200" customFormat="1" x14ac:dyDescent="0.15"/>
    <row r="9201" customFormat="1" x14ac:dyDescent="0.15"/>
    <row r="9202" customFormat="1" x14ac:dyDescent="0.15"/>
    <row r="9203" customFormat="1" x14ac:dyDescent="0.15"/>
    <row r="9204" customFormat="1" x14ac:dyDescent="0.15"/>
    <row r="9205" customFormat="1" x14ac:dyDescent="0.15"/>
    <row r="9206" customFormat="1" x14ac:dyDescent="0.15"/>
    <row r="9207" customFormat="1" x14ac:dyDescent="0.15"/>
    <row r="9208" customFormat="1" x14ac:dyDescent="0.15"/>
    <row r="9209" customFormat="1" x14ac:dyDescent="0.15"/>
    <row r="9210" customFormat="1" x14ac:dyDescent="0.15"/>
    <row r="9211" customFormat="1" x14ac:dyDescent="0.15"/>
    <row r="9212" customFormat="1" x14ac:dyDescent="0.15"/>
    <row r="9213" customFormat="1" x14ac:dyDescent="0.15"/>
    <row r="9214" customFormat="1" x14ac:dyDescent="0.15"/>
    <row r="9215" customFormat="1" x14ac:dyDescent="0.15"/>
    <row r="9216" customFormat="1" x14ac:dyDescent="0.15"/>
    <row r="9217" customFormat="1" x14ac:dyDescent="0.15"/>
    <row r="9218" customFormat="1" x14ac:dyDescent="0.15"/>
    <row r="9219" customFormat="1" x14ac:dyDescent="0.15"/>
    <row r="9220" customFormat="1" x14ac:dyDescent="0.15"/>
    <row r="9221" customFormat="1" x14ac:dyDescent="0.15"/>
    <row r="9222" customFormat="1" x14ac:dyDescent="0.15"/>
    <row r="9223" customFormat="1" x14ac:dyDescent="0.15"/>
    <row r="9224" customFormat="1" x14ac:dyDescent="0.15"/>
    <row r="9225" customFormat="1" x14ac:dyDescent="0.15"/>
    <row r="9226" customFormat="1" x14ac:dyDescent="0.15"/>
    <row r="9227" customFormat="1" x14ac:dyDescent="0.15"/>
    <row r="9228" customFormat="1" x14ac:dyDescent="0.15"/>
    <row r="9229" customFormat="1" x14ac:dyDescent="0.15"/>
    <row r="9230" customFormat="1" x14ac:dyDescent="0.15"/>
    <row r="9231" customFormat="1" x14ac:dyDescent="0.15"/>
    <row r="9232" customFormat="1" x14ac:dyDescent="0.15"/>
    <row r="9233" customFormat="1" x14ac:dyDescent="0.15"/>
    <row r="9234" customFormat="1" x14ac:dyDescent="0.15"/>
    <row r="9235" customFormat="1" x14ac:dyDescent="0.15"/>
    <row r="9236" customFormat="1" x14ac:dyDescent="0.15"/>
    <row r="9237" customFormat="1" x14ac:dyDescent="0.15"/>
    <row r="9238" customFormat="1" x14ac:dyDescent="0.15"/>
    <row r="9239" customFormat="1" x14ac:dyDescent="0.15"/>
    <row r="9240" customFormat="1" x14ac:dyDescent="0.15"/>
    <row r="9241" customFormat="1" x14ac:dyDescent="0.15"/>
    <row r="9242" customFormat="1" x14ac:dyDescent="0.15"/>
    <row r="9243" customFormat="1" x14ac:dyDescent="0.15"/>
    <row r="9244" customFormat="1" x14ac:dyDescent="0.15"/>
    <row r="9245" customFormat="1" x14ac:dyDescent="0.15"/>
    <row r="9246" customFormat="1" x14ac:dyDescent="0.15"/>
    <row r="9247" customFormat="1" x14ac:dyDescent="0.15"/>
    <row r="9248" customFormat="1" x14ac:dyDescent="0.15"/>
    <row r="9249" customFormat="1" x14ac:dyDescent="0.15"/>
    <row r="9250" customFormat="1" x14ac:dyDescent="0.15"/>
    <row r="9251" customFormat="1" x14ac:dyDescent="0.15"/>
    <row r="9252" customFormat="1" x14ac:dyDescent="0.15"/>
    <row r="9253" customFormat="1" x14ac:dyDescent="0.15"/>
    <row r="9254" customFormat="1" x14ac:dyDescent="0.15"/>
    <row r="9255" customFormat="1" x14ac:dyDescent="0.15"/>
    <row r="9256" customFormat="1" x14ac:dyDescent="0.15"/>
    <row r="9257" customFormat="1" x14ac:dyDescent="0.15"/>
    <row r="9258" customFormat="1" x14ac:dyDescent="0.15"/>
    <row r="9259" customFormat="1" x14ac:dyDescent="0.15"/>
    <row r="9260" customFormat="1" x14ac:dyDescent="0.15"/>
    <row r="9261" customFormat="1" x14ac:dyDescent="0.15"/>
    <row r="9262" customFormat="1" x14ac:dyDescent="0.15"/>
    <row r="9263" customFormat="1" x14ac:dyDescent="0.15"/>
    <row r="9264" customFormat="1" x14ac:dyDescent="0.15"/>
    <row r="9265" customFormat="1" x14ac:dyDescent="0.15"/>
    <row r="9266" customFormat="1" x14ac:dyDescent="0.15"/>
    <row r="9267" customFormat="1" x14ac:dyDescent="0.15"/>
    <row r="9268" customFormat="1" x14ac:dyDescent="0.15"/>
    <row r="9269" customFormat="1" x14ac:dyDescent="0.15"/>
    <row r="9270" customFormat="1" x14ac:dyDescent="0.15"/>
    <row r="9271" customFormat="1" x14ac:dyDescent="0.15"/>
    <row r="9272" customFormat="1" x14ac:dyDescent="0.15"/>
    <row r="9273" customFormat="1" x14ac:dyDescent="0.15"/>
    <row r="9274" customFormat="1" x14ac:dyDescent="0.15"/>
    <row r="9275" customFormat="1" x14ac:dyDescent="0.15"/>
    <row r="9276" customFormat="1" x14ac:dyDescent="0.15"/>
    <row r="9277" customFormat="1" x14ac:dyDescent="0.15"/>
    <row r="9278" customFormat="1" x14ac:dyDescent="0.15"/>
    <row r="9279" customFormat="1" x14ac:dyDescent="0.15"/>
    <row r="9280" customFormat="1" x14ac:dyDescent="0.15"/>
    <row r="9281" customFormat="1" x14ac:dyDescent="0.15"/>
    <row r="9282" customFormat="1" x14ac:dyDescent="0.15"/>
    <row r="9283" customFormat="1" x14ac:dyDescent="0.15"/>
    <row r="9284" customFormat="1" x14ac:dyDescent="0.15"/>
    <row r="9285" customFormat="1" x14ac:dyDescent="0.15"/>
    <row r="9286" customFormat="1" x14ac:dyDescent="0.15"/>
    <row r="9287" customFormat="1" x14ac:dyDescent="0.15"/>
    <row r="9288" customFormat="1" x14ac:dyDescent="0.15"/>
    <row r="9289" customFormat="1" x14ac:dyDescent="0.15"/>
    <row r="9290" customFormat="1" x14ac:dyDescent="0.15"/>
    <row r="9291" customFormat="1" x14ac:dyDescent="0.15"/>
    <row r="9292" customFormat="1" x14ac:dyDescent="0.15"/>
    <row r="9293" customFormat="1" x14ac:dyDescent="0.15"/>
    <row r="9294" customFormat="1" x14ac:dyDescent="0.15"/>
    <row r="9295" customFormat="1" x14ac:dyDescent="0.15"/>
    <row r="9296" customFormat="1" x14ac:dyDescent="0.15"/>
    <row r="9297" customFormat="1" x14ac:dyDescent="0.15"/>
    <row r="9298" customFormat="1" x14ac:dyDescent="0.15"/>
    <row r="9299" customFormat="1" x14ac:dyDescent="0.15"/>
    <row r="9300" customFormat="1" x14ac:dyDescent="0.15"/>
    <row r="9301" customFormat="1" x14ac:dyDescent="0.15"/>
    <row r="9302" customFormat="1" x14ac:dyDescent="0.15"/>
    <row r="9303" customFormat="1" x14ac:dyDescent="0.15"/>
    <row r="9304" customFormat="1" x14ac:dyDescent="0.15"/>
    <row r="9305" customFormat="1" x14ac:dyDescent="0.15"/>
    <row r="9306" customFormat="1" x14ac:dyDescent="0.15"/>
    <row r="9307" customFormat="1" x14ac:dyDescent="0.15"/>
    <row r="9308" customFormat="1" x14ac:dyDescent="0.15"/>
    <row r="9309" customFormat="1" x14ac:dyDescent="0.15"/>
    <row r="9310" customFormat="1" x14ac:dyDescent="0.15"/>
    <row r="9311" customFormat="1" x14ac:dyDescent="0.15"/>
    <row r="9312" customFormat="1" x14ac:dyDescent="0.15"/>
    <row r="9313" customFormat="1" x14ac:dyDescent="0.15"/>
    <row r="9314" customFormat="1" x14ac:dyDescent="0.15"/>
    <row r="9315" customFormat="1" x14ac:dyDescent="0.15"/>
    <row r="9316" customFormat="1" x14ac:dyDescent="0.15"/>
    <row r="9317" customFormat="1" x14ac:dyDescent="0.15"/>
    <row r="9318" customFormat="1" x14ac:dyDescent="0.15"/>
    <row r="9319" customFormat="1" x14ac:dyDescent="0.15"/>
    <row r="9320" customFormat="1" x14ac:dyDescent="0.15"/>
    <row r="9321" customFormat="1" x14ac:dyDescent="0.15"/>
    <row r="9322" customFormat="1" x14ac:dyDescent="0.15"/>
    <row r="9323" customFormat="1" x14ac:dyDescent="0.15"/>
    <row r="9324" customFormat="1" x14ac:dyDescent="0.15"/>
    <row r="9325" customFormat="1" x14ac:dyDescent="0.15"/>
    <row r="9326" customFormat="1" x14ac:dyDescent="0.15"/>
    <row r="9327" customFormat="1" x14ac:dyDescent="0.15"/>
    <row r="9328" customFormat="1" x14ac:dyDescent="0.15"/>
    <row r="9329" customFormat="1" x14ac:dyDescent="0.15"/>
    <row r="9330" customFormat="1" x14ac:dyDescent="0.15"/>
    <row r="9331" customFormat="1" x14ac:dyDescent="0.15"/>
    <row r="9332" customFormat="1" x14ac:dyDescent="0.15"/>
    <row r="9333" customFormat="1" x14ac:dyDescent="0.15"/>
    <row r="9334" customFormat="1" x14ac:dyDescent="0.15"/>
    <row r="9335" customFormat="1" x14ac:dyDescent="0.15"/>
    <row r="9336" customFormat="1" x14ac:dyDescent="0.15"/>
    <row r="9337" customFormat="1" x14ac:dyDescent="0.15"/>
    <row r="9338" customFormat="1" x14ac:dyDescent="0.15"/>
    <row r="9339" customFormat="1" x14ac:dyDescent="0.15"/>
    <row r="9340" customFormat="1" x14ac:dyDescent="0.15"/>
    <row r="9341" customFormat="1" x14ac:dyDescent="0.15"/>
    <row r="9342" customFormat="1" x14ac:dyDescent="0.15"/>
    <row r="9343" customFormat="1" x14ac:dyDescent="0.15"/>
    <row r="9344" customFormat="1" x14ac:dyDescent="0.15"/>
    <row r="9345" customFormat="1" x14ac:dyDescent="0.15"/>
    <row r="9346" customFormat="1" x14ac:dyDescent="0.15"/>
    <row r="9347" customFormat="1" x14ac:dyDescent="0.15"/>
    <row r="9348" customFormat="1" x14ac:dyDescent="0.15"/>
    <row r="9349" customFormat="1" x14ac:dyDescent="0.15"/>
    <row r="9350" customFormat="1" x14ac:dyDescent="0.15"/>
    <row r="9351" customFormat="1" x14ac:dyDescent="0.15"/>
    <row r="9352" customFormat="1" x14ac:dyDescent="0.15"/>
    <row r="9353" customFormat="1" x14ac:dyDescent="0.15"/>
    <row r="9354" customFormat="1" x14ac:dyDescent="0.15"/>
    <row r="9355" customFormat="1" x14ac:dyDescent="0.15"/>
    <row r="9356" customFormat="1" x14ac:dyDescent="0.15"/>
    <row r="9357" customFormat="1" x14ac:dyDescent="0.15"/>
    <row r="9358" customFormat="1" x14ac:dyDescent="0.15"/>
    <row r="9359" customFormat="1" x14ac:dyDescent="0.15"/>
    <row r="9360" customFormat="1" x14ac:dyDescent="0.15"/>
    <row r="9361" customFormat="1" x14ac:dyDescent="0.15"/>
    <row r="9362" customFormat="1" x14ac:dyDescent="0.15"/>
    <row r="9363" customFormat="1" x14ac:dyDescent="0.15"/>
    <row r="9364" customFormat="1" x14ac:dyDescent="0.15"/>
    <row r="9365" customFormat="1" x14ac:dyDescent="0.15"/>
    <row r="9366" customFormat="1" x14ac:dyDescent="0.15"/>
    <row r="9367" customFormat="1" x14ac:dyDescent="0.15"/>
    <row r="9368" customFormat="1" x14ac:dyDescent="0.15"/>
    <row r="9369" customFormat="1" x14ac:dyDescent="0.15"/>
    <row r="9370" customFormat="1" x14ac:dyDescent="0.15"/>
    <row r="9371" customFormat="1" x14ac:dyDescent="0.15"/>
    <row r="9372" customFormat="1" x14ac:dyDescent="0.15"/>
    <row r="9373" customFormat="1" x14ac:dyDescent="0.15"/>
    <row r="9374" customFormat="1" x14ac:dyDescent="0.15"/>
    <row r="9375" customFormat="1" x14ac:dyDescent="0.15"/>
    <row r="9376" customFormat="1" x14ac:dyDescent="0.15"/>
    <row r="9377" customFormat="1" x14ac:dyDescent="0.15"/>
    <row r="9378" customFormat="1" x14ac:dyDescent="0.15"/>
    <row r="9379" customFormat="1" x14ac:dyDescent="0.15"/>
    <row r="9380" customFormat="1" x14ac:dyDescent="0.15"/>
    <row r="9381" customFormat="1" x14ac:dyDescent="0.15"/>
    <row r="9382" customFormat="1" x14ac:dyDescent="0.15"/>
    <row r="9383" customFormat="1" x14ac:dyDescent="0.15"/>
    <row r="9384" customFormat="1" x14ac:dyDescent="0.15"/>
    <row r="9385" customFormat="1" x14ac:dyDescent="0.15"/>
    <row r="9386" customFormat="1" x14ac:dyDescent="0.15"/>
    <row r="9387" customFormat="1" x14ac:dyDescent="0.15"/>
    <row r="9388" customFormat="1" x14ac:dyDescent="0.15"/>
    <row r="9389" customFormat="1" x14ac:dyDescent="0.15"/>
    <row r="9390" customFormat="1" x14ac:dyDescent="0.15"/>
    <row r="9391" customFormat="1" x14ac:dyDescent="0.15"/>
    <row r="9392" customFormat="1" x14ac:dyDescent="0.15"/>
    <row r="9393" customFormat="1" x14ac:dyDescent="0.15"/>
    <row r="9394" customFormat="1" x14ac:dyDescent="0.15"/>
    <row r="9395" customFormat="1" x14ac:dyDescent="0.15"/>
    <row r="9396" customFormat="1" x14ac:dyDescent="0.15"/>
    <row r="9397" customFormat="1" x14ac:dyDescent="0.15"/>
    <row r="9398" customFormat="1" x14ac:dyDescent="0.15"/>
    <row r="9399" customFormat="1" x14ac:dyDescent="0.15"/>
    <row r="9400" customFormat="1" x14ac:dyDescent="0.15"/>
    <row r="9401" customFormat="1" x14ac:dyDescent="0.15"/>
    <row r="9402" customFormat="1" x14ac:dyDescent="0.15"/>
    <row r="9403" customFormat="1" x14ac:dyDescent="0.15"/>
    <row r="9404" customFormat="1" x14ac:dyDescent="0.15"/>
    <row r="9405" customFormat="1" x14ac:dyDescent="0.15"/>
    <row r="9406" customFormat="1" x14ac:dyDescent="0.15"/>
    <row r="9407" customFormat="1" x14ac:dyDescent="0.15"/>
    <row r="9408" customFormat="1" x14ac:dyDescent="0.15"/>
    <row r="9409" customFormat="1" x14ac:dyDescent="0.15"/>
    <row r="9410" customFormat="1" x14ac:dyDescent="0.15"/>
    <row r="9411" customFormat="1" x14ac:dyDescent="0.15"/>
    <row r="9412" customFormat="1" x14ac:dyDescent="0.15"/>
    <row r="9413" customFormat="1" x14ac:dyDescent="0.15"/>
    <row r="9414" customFormat="1" x14ac:dyDescent="0.15"/>
    <row r="9415" customFormat="1" x14ac:dyDescent="0.15"/>
    <row r="9416" customFormat="1" x14ac:dyDescent="0.15"/>
    <row r="9417" customFormat="1" x14ac:dyDescent="0.15"/>
    <row r="9418" customFormat="1" x14ac:dyDescent="0.15"/>
    <row r="9419" customFormat="1" x14ac:dyDescent="0.15"/>
    <row r="9420" customFormat="1" x14ac:dyDescent="0.15"/>
    <row r="9421" customFormat="1" x14ac:dyDescent="0.15"/>
    <row r="9422" customFormat="1" x14ac:dyDescent="0.15"/>
    <row r="9423" customFormat="1" x14ac:dyDescent="0.15"/>
    <row r="9424" customFormat="1" x14ac:dyDescent="0.15"/>
    <row r="9425" customFormat="1" x14ac:dyDescent="0.15"/>
    <row r="9426" customFormat="1" x14ac:dyDescent="0.15"/>
    <row r="9427" customFormat="1" x14ac:dyDescent="0.15"/>
    <row r="9428" customFormat="1" x14ac:dyDescent="0.15"/>
    <row r="9429" customFormat="1" x14ac:dyDescent="0.15"/>
    <row r="9430" customFormat="1" x14ac:dyDescent="0.15"/>
    <row r="9431" customFormat="1" x14ac:dyDescent="0.15"/>
    <row r="9432" customFormat="1" x14ac:dyDescent="0.15"/>
    <row r="9433" customFormat="1" x14ac:dyDescent="0.15"/>
    <row r="9434" customFormat="1" x14ac:dyDescent="0.15"/>
    <row r="9435" customFormat="1" x14ac:dyDescent="0.15"/>
    <row r="9436" customFormat="1" x14ac:dyDescent="0.15"/>
    <row r="9437" customFormat="1" x14ac:dyDescent="0.15"/>
    <row r="9438" customFormat="1" x14ac:dyDescent="0.15"/>
    <row r="9439" customFormat="1" x14ac:dyDescent="0.15"/>
    <row r="9440" customFormat="1" x14ac:dyDescent="0.15"/>
    <row r="9441" customFormat="1" x14ac:dyDescent="0.15"/>
    <row r="9442" customFormat="1" x14ac:dyDescent="0.15"/>
    <row r="9443" customFormat="1" x14ac:dyDescent="0.15"/>
    <row r="9444" customFormat="1" x14ac:dyDescent="0.15"/>
  </sheetData>
  <sheetProtection algorithmName="SHA-512" hashValue="r72WghIaZ1r2NQri8neTxkKPThKexbY08uXCBzo0mpYTkanQVH3ORNCU+G1P5G80nJnsJkO8HclS4ObqX1oUzw==" saltValue="JjyYPbXA1EnG6uLv6zTI0A==" spinCount="100000" sheet="1" objects="1" scenarios="1"/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K19"/>
  <sheetViews>
    <sheetView zoomScale="125" workbookViewId="0">
      <selection sqref="A1:K19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155</v>
      </c>
    </row>
    <row r="2" spans="1:11" x14ac:dyDescent="0.15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3" spans="1:11" x14ac:dyDescent="0.15">
      <c r="A3" s="5" t="s">
        <v>113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275</v>
      </c>
      <c r="K4" s="54"/>
    </row>
    <row r="5" spans="1:11" x14ac:dyDescent="0.15">
      <c r="D5" s="8"/>
    </row>
    <row r="6" spans="1:11" x14ac:dyDescent="0.15">
      <c r="A6" s="14" t="s">
        <v>20</v>
      </c>
      <c r="D6" s="8"/>
      <c r="E6" s="15" t="s">
        <v>106</v>
      </c>
      <c r="F6" s="19" t="s">
        <v>102</v>
      </c>
      <c r="G6" s="19" t="s">
        <v>98</v>
      </c>
      <c r="H6" s="19" t="s">
        <v>145</v>
      </c>
      <c r="I6" s="19" t="s">
        <v>131</v>
      </c>
      <c r="J6" s="19" t="s">
        <v>85</v>
      </c>
    </row>
    <row r="7" spans="1:11" x14ac:dyDescent="0.15">
      <c r="A7" t="s">
        <v>110</v>
      </c>
      <c r="D7" s="8"/>
      <c r="E7">
        <v>2.8237000000000001</v>
      </c>
      <c r="F7">
        <v>2.8435000000000001</v>
      </c>
      <c r="G7">
        <v>2.8435000000000001</v>
      </c>
      <c r="H7">
        <v>3.0293999999999999</v>
      </c>
      <c r="I7">
        <v>2.4727999999999999</v>
      </c>
      <c r="J7">
        <v>4.2416</v>
      </c>
    </row>
    <row r="8" spans="1:11" x14ac:dyDescent="0.15">
      <c r="A8" t="s">
        <v>55</v>
      </c>
      <c r="D8" s="8"/>
      <c r="E8">
        <v>76.097999999999999</v>
      </c>
      <c r="F8">
        <v>81.917000000000002</v>
      </c>
      <c r="G8">
        <v>81.917000000000002</v>
      </c>
      <c r="H8">
        <v>81.421999999999997</v>
      </c>
      <c r="I8">
        <v>85.8</v>
      </c>
      <c r="J8">
        <v>70.135999999999996</v>
      </c>
    </row>
    <row r="9" spans="1:11" x14ac:dyDescent="0.15">
      <c r="D9" s="8"/>
    </row>
    <row r="10" spans="1:11" x14ac:dyDescent="0.1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x14ac:dyDescent="0.15">
      <c r="A11" s="14" t="s">
        <v>111</v>
      </c>
    </row>
    <row r="12" spans="1:11" x14ac:dyDescent="0.15">
      <c r="A12" s="19" t="s">
        <v>71</v>
      </c>
      <c r="B12" t="s">
        <v>232</v>
      </c>
    </row>
    <row r="13" spans="1:11" x14ac:dyDescent="0.15">
      <c r="A13" s="19" t="s">
        <v>112</v>
      </c>
      <c r="B13" t="s">
        <v>60</v>
      </c>
    </row>
    <row r="14" spans="1:11" x14ac:dyDescent="0.15">
      <c r="A14" s="19" t="s">
        <v>209</v>
      </c>
      <c r="B14" t="s">
        <v>61</v>
      </c>
    </row>
    <row r="15" spans="1:11" x14ac:dyDescent="0.15">
      <c r="A15" s="19" t="s">
        <v>210</v>
      </c>
      <c r="B15" t="s">
        <v>103</v>
      </c>
    </row>
    <row r="16" spans="1:11" x14ac:dyDescent="0.15">
      <c r="A16" s="19" t="s">
        <v>206</v>
      </c>
      <c r="B16" t="s">
        <v>89</v>
      </c>
    </row>
    <row r="17" spans="1:11" x14ac:dyDescent="0.15">
      <c r="A17" s="19" t="s">
        <v>230</v>
      </c>
      <c r="B17" t="s">
        <v>64</v>
      </c>
    </row>
    <row r="19" spans="1:11" x14ac:dyDescent="0.15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K24"/>
  <sheetViews>
    <sheetView zoomScale="125" workbookViewId="0">
      <selection sqref="A1:K2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155</v>
      </c>
    </row>
    <row r="2" spans="1:11" x14ac:dyDescent="0.15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3" spans="1:11" x14ac:dyDescent="0.15">
      <c r="A3" s="5" t="s">
        <v>100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275</v>
      </c>
    </row>
    <row r="5" spans="1:11" x14ac:dyDescent="0.15">
      <c r="D5" s="8"/>
      <c r="I5" s="54"/>
    </row>
    <row r="6" spans="1:11" x14ac:dyDescent="0.15">
      <c r="A6" s="14" t="s">
        <v>20</v>
      </c>
      <c r="D6" s="8"/>
      <c r="E6" s="15" t="s">
        <v>274</v>
      </c>
      <c r="F6" s="15" t="s">
        <v>11</v>
      </c>
      <c r="G6" s="15" t="s">
        <v>54</v>
      </c>
    </row>
    <row r="7" spans="1:11" x14ac:dyDescent="0.15">
      <c r="A7" t="s">
        <v>214</v>
      </c>
      <c r="D7" s="8"/>
      <c r="E7">
        <v>2500</v>
      </c>
      <c r="F7">
        <v>2500</v>
      </c>
      <c r="G7">
        <v>0</v>
      </c>
    </row>
    <row r="8" spans="1:11" x14ac:dyDescent="0.15">
      <c r="A8" t="s">
        <v>119</v>
      </c>
      <c r="D8" s="8"/>
      <c r="E8">
        <v>5500</v>
      </c>
      <c r="F8">
        <v>0</v>
      </c>
      <c r="G8">
        <v>0</v>
      </c>
    </row>
    <row r="9" spans="1:11" x14ac:dyDescent="0.15">
      <c r="A9" t="s">
        <v>207</v>
      </c>
      <c r="D9" s="8"/>
      <c r="E9">
        <v>17000</v>
      </c>
      <c r="F9">
        <v>0</v>
      </c>
      <c r="G9">
        <v>0</v>
      </c>
    </row>
    <row r="10" spans="1:11" x14ac:dyDescent="0.15">
      <c r="A10" s="16" t="s">
        <v>57</v>
      </c>
      <c r="B10" s="16"/>
      <c r="C10" s="16"/>
      <c r="D10" s="17"/>
      <c r="E10" s="16">
        <v>167000</v>
      </c>
      <c r="F10" s="16">
        <v>0</v>
      </c>
      <c r="G10" s="16">
        <v>0</v>
      </c>
    </row>
    <row r="11" spans="1:11" x14ac:dyDescent="0.15">
      <c r="A11" t="s">
        <v>181</v>
      </c>
      <c r="D11" s="8"/>
      <c r="E11">
        <v>3.8643000000000001</v>
      </c>
      <c r="F11">
        <v>2.8500999999999999</v>
      </c>
      <c r="G11">
        <v>2.6873</v>
      </c>
    </row>
    <row r="12" spans="1:11" x14ac:dyDescent="0.15">
      <c r="A12" t="s">
        <v>182</v>
      </c>
      <c r="D12" s="8"/>
      <c r="E12">
        <v>3.0569000000000002</v>
      </c>
      <c r="F12">
        <v>0</v>
      </c>
      <c r="G12">
        <v>0</v>
      </c>
    </row>
    <row r="13" spans="1:11" x14ac:dyDescent="0.15">
      <c r="A13" t="s">
        <v>97</v>
      </c>
      <c r="D13" s="8"/>
      <c r="E13">
        <v>2.6036999999999999</v>
      </c>
      <c r="F13">
        <v>0</v>
      </c>
      <c r="G13">
        <v>0</v>
      </c>
    </row>
    <row r="14" spans="1:11" x14ac:dyDescent="0.15">
      <c r="A14" t="s">
        <v>117</v>
      </c>
      <c r="D14" s="8"/>
      <c r="E14">
        <v>2.5695999999999999</v>
      </c>
      <c r="F14">
        <v>0</v>
      </c>
      <c r="G14">
        <v>0</v>
      </c>
    </row>
    <row r="15" spans="1:11" x14ac:dyDescent="0.15">
      <c r="A15" t="s">
        <v>233</v>
      </c>
      <c r="D15" s="8"/>
      <c r="E15">
        <v>2.5508999999999999</v>
      </c>
      <c r="F15">
        <v>2.6191</v>
      </c>
      <c r="G15">
        <v>0</v>
      </c>
    </row>
    <row r="16" spans="1:11" x14ac:dyDescent="0.15">
      <c r="A16" t="s">
        <v>55</v>
      </c>
      <c r="D16" s="8"/>
      <c r="E16">
        <v>58.234000000000002</v>
      </c>
      <c r="F16">
        <v>71.182000000000002</v>
      </c>
      <c r="G16">
        <v>69.013999999999996</v>
      </c>
    </row>
    <row r="17" spans="1:11" x14ac:dyDescent="0.15">
      <c r="D17" s="8"/>
    </row>
    <row r="18" spans="1:11" x14ac:dyDescent="0.1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</row>
    <row r="19" spans="1:11" x14ac:dyDescent="0.15">
      <c r="A19" s="14" t="s">
        <v>111</v>
      </c>
    </row>
    <row r="20" spans="1:11" x14ac:dyDescent="0.15">
      <c r="A20" s="19" t="s">
        <v>82</v>
      </c>
      <c r="B20" t="s">
        <v>105</v>
      </c>
    </row>
    <row r="21" spans="1:11" x14ac:dyDescent="0.15">
      <c r="A21" s="19" t="s">
        <v>190</v>
      </c>
      <c r="B21" t="s">
        <v>107</v>
      </c>
    </row>
    <row r="22" spans="1:11" x14ac:dyDescent="0.15">
      <c r="A22" s="19" t="s">
        <v>157</v>
      </c>
      <c r="B22" t="s">
        <v>3</v>
      </c>
    </row>
    <row r="24" spans="1:11" x14ac:dyDescent="0.1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K21"/>
  <sheetViews>
    <sheetView zoomScale="125" workbookViewId="0">
      <selection activeCell="K30" sqref="K3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163</v>
      </c>
    </row>
    <row r="2" spans="1:11" x14ac:dyDescent="0.15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3" spans="1:11" x14ac:dyDescent="0.15">
      <c r="A3" s="5" t="s">
        <v>101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275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138</v>
      </c>
      <c r="F6" s="15" t="s">
        <v>147</v>
      </c>
      <c r="H6" s="54"/>
    </row>
    <row r="7" spans="1:11" x14ac:dyDescent="0.15">
      <c r="A7" s="20" t="s">
        <v>96</v>
      </c>
      <c r="D7" s="8"/>
      <c r="E7" s="18">
        <v>2</v>
      </c>
      <c r="F7" s="18">
        <v>0</v>
      </c>
    </row>
    <row r="8" spans="1:11" x14ac:dyDescent="0.15">
      <c r="A8" s="20" t="s">
        <v>37</v>
      </c>
      <c r="D8" s="8"/>
      <c r="E8" s="18">
        <v>4</v>
      </c>
      <c r="F8" s="18">
        <v>0</v>
      </c>
    </row>
    <row r="9" spans="1:11" x14ac:dyDescent="0.15">
      <c r="A9" s="16" t="s">
        <v>214</v>
      </c>
      <c r="B9" s="16"/>
      <c r="C9" s="16"/>
      <c r="D9" s="17"/>
      <c r="E9" s="16">
        <v>4000</v>
      </c>
      <c r="F9" s="16">
        <v>0</v>
      </c>
    </row>
    <row r="10" spans="1:11" x14ac:dyDescent="0.15">
      <c r="A10" t="s">
        <v>216</v>
      </c>
      <c r="D10" s="8"/>
      <c r="E10">
        <v>1.9316</v>
      </c>
      <c r="F10">
        <v>2.8445999999999998</v>
      </c>
    </row>
    <row r="11" spans="1:11" x14ac:dyDescent="0.15">
      <c r="A11" t="s">
        <v>180</v>
      </c>
      <c r="D11" s="8"/>
      <c r="E11">
        <v>2.1373000000000002</v>
      </c>
      <c r="F11">
        <v>0</v>
      </c>
    </row>
    <row r="12" spans="1:11" x14ac:dyDescent="0.15">
      <c r="A12" t="s">
        <v>63</v>
      </c>
      <c r="D12" s="8"/>
      <c r="E12">
        <v>1.8216000000000001</v>
      </c>
      <c r="F12">
        <v>0</v>
      </c>
    </row>
    <row r="13" spans="1:11" x14ac:dyDescent="0.15">
      <c r="A13" t="s">
        <v>273</v>
      </c>
      <c r="D13" s="8"/>
      <c r="E13">
        <v>1.9734</v>
      </c>
      <c r="F13">
        <v>0</v>
      </c>
    </row>
    <row r="14" spans="1:11" x14ac:dyDescent="0.15">
      <c r="A14" t="s">
        <v>55</v>
      </c>
      <c r="D14" s="8"/>
      <c r="E14">
        <v>58.277999999999999</v>
      </c>
      <c r="F14">
        <v>66</v>
      </c>
    </row>
    <row r="15" spans="1:11" x14ac:dyDescent="0.15">
      <c r="D15" s="8"/>
    </row>
    <row r="16" spans="1:11" x14ac:dyDescent="0.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x14ac:dyDescent="0.15">
      <c r="A17" s="14" t="s">
        <v>111</v>
      </c>
    </row>
    <row r="18" spans="1:11" x14ac:dyDescent="0.15">
      <c r="A18" s="19" t="s">
        <v>217</v>
      </c>
      <c r="B18" t="s">
        <v>172</v>
      </c>
    </row>
    <row r="19" spans="1:11" x14ac:dyDescent="0.15">
      <c r="A19" s="19" t="s">
        <v>87</v>
      </c>
      <c r="B19" t="s">
        <v>165</v>
      </c>
    </row>
    <row r="21" spans="1:11" x14ac:dyDescent="0.15">
      <c r="A21" s="105"/>
      <c r="B21" s="106"/>
      <c r="C21" s="106"/>
      <c r="D21" s="106"/>
      <c r="E21" s="106"/>
      <c r="F21" s="106"/>
      <c r="G21" s="106"/>
      <c r="H21" s="106"/>
      <c r="I21" s="106"/>
      <c r="J21" s="106"/>
      <c r="K21" s="10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A1:K18"/>
  <sheetViews>
    <sheetView zoomScale="150" workbookViewId="0">
      <selection sqref="A1:K18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189</v>
      </c>
    </row>
    <row r="2" spans="1:11" x14ac:dyDescent="0.1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1" x14ac:dyDescent="0.15">
      <c r="A3" s="5" t="s">
        <v>222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179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133</v>
      </c>
    </row>
    <row r="7" spans="1:11" x14ac:dyDescent="0.15">
      <c r="A7" t="s">
        <v>214</v>
      </c>
      <c r="D7" s="8"/>
      <c r="E7">
        <v>2500</v>
      </c>
    </row>
    <row r="8" spans="1:11" x14ac:dyDescent="0.15">
      <c r="A8" t="s">
        <v>119</v>
      </c>
      <c r="D8" s="8"/>
      <c r="E8">
        <v>5500</v>
      </c>
    </row>
    <row r="9" spans="1:11" x14ac:dyDescent="0.15">
      <c r="A9" t="s">
        <v>207</v>
      </c>
      <c r="D9" s="8"/>
      <c r="E9">
        <v>17000</v>
      </c>
    </row>
    <row r="10" spans="1:11" x14ac:dyDescent="0.15">
      <c r="A10" s="16" t="s">
        <v>57</v>
      </c>
      <c r="B10" s="16"/>
      <c r="C10" s="16"/>
      <c r="D10" s="17"/>
      <c r="E10" s="16">
        <v>167000</v>
      </c>
    </row>
    <row r="11" spans="1:11" x14ac:dyDescent="0.15">
      <c r="A11" t="s">
        <v>181</v>
      </c>
      <c r="D11" s="8"/>
      <c r="E11">
        <v>3.6156999999999999</v>
      </c>
    </row>
    <row r="12" spans="1:11" x14ac:dyDescent="0.15">
      <c r="A12" t="s">
        <v>182</v>
      </c>
      <c r="D12" s="8"/>
      <c r="E12">
        <v>2.1175000000000002</v>
      </c>
    </row>
    <row r="13" spans="1:11" x14ac:dyDescent="0.15">
      <c r="A13" t="s">
        <v>97</v>
      </c>
      <c r="D13" s="8"/>
      <c r="E13">
        <v>2.0878000000000001</v>
      </c>
    </row>
    <row r="14" spans="1:11" x14ac:dyDescent="0.15">
      <c r="A14" t="s">
        <v>117</v>
      </c>
      <c r="D14" s="8"/>
      <c r="E14">
        <v>2.0712999999999999</v>
      </c>
    </row>
    <row r="15" spans="1:11" x14ac:dyDescent="0.15">
      <c r="A15" t="s">
        <v>233</v>
      </c>
      <c r="D15" s="8"/>
      <c r="E15">
        <v>1.9645999999999999</v>
      </c>
    </row>
    <row r="16" spans="1:11" x14ac:dyDescent="0.15">
      <c r="A16" t="s">
        <v>55</v>
      </c>
      <c r="D16" s="8"/>
      <c r="E16">
        <v>51.798999999999999</v>
      </c>
    </row>
    <row r="17" spans="1:11" x14ac:dyDescent="0.15">
      <c r="D17" s="8"/>
    </row>
    <row r="18" spans="1:11" x14ac:dyDescent="0.15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/>
  <dimension ref="A1:K19"/>
  <sheetViews>
    <sheetView zoomScale="150" workbookViewId="0">
      <selection sqref="A1:K19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178</v>
      </c>
    </row>
    <row r="2" spans="1:11" x14ac:dyDescent="0.1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1" x14ac:dyDescent="0.15">
      <c r="A3" s="5" t="s">
        <v>113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170</v>
      </c>
      <c r="K4" s="54"/>
    </row>
    <row r="5" spans="1:11" x14ac:dyDescent="0.15">
      <c r="D5" s="8"/>
    </row>
    <row r="6" spans="1:11" x14ac:dyDescent="0.15">
      <c r="A6" s="14" t="s">
        <v>20</v>
      </c>
      <c r="D6" s="8"/>
      <c r="E6" s="15" t="s">
        <v>106</v>
      </c>
      <c r="F6" s="19" t="s">
        <v>102</v>
      </c>
      <c r="G6" s="19" t="s">
        <v>98</v>
      </c>
      <c r="H6" s="19" t="s">
        <v>145</v>
      </c>
      <c r="I6" s="19" t="s">
        <v>131</v>
      </c>
      <c r="J6" s="19" t="s">
        <v>85</v>
      </c>
    </row>
    <row r="7" spans="1:11" x14ac:dyDescent="0.15">
      <c r="A7" t="s">
        <v>110</v>
      </c>
      <c r="D7" s="8"/>
      <c r="E7">
        <v>2.3374999999999999</v>
      </c>
      <c r="F7">
        <v>2.3254000000000001</v>
      </c>
      <c r="G7">
        <v>2.3254000000000001</v>
      </c>
      <c r="H7">
        <v>2.4453</v>
      </c>
      <c r="I7">
        <v>2.0053000000000001</v>
      </c>
      <c r="J7">
        <v>3.5552000000000001</v>
      </c>
    </row>
    <row r="8" spans="1:11" x14ac:dyDescent="0.15">
      <c r="A8" t="s">
        <v>55</v>
      </c>
      <c r="D8" s="8"/>
      <c r="E8">
        <v>63.491999999999997</v>
      </c>
      <c r="F8">
        <v>68.09</v>
      </c>
      <c r="G8">
        <v>68.09</v>
      </c>
      <c r="H8">
        <v>73.403000000000006</v>
      </c>
      <c r="I8">
        <v>78.022999999999996</v>
      </c>
      <c r="J8">
        <v>57.167000000000002</v>
      </c>
    </row>
    <row r="9" spans="1:11" x14ac:dyDescent="0.15">
      <c r="D9" s="8"/>
    </row>
    <row r="10" spans="1:11" x14ac:dyDescent="0.1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x14ac:dyDescent="0.15">
      <c r="A11" s="14" t="s">
        <v>111</v>
      </c>
    </row>
    <row r="12" spans="1:11" x14ac:dyDescent="0.15">
      <c r="A12" s="19" t="s">
        <v>231</v>
      </c>
      <c r="B12" t="s">
        <v>232</v>
      </c>
    </row>
    <row r="13" spans="1:11" x14ac:dyDescent="0.15">
      <c r="A13" s="19" t="s">
        <v>112</v>
      </c>
      <c r="B13" t="s">
        <v>60</v>
      </c>
    </row>
    <row r="14" spans="1:11" x14ac:dyDescent="0.15">
      <c r="A14" s="19" t="s">
        <v>209</v>
      </c>
      <c r="B14" t="s">
        <v>61</v>
      </c>
    </row>
    <row r="15" spans="1:11" x14ac:dyDescent="0.15">
      <c r="A15" s="19" t="s">
        <v>210</v>
      </c>
      <c r="B15" t="s">
        <v>103</v>
      </c>
    </row>
    <row r="16" spans="1:11" x14ac:dyDescent="0.15">
      <c r="A16" s="19" t="s">
        <v>206</v>
      </c>
      <c r="B16" t="s">
        <v>89</v>
      </c>
    </row>
    <row r="17" spans="1:11" x14ac:dyDescent="0.15">
      <c r="A17" s="19" t="s">
        <v>230</v>
      </c>
      <c r="B17" t="s">
        <v>64</v>
      </c>
    </row>
    <row r="19" spans="1:11" x14ac:dyDescent="0.15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/>
  <dimension ref="A1:K24"/>
  <sheetViews>
    <sheetView zoomScale="150" workbookViewId="0">
      <selection activeCell="D5" sqref="D5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189</v>
      </c>
    </row>
    <row r="2" spans="1:11" x14ac:dyDescent="0.1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1" x14ac:dyDescent="0.15">
      <c r="A3" s="5" t="s">
        <v>100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170</v>
      </c>
    </row>
    <row r="5" spans="1:11" x14ac:dyDescent="0.15">
      <c r="D5" s="8"/>
      <c r="I5" s="54"/>
    </row>
    <row r="6" spans="1:11" x14ac:dyDescent="0.15">
      <c r="A6" s="14" t="s">
        <v>20</v>
      </c>
      <c r="D6" s="8"/>
      <c r="E6" s="15" t="s">
        <v>274</v>
      </c>
      <c r="F6" s="15" t="s">
        <v>11</v>
      </c>
      <c r="G6" s="15" t="s">
        <v>54</v>
      </c>
    </row>
    <row r="7" spans="1:11" x14ac:dyDescent="0.15">
      <c r="A7" t="s">
        <v>214</v>
      </c>
      <c r="D7" s="8"/>
      <c r="E7">
        <v>2500</v>
      </c>
      <c r="F7">
        <v>2500</v>
      </c>
      <c r="G7">
        <v>0</v>
      </c>
    </row>
    <row r="8" spans="1:11" x14ac:dyDescent="0.15">
      <c r="A8" t="s">
        <v>119</v>
      </c>
      <c r="D8" s="8"/>
      <c r="E8">
        <v>5500</v>
      </c>
      <c r="F8">
        <v>0</v>
      </c>
      <c r="G8">
        <v>0</v>
      </c>
    </row>
    <row r="9" spans="1:11" x14ac:dyDescent="0.15">
      <c r="A9" t="s">
        <v>207</v>
      </c>
      <c r="D9" s="8"/>
      <c r="E9">
        <v>17000</v>
      </c>
      <c r="F9">
        <v>0</v>
      </c>
      <c r="G9">
        <v>0</v>
      </c>
    </row>
    <row r="10" spans="1:11" x14ac:dyDescent="0.15">
      <c r="A10" s="16" t="s">
        <v>57</v>
      </c>
      <c r="B10" s="16"/>
      <c r="C10" s="16"/>
      <c r="D10" s="17"/>
      <c r="E10" s="16">
        <v>167000</v>
      </c>
      <c r="F10" s="16">
        <v>0</v>
      </c>
      <c r="G10" s="16">
        <v>0</v>
      </c>
    </row>
    <row r="11" spans="1:11" x14ac:dyDescent="0.15">
      <c r="A11" t="s">
        <v>181</v>
      </c>
      <c r="D11" s="8"/>
      <c r="E11">
        <v>3.1878000000000002</v>
      </c>
      <c r="F11">
        <v>2.3254000000000001</v>
      </c>
      <c r="G11">
        <v>2.3254000000000001</v>
      </c>
    </row>
    <row r="12" spans="1:11" x14ac:dyDescent="0.15">
      <c r="A12" t="s">
        <v>182</v>
      </c>
      <c r="D12" s="8"/>
      <c r="E12">
        <v>2.5366</v>
      </c>
      <c r="F12">
        <v>0</v>
      </c>
      <c r="G12">
        <v>0</v>
      </c>
    </row>
    <row r="13" spans="1:11" x14ac:dyDescent="0.15">
      <c r="A13" t="s">
        <v>97</v>
      </c>
      <c r="D13" s="8"/>
      <c r="E13">
        <v>2.2286000000000001</v>
      </c>
      <c r="F13">
        <v>0</v>
      </c>
      <c r="G13">
        <v>0</v>
      </c>
    </row>
    <row r="14" spans="1:11" x14ac:dyDescent="0.15">
      <c r="A14" t="s">
        <v>117</v>
      </c>
      <c r="D14" s="8"/>
      <c r="E14">
        <v>2.2065999999999999</v>
      </c>
      <c r="F14">
        <v>0</v>
      </c>
      <c r="G14">
        <v>0</v>
      </c>
    </row>
    <row r="15" spans="1:11" x14ac:dyDescent="0.15">
      <c r="A15" t="s">
        <v>233</v>
      </c>
      <c r="D15" s="8"/>
      <c r="E15">
        <v>2.1835</v>
      </c>
      <c r="F15">
        <v>2.2770000000000001</v>
      </c>
      <c r="G15">
        <v>0</v>
      </c>
    </row>
    <row r="16" spans="1:11" x14ac:dyDescent="0.15">
      <c r="A16" t="s">
        <v>55</v>
      </c>
      <c r="D16" s="8"/>
      <c r="E16">
        <v>49.796999999999997</v>
      </c>
      <c r="F16">
        <v>63.744999999999997</v>
      </c>
      <c r="G16">
        <v>59.73</v>
      </c>
    </row>
    <row r="17" spans="1:11" x14ac:dyDescent="0.15">
      <c r="D17" s="8"/>
    </row>
    <row r="18" spans="1:11" x14ac:dyDescent="0.1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</row>
    <row r="19" spans="1:11" x14ac:dyDescent="0.15">
      <c r="A19" s="14" t="s">
        <v>111</v>
      </c>
    </row>
    <row r="20" spans="1:11" x14ac:dyDescent="0.15">
      <c r="A20" s="19" t="s">
        <v>82</v>
      </c>
      <c r="B20" t="s">
        <v>105</v>
      </c>
    </row>
    <row r="21" spans="1:11" x14ac:dyDescent="0.15">
      <c r="A21" s="19" t="s">
        <v>190</v>
      </c>
      <c r="B21" t="s">
        <v>107</v>
      </c>
    </row>
    <row r="22" spans="1:11" x14ac:dyDescent="0.15">
      <c r="A22" s="19" t="s">
        <v>157</v>
      </c>
      <c r="B22" t="s">
        <v>3</v>
      </c>
    </row>
    <row r="24" spans="1:11" x14ac:dyDescent="0.1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/>
  <dimension ref="A1:K21"/>
  <sheetViews>
    <sheetView zoomScale="150" workbookViewId="0">
      <selection activeCell="K25" sqref="K25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187</v>
      </c>
    </row>
    <row r="2" spans="1:11" x14ac:dyDescent="0.1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</row>
    <row r="3" spans="1:11" x14ac:dyDescent="0.15">
      <c r="A3" s="5" t="s">
        <v>101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179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126</v>
      </c>
      <c r="F6" s="15" t="s">
        <v>147</v>
      </c>
      <c r="H6" s="54"/>
    </row>
    <row r="7" spans="1:11" x14ac:dyDescent="0.15">
      <c r="A7" s="20" t="s">
        <v>96</v>
      </c>
      <c r="D7" s="8"/>
      <c r="E7" s="18">
        <v>2</v>
      </c>
      <c r="F7" s="18">
        <v>0</v>
      </c>
    </row>
    <row r="8" spans="1:11" x14ac:dyDescent="0.15">
      <c r="A8" s="20" t="s">
        <v>37</v>
      </c>
      <c r="D8" s="8"/>
      <c r="E8" s="18">
        <v>4</v>
      </c>
      <c r="F8" s="18">
        <v>0</v>
      </c>
    </row>
    <row r="9" spans="1:11" x14ac:dyDescent="0.15">
      <c r="A9" s="16" t="s">
        <v>214</v>
      </c>
      <c r="B9" s="16"/>
      <c r="C9" s="16"/>
      <c r="D9" s="17"/>
      <c r="E9" s="16">
        <v>4000</v>
      </c>
      <c r="F9" s="16">
        <v>0</v>
      </c>
    </row>
    <row r="10" spans="1:11" x14ac:dyDescent="0.15">
      <c r="A10" t="s">
        <v>216</v>
      </c>
      <c r="D10" s="8"/>
      <c r="E10">
        <v>1.6269</v>
      </c>
      <c r="F10">
        <v>2.3969</v>
      </c>
    </row>
    <row r="11" spans="1:11" x14ac:dyDescent="0.15">
      <c r="A11" t="s">
        <v>180</v>
      </c>
      <c r="D11" s="8"/>
      <c r="E11">
        <v>1.8007</v>
      </c>
      <c r="F11">
        <v>0</v>
      </c>
    </row>
    <row r="12" spans="1:11" x14ac:dyDescent="0.15">
      <c r="A12" t="s">
        <v>63</v>
      </c>
      <c r="D12" s="8"/>
      <c r="E12">
        <v>1.5345</v>
      </c>
      <c r="F12">
        <v>0</v>
      </c>
    </row>
    <row r="13" spans="1:11" x14ac:dyDescent="0.15">
      <c r="A13" t="s">
        <v>273</v>
      </c>
      <c r="D13" s="8"/>
      <c r="E13">
        <v>1.6620999999999999</v>
      </c>
      <c r="F13">
        <v>0</v>
      </c>
    </row>
    <row r="14" spans="1:11" x14ac:dyDescent="0.15">
      <c r="A14" t="s">
        <v>55</v>
      </c>
      <c r="D14" s="8"/>
      <c r="E14">
        <v>49.093000000000004</v>
      </c>
      <c r="F14">
        <v>55.604999999999997</v>
      </c>
    </row>
    <row r="15" spans="1:11" x14ac:dyDescent="0.15">
      <c r="D15" s="8"/>
    </row>
    <row r="16" spans="1:11" x14ac:dyDescent="0.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x14ac:dyDescent="0.15">
      <c r="A17" s="14" t="s">
        <v>111</v>
      </c>
    </row>
    <row r="18" spans="1:11" x14ac:dyDescent="0.15">
      <c r="A18" s="19" t="s">
        <v>217</v>
      </c>
      <c r="B18" t="s">
        <v>172</v>
      </c>
    </row>
    <row r="19" spans="1:11" x14ac:dyDescent="0.15">
      <c r="A19" s="19" t="s">
        <v>87</v>
      </c>
      <c r="B19" t="s">
        <v>165</v>
      </c>
    </row>
    <row r="21" spans="1:11" x14ac:dyDescent="0.15">
      <c r="A21" s="49"/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1:K18"/>
  <sheetViews>
    <sheetView zoomScale="150" workbookViewId="0">
      <selection activeCell="E16" sqref="E1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21</v>
      </c>
    </row>
    <row r="2" spans="1:11" x14ac:dyDescent="0.15">
      <c r="A2" s="47"/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1" x14ac:dyDescent="0.15">
      <c r="A3" s="5" t="s">
        <v>222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278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133</v>
      </c>
    </row>
    <row r="7" spans="1:11" x14ac:dyDescent="0.15">
      <c r="A7" t="s">
        <v>214</v>
      </c>
      <c r="D7" s="8"/>
      <c r="E7">
        <v>2500</v>
      </c>
    </row>
    <row r="8" spans="1:11" x14ac:dyDescent="0.15">
      <c r="A8" t="s">
        <v>119</v>
      </c>
      <c r="D8" s="8"/>
      <c r="E8">
        <v>5500</v>
      </c>
    </row>
    <row r="9" spans="1:11" x14ac:dyDescent="0.15">
      <c r="A9" t="s">
        <v>207</v>
      </c>
      <c r="D9" s="8"/>
      <c r="E9">
        <v>17000</v>
      </c>
    </row>
    <row r="10" spans="1:11" x14ac:dyDescent="0.15">
      <c r="A10" s="16" t="s">
        <v>57</v>
      </c>
      <c r="B10" s="16"/>
      <c r="C10" s="16"/>
      <c r="D10" s="17"/>
      <c r="E10" s="16">
        <v>167000</v>
      </c>
    </row>
    <row r="11" spans="1:11" x14ac:dyDescent="0.15">
      <c r="A11" t="s">
        <v>181</v>
      </c>
      <c r="D11" s="8"/>
      <c r="E11">
        <v>3.2637</v>
      </c>
    </row>
    <row r="12" spans="1:11" x14ac:dyDescent="0.15">
      <c r="A12" t="s">
        <v>182</v>
      </c>
      <c r="D12" s="8"/>
      <c r="E12">
        <v>1.9338</v>
      </c>
    </row>
    <row r="13" spans="1:11" x14ac:dyDescent="0.15">
      <c r="A13" t="s">
        <v>97</v>
      </c>
      <c r="D13" s="8"/>
      <c r="E13">
        <v>1.9074</v>
      </c>
    </row>
    <row r="14" spans="1:11" x14ac:dyDescent="0.15">
      <c r="A14" t="s">
        <v>117</v>
      </c>
      <c r="D14" s="8"/>
      <c r="E14">
        <v>1.8919999999999999</v>
      </c>
    </row>
    <row r="15" spans="1:11" x14ac:dyDescent="0.15">
      <c r="A15" t="s">
        <v>233</v>
      </c>
      <c r="D15" s="8"/>
      <c r="E15">
        <v>1.7919</v>
      </c>
    </row>
    <row r="16" spans="1:11" x14ac:dyDescent="0.15">
      <c r="A16" t="s">
        <v>55</v>
      </c>
      <c r="D16" s="8"/>
      <c r="E16">
        <v>48.73</v>
      </c>
    </row>
    <row r="17" spans="1:11" x14ac:dyDescent="0.15">
      <c r="D17" s="8"/>
    </row>
    <row r="18" spans="1:11" x14ac:dyDescent="0.1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1:K19"/>
  <sheetViews>
    <sheetView zoomScale="150" workbookViewId="0">
      <selection activeCell="E8" sqref="E8:J8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21</v>
      </c>
    </row>
    <row r="2" spans="1:11" x14ac:dyDescent="0.15">
      <c r="A2" s="51"/>
      <c r="B2" s="52"/>
      <c r="C2" s="52"/>
      <c r="D2" s="52"/>
      <c r="E2" s="52"/>
      <c r="F2" s="52"/>
      <c r="G2" s="52"/>
      <c r="H2" s="52"/>
      <c r="I2" s="52"/>
      <c r="J2" s="52"/>
      <c r="K2" s="52"/>
    </row>
    <row r="3" spans="1:11" x14ac:dyDescent="0.15">
      <c r="A3" s="5" t="s">
        <v>113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278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106</v>
      </c>
      <c r="F6" s="19" t="s">
        <v>102</v>
      </c>
      <c r="G6" s="19" t="s">
        <v>173</v>
      </c>
      <c r="H6" s="19" t="s">
        <v>145</v>
      </c>
      <c r="I6" s="19" t="s">
        <v>131</v>
      </c>
      <c r="J6" s="19" t="s">
        <v>85</v>
      </c>
    </row>
    <row r="7" spans="1:11" x14ac:dyDescent="0.15">
      <c r="A7" t="s">
        <v>110</v>
      </c>
      <c r="D7" s="8"/>
      <c r="E7">
        <v>2.2153999999999998</v>
      </c>
      <c r="F7">
        <v>2.2065999999999999</v>
      </c>
      <c r="G7">
        <v>2.2065999999999999</v>
      </c>
      <c r="H7">
        <v>2.3166000000000002</v>
      </c>
      <c r="I7">
        <v>1.9480999999999999</v>
      </c>
      <c r="J7">
        <v>3.3330000000000002</v>
      </c>
    </row>
    <row r="8" spans="1:11" x14ac:dyDescent="0.15">
      <c r="A8" t="s">
        <v>55</v>
      </c>
      <c r="D8" s="8"/>
      <c r="E8">
        <v>60.037999999999997</v>
      </c>
      <c r="F8">
        <v>64.361000000000004</v>
      </c>
      <c r="G8">
        <v>64.361000000000004</v>
      </c>
      <c r="H8">
        <v>69.894000000000005</v>
      </c>
      <c r="I8">
        <v>74.36</v>
      </c>
      <c r="J8">
        <v>53.162999999999997</v>
      </c>
    </row>
    <row r="9" spans="1:11" x14ac:dyDescent="0.15">
      <c r="D9" s="8"/>
    </row>
    <row r="10" spans="1:11" x14ac:dyDescent="0.1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x14ac:dyDescent="0.15">
      <c r="A11" s="14" t="s">
        <v>111</v>
      </c>
    </row>
    <row r="12" spans="1:11" x14ac:dyDescent="0.15">
      <c r="A12" s="19" t="s">
        <v>231</v>
      </c>
      <c r="B12" t="s">
        <v>232</v>
      </c>
    </row>
    <row r="13" spans="1:11" x14ac:dyDescent="0.15">
      <c r="A13" s="19" t="s">
        <v>112</v>
      </c>
      <c r="B13" t="s">
        <v>60</v>
      </c>
    </row>
    <row r="14" spans="1:11" x14ac:dyDescent="0.15">
      <c r="A14" s="19" t="s">
        <v>209</v>
      </c>
      <c r="B14" t="s">
        <v>61</v>
      </c>
    </row>
    <row r="15" spans="1:11" x14ac:dyDescent="0.15">
      <c r="A15" s="19" t="s">
        <v>210</v>
      </c>
      <c r="B15" t="s">
        <v>103</v>
      </c>
    </row>
    <row r="16" spans="1:11" x14ac:dyDescent="0.15">
      <c r="A16" s="19" t="s">
        <v>206</v>
      </c>
      <c r="B16" t="s">
        <v>89</v>
      </c>
    </row>
    <row r="17" spans="1:11" x14ac:dyDescent="0.15">
      <c r="A17" s="19" t="s">
        <v>230</v>
      </c>
      <c r="B17" t="s">
        <v>64</v>
      </c>
    </row>
    <row r="19" spans="1:11" x14ac:dyDescent="0.1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/>
  <dimension ref="A1:K18"/>
  <sheetViews>
    <sheetView zoomScale="150" workbookViewId="0">
      <selection activeCell="E10" sqref="E10:G1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83</v>
      </c>
    </row>
    <row r="2" spans="1:11" x14ac:dyDescent="0.15">
      <c r="A2" s="51"/>
      <c r="B2" s="52"/>
      <c r="C2" s="52"/>
      <c r="D2" s="52"/>
      <c r="E2" s="52"/>
      <c r="F2" s="52"/>
      <c r="G2" s="52"/>
      <c r="H2" s="52"/>
      <c r="I2" s="52"/>
      <c r="J2" s="52"/>
      <c r="K2" s="52"/>
    </row>
    <row r="3" spans="1:11" x14ac:dyDescent="0.15">
      <c r="A3" s="5" t="s">
        <v>100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62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274</v>
      </c>
      <c r="F6" s="15" t="s">
        <v>11</v>
      </c>
      <c r="G6" s="15" t="s">
        <v>54</v>
      </c>
    </row>
    <row r="7" spans="1:11" x14ac:dyDescent="0.15">
      <c r="A7" s="16" t="s">
        <v>214</v>
      </c>
      <c r="B7" s="16"/>
      <c r="C7" s="16"/>
      <c r="D7" s="17"/>
      <c r="E7" s="16">
        <v>3615</v>
      </c>
      <c r="F7" s="16">
        <v>2960</v>
      </c>
      <c r="G7" s="16">
        <v>0</v>
      </c>
    </row>
    <row r="8" spans="1:11" x14ac:dyDescent="0.15">
      <c r="A8" t="s">
        <v>216</v>
      </c>
      <c r="D8" s="8"/>
      <c r="E8">
        <v>2.8611</v>
      </c>
      <c r="F8">
        <v>2.1581999999999999</v>
      </c>
      <c r="G8">
        <v>2.2307999999999999</v>
      </c>
    </row>
    <row r="9" spans="1:11" x14ac:dyDescent="0.15">
      <c r="A9" t="s">
        <v>180</v>
      </c>
      <c r="D9" s="8"/>
      <c r="E9">
        <v>2.0988000000000002</v>
      </c>
      <c r="F9">
        <v>2.0823</v>
      </c>
      <c r="G9">
        <v>0</v>
      </c>
    </row>
    <row r="10" spans="1:11" x14ac:dyDescent="0.15">
      <c r="A10" t="s">
        <v>55</v>
      </c>
      <c r="D10" s="8"/>
      <c r="E10">
        <v>46.298999999999999</v>
      </c>
      <c r="F10">
        <v>71.885000000000005</v>
      </c>
      <c r="G10">
        <v>58.893999999999998</v>
      </c>
    </row>
    <row r="11" spans="1:11" x14ac:dyDescent="0.15">
      <c r="D11" s="8"/>
    </row>
    <row r="12" spans="1:11" x14ac:dyDescent="0.1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</row>
    <row r="13" spans="1:11" x14ac:dyDescent="0.15">
      <c r="A13" s="14" t="s">
        <v>111</v>
      </c>
    </row>
    <row r="14" spans="1:11" x14ac:dyDescent="0.15">
      <c r="A14" s="19" t="s">
        <v>82</v>
      </c>
      <c r="B14" t="s">
        <v>105</v>
      </c>
    </row>
    <row r="15" spans="1:11" x14ac:dyDescent="0.15">
      <c r="A15" s="19" t="s">
        <v>190</v>
      </c>
      <c r="B15" t="s">
        <v>107</v>
      </c>
    </row>
    <row r="16" spans="1:11" x14ac:dyDescent="0.15">
      <c r="A16" s="19" t="s">
        <v>157</v>
      </c>
      <c r="B16" t="s">
        <v>3</v>
      </c>
    </row>
    <row r="18" spans="1:11" x14ac:dyDescent="0.15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64199-D88C-824B-B0E2-ABE21655E04C}">
  <sheetPr codeName="Sheet47"/>
  <dimension ref="A1:AUU9444"/>
  <sheetViews>
    <sheetView zoomScaleNormal="100" workbookViewId="0">
      <selection activeCell="K36" sqref="K36"/>
    </sheetView>
  </sheetViews>
  <sheetFormatPr baseColWidth="10" defaultRowHeight="13" x14ac:dyDescent="0.15"/>
  <cols>
    <col min="1" max="1" width="20.5" style="208" customWidth="1"/>
    <col min="2" max="2" width="30.83203125" style="208" bestFit="1" customWidth="1"/>
    <col min="3" max="3" width="12.5" style="208" customWidth="1"/>
    <col min="4" max="11" width="12.1640625" style="208" customWidth="1"/>
    <col min="12" max="12" width="12.1640625" style="208" hidden="1" customWidth="1"/>
    <col min="13" max="13" width="12.1640625" style="208" customWidth="1"/>
    <col min="14" max="17" width="12.1640625" customWidth="1"/>
    <col min="18" max="19" width="10.6640625" customWidth="1"/>
    <col min="20" max="23" width="12.1640625" customWidth="1"/>
    <col min="1244" max="16384" width="10.83203125" style="208"/>
  </cols>
  <sheetData>
    <row r="1" spans="1:26" customFormat="1" x14ac:dyDescent="0.15">
      <c r="A1" s="239" t="s">
        <v>321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spans="1:26" customFormat="1" x14ac:dyDescent="0.15">
      <c r="A2" s="240" t="s">
        <v>198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</row>
    <row r="3" spans="1:26" customFormat="1" ht="14" thickBot="1" x14ac:dyDescent="0.2">
      <c r="A3" s="239"/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</row>
    <row r="4" spans="1:26" ht="14" x14ac:dyDescent="0.15">
      <c r="A4" s="137" t="s">
        <v>199</v>
      </c>
      <c r="B4" s="138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40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</row>
    <row r="5" spans="1:26" ht="14" x14ac:dyDescent="0.15">
      <c r="A5" s="141" t="s">
        <v>378</v>
      </c>
      <c r="B5" s="67"/>
      <c r="C5" s="155">
        <v>4000</v>
      </c>
      <c r="D5" s="24"/>
      <c r="E5" s="67"/>
      <c r="F5" s="67"/>
      <c r="G5" s="67"/>
      <c r="H5" s="67"/>
      <c r="I5" s="67"/>
      <c r="J5" s="67"/>
      <c r="K5" s="67"/>
      <c r="L5" s="67"/>
      <c r="M5" s="142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</row>
    <row r="6" spans="1:26" ht="14" x14ac:dyDescent="0.15">
      <c r="A6" s="141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142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</row>
    <row r="7" spans="1:26" ht="30" x14ac:dyDescent="0.15">
      <c r="A7" s="224" t="s">
        <v>239</v>
      </c>
      <c r="B7" s="225" t="s">
        <v>200</v>
      </c>
      <c r="C7" s="225" t="s">
        <v>192</v>
      </c>
      <c r="D7" s="225" t="s">
        <v>196</v>
      </c>
      <c r="E7" s="225" t="s">
        <v>201</v>
      </c>
      <c r="F7" s="225" t="s">
        <v>202</v>
      </c>
      <c r="G7" s="225" t="s">
        <v>193</v>
      </c>
      <c r="H7" s="225" t="s">
        <v>194</v>
      </c>
      <c r="I7" s="225" t="s">
        <v>195</v>
      </c>
      <c r="J7" s="225" t="s">
        <v>203</v>
      </c>
      <c r="K7" s="225" t="s">
        <v>51</v>
      </c>
      <c r="L7" s="228" t="s">
        <v>197</v>
      </c>
      <c r="M7" s="227" t="s">
        <v>324</v>
      </c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spans="1:26" ht="25" customHeight="1" x14ac:dyDescent="0.15">
      <c r="A8" s="143" t="str">
        <f>'Tariffs 2021'!F2</f>
        <v>AGL</v>
      </c>
      <c r="B8" s="24" t="str">
        <f>'Tariffs 2021'!D2</f>
        <v>Jemena Coastal Network</v>
      </c>
      <c r="C8" s="144">
        <f>'Tariffs 2021'!E2</f>
        <v>42928</v>
      </c>
      <c r="D8" s="30">
        <f>60*'Tariffs 2021'!H2/100</f>
        <v>39.479999999999997</v>
      </c>
      <c r="E8" s="30">
        <f>IF($C$5&gt;='Tariffs 2021'!J2,('Tariffs 2021'!J2*'Tariffs 2021'!O2/100),($C$5*'Tariffs 2021'!O2/100))</f>
        <v>37.854545454545452</v>
      </c>
      <c r="F8" s="30">
        <f>IF($C$5&lt;'Tariffs 2021'!J2,0,IF(($C$5-'Tariffs 2021'!J2)&lt;='Tariffs 2021'!K2,(($C$5-'Tariffs 2021'!J2)*'Tariffs 2021'!P2/100),(('Tariffs 2021'!K2-'Tariffs 2021'!J2)*'Tariffs 2021'!P2/100)))</f>
        <v>33.054545454545448</v>
      </c>
      <c r="G8" s="30">
        <f>IF($C$5&lt;'Tariffs 2021'!K2,0,IF(($C$5-'Tariffs 2021'!K2)&lt;='Tariffs 2021'!L2,(($C$5-'Tariffs 2021'!K2)*'Tariffs 2021'!Q2/100),(('Tariffs 2021'!L2-'Tariffs 2021'!K2)*'Tariffs 2021'!Q2/100)))</f>
        <v>42.036363636363632</v>
      </c>
      <c r="H8" s="30">
        <f>IF($C$5&lt;'Tariffs 2021'!L2,0,IF(($C$5-'Tariffs 2021'!L2)&lt;='Tariffs 2021'!M2,(($C$5-'Tariffs 2021'!L2)*'Tariffs 2021'!R2/100),(('Tariffs 2021'!M2-'Tariffs 2021'!L2)*'Tariffs 2021'!R2/100)))</f>
        <v>0</v>
      </c>
      <c r="I8" s="30">
        <f>IF($C$5&lt;'Tariffs 2021'!M2,0,IF(($C$5-'Tariffs 2021'!M2)&lt;='Tariffs 2021'!N2,(($C$5-'Tariffs 2021'!M2)*'Tariffs 2021'!S2/100),(('Tariffs 2021'!N2-'Tariffs 2021'!M2)*'Tariffs 2021'!S2/100)))</f>
        <v>0</v>
      </c>
      <c r="J8" s="30">
        <v>0</v>
      </c>
      <c r="K8" s="30">
        <f>SUM(D8:J8)</f>
        <v>152.42545454545453</v>
      </c>
      <c r="L8" s="229">
        <f>K8*6</f>
        <v>914.55272727272722</v>
      </c>
      <c r="M8" s="145">
        <f>L8*1.1</f>
        <v>1006.008</v>
      </c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spans="1:26" ht="25" customHeight="1" x14ac:dyDescent="0.15">
      <c r="A9" s="143" t="str">
        <f>'Tariffs 2021'!F3</f>
        <v>Covau</v>
      </c>
      <c r="B9" s="24" t="str">
        <f>'Tariffs 2021'!D3</f>
        <v>Jemena Coastal Network</v>
      </c>
      <c r="C9" s="144">
        <f>'Tariffs 2021'!E3</f>
        <v>42916</v>
      </c>
      <c r="D9" s="30">
        <f>60*'Tariffs 2021'!H3/100</f>
        <v>26.999999999999996</v>
      </c>
      <c r="E9" s="30">
        <f>IF($C$5&gt;='Tariffs 2021'!J3,('Tariffs 2021'!J3*'Tariffs 2021'!O3/100),($C$5*'Tariffs 2021'!O3/100))</f>
        <v>45.599999999999994</v>
      </c>
      <c r="F9" s="30">
        <f>IF($C$5&lt;'Tariffs 2021'!J3,0,IF(($C$5-'Tariffs 2021'!J3)&lt;='Tariffs 2021'!K3,(($C$5-'Tariffs 2021'!J3)*'Tariffs 2021'!P3/100),(('Tariffs 2021'!K3-'Tariffs 2021'!J3)*'Tariffs 2021'!P3/100)))</f>
        <v>33.709090909090904</v>
      </c>
      <c r="G9" s="30">
        <f>IF($C$5&lt;'Tariffs 2021'!K3,0,IF(($C$5-'Tariffs 2021'!K3)&lt;='Tariffs 2021'!L3,(($C$5-'Tariffs 2021'!K3)*'Tariffs 2021'!Q3/100),(('Tariffs 2021'!L3-'Tariffs 2021'!K3)*'Tariffs 2021'!Q3/100)))</f>
        <v>42.909090909090907</v>
      </c>
      <c r="H9" s="30">
        <f>IF($C$5&lt;'Tariffs 2021'!L3,0,IF(($C$5-'Tariffs 2021'!L3)&lt;='Tariffs 2021'!M3,(($C$5-'Tariffs 2021'!L3)*'Tariffs 2021'!R3/100),(('Tariffs 2021'!M3-'Tariffs 2021'!L3)*'Tariffs 2021'!R3/100)))</f>
        <v>0</v>
      </c>
      <c r="I9" s="30">
        <f>IF($C$5&lt;'Tariffs 2021'!M3,0,IF(($C$5-'Tariffs 2021'!M3)&lt;='Tariffs 2021'!N3,(($C$5-'Tariffs 2021'!M3)*'Tariffs 2021'!S3/100),(('Tariffs 2021'!N3-'Tariffs 2021'!M3)*'Tariffs 2021'!S3/100)))</f>
        <v>0</v>
      </c>
      <c r="J9" s="30">
        <f>IF(($C$5&lt;'Tariffs 2021'!N3),(0),($C$5-'Tariffs 2021'!N3)*'Tariffs 2021'!T3/100)</f>
        <v>0</v>
      </c>
      <c r="K9" s="30">
        <f t="shared" ref="K9:K24" si="0">SUM(D9:J9)</f>
        <v>149.21818181818179</v>
      </c>
      <c r="L9" s="229">
        <f t="shared" ref="L9:L24" si="1">K9*6</f>
        <v>895.30909090909074</v>
      </c>
      <c r="M9" s="145">
        <f t="shared" ref="M9:M43" si="2">L9*1.1</f>
        <v>984.83999999999992</v>
      </c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spans="1:26" ht="25" customHeight="1" x14ac:dyDescent="0.15">
      <c r="A10" s="143" t="str">
        <f>'Tariffs 2021'!F4</f>
        <v>Alinta Energy</v>
      </c>
      <c r="B10" s="24" t="str">
        <f>'Tariffs 2021'!D4</f>
        <v>Jemena Coastal Network</v>
      </c>
      <c r="C10" s="144">
        <f>'Tariffs 2021'!E4</f>
        <v>42735</v>
      </c>
      <c r="D10" s="30">
        <f>60*'Tariffs 2021'!H4/100</f>
        <v>35.46</v>
      </c>
      <c r="E10" s="30">
        <f>IF($C$5&gt;='Tariffs 2021'!J4,('Tariffs 2021'!J4*'Tariffs 2021'!O4/100),($C$5*'Tariffs 2021'!O4/100))</f>
        <v>47.018181818181809</v>
      </c>
      <c r="F10" s="30">
        <f>IF($C$5&lt;'Tariffs 2021'!J4,0,IF(($C$5-'Tariffs 2021'!J4)&lt;='Tariffs 2021'!K4,(($C$5-'Tariffs 2021'!J4)*'Tariffs 2021'!P4/100),(('Tariffs 2021'!K4-'Tariffs 2021'!J4)*'Tariffs 2021'!P4/100)))</f>
        <v>31.09090909090909</v>
      </c>
      <c r="G10" s="30">
        <f>IF($C$5&lt;'Tariffs 2021'!K4,0,IF(($C$5-'Tariffs 2021'!K4)&lt;='Tariffs 2021'!L4,(($C$5-'Tariffs 2021'!K4)*'Tariffs 2021'!Q4/100),(('Tariffs 2021'!L4-'Tariffs 2021'!K4)*'Tariffs 2021'!Q4/100)))</f>
        <v>38.836363636363629</v>
      </c>
      <c r="H10" s="30">
        <v>0</v>
      </c>
      <c r="I10" s="30">
        <v>0</v>
      </c>
      <c r="J10" s="30">
        <f>IF(($C$5&lt;'Tariffs 2021'!N4),(0),($C$5-'Tariffs 2021'!N4)*'Tariffs 2021'!R4/100)</f>
        <v>0</v>
      </c>
      <c r="K10" s="30">
        <f t="shared" si="0"/>
        <v>152.40545454545452</v>
      </c>
      <c r="L10" s="229">
        <f t="shared" si="1"/>
        <v>914.43272727272711</v>
      </c>
      <c r="M10" s="145">
        <f t="shared" si="2"/>
        <v>1005.8759999999999</v>
      </c>
      <c r="N10" s="239"/>
      <c r="O10" s="239"/>
      <c r="P10" s="239"/>
      <c r="Q10" s="239"/>
      <c r="R10" s="239"/>
      <c r="S10" s="239"/>
      <c r="T10" s="239"/>
      <c r="U10" s="239"/>
      <c r="V10" s="239"/>
      <c r="W10" s="239"/>
      <c r="X10" s="239"/>
      <c r="Y10" s="239"/>
      <c r="Z10" s="239"/>
    </row>
    <row r="11" spans="1:26" ht="25" customHeight="1" x14ac:dyDescent="0.15">
      <c r="A11" s="143" t="str">
        <f>'Tariffs 2021'!F5</f>
        <v>EnergyAustralia</v>
      </c>
      <c r="B11" s="24" t="str">
        <f>'Tariffs 2021'!D5</f>
        <v>Jemena Coastal Network</v>
      </c>
      <c r="C11" s="144">
        <f>'Tariffs 2021'!E5</f>
        <v>42986</v>
      </c>
      <c r="D11" s="30">
        <f>60*'Tariffs 2021'!H5/100</f>
        <v>36.239999999999995</v>
      </c>
      <c r="E11" s="30">
        <f>IF($C$5&gt;='Tariffs 2021'!J5,('Tariffs 2021'!J5*'Tariffs 2021'!O5/100),($C$5*'Tariffs 2021'!O5/100))</f>
        <v>45.381818181818183</v>
      </c>
      <c r="F11" s="30">
        <f>IF($C$5&lt;'Tariffs 2021'!J5,0,IF(($C$5-'Tariffs 2021'!J5)&lt;='Tariffs 2021'!K5,(($C$5-'Tariffs 2021'!J5)*'Tariffs 2021'!P5/100),(('Tariffs 2021'!K5-'Tariffs 2021'!J5)*'Tariffs 2021'!P5/100)))</f>
        <v>31.636363636363637</v>
      </c>
      <c r="G11" s="30">
        <f>IF($C$5&lt;'Tariffs 2021'!K5,0,IF(($C$5-'Tariffs 2021'!K5)&lt;='Tariffs 2021'!L5,(($C$5-'Tariffs 2021'!K5)*'Tariffs 2021'!Q5/100),(('Tariffs 2021'!L5-'Tariffs 2021'!K5)*'Tariffs 2021'!Q5/100)))</f>
        <v>40.290909090909089</v>
      </c>
      <c r="H11" s="30">
        <v>0</v>
      </c>
      <c r="I11" s="30">
        <v>0</v>
      </c>
      <c r="J11" s="30">
        <f>IF(($C$5&lt;'Tariffs 2021'!N5),(0),($C$5-'Tariffs 2021'!N5)*'Tariffs 2021'!R5/100)</f>
        <v>0</v>
      </c>
      <c r="K11" s="30">
        <f t="shared" si="0"/>
        <v>153.54909090909092</v>
      </c>
      <c r="L11" s="229">
        <f t="shared" si="1"/>
        <v>921.29454545454553</v>
      </c>
      <c r="M11" s="145">
        <f t="shared" si="2"/>
        <v>1013.4240000000002</v>
      </c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</row>
    <row r="12" spans="1:26" ht="25" customHeight="1" x14ac:dyDescent="0.15">
      <c r="A12" s="143" t="str">
        <f>'Tariffs 2021'!F6</f>
        <v>Origin Energy</v>
      </c>
      <c r="B12" s="24" t="str">
        <f>'Tariffs 2021'!D6</f>
        <v>Jemena Coastal Network</v>
      </c>
      <c r="C12" s="144">
        <f>'Tariffs 2021'!E6</f>
        <v>42916</v>
      </c>
      <c r="D12" s="30">
        <f>60*'Tariffs 2021'!H6/100</f>
        <v>37.227272727272727</v>
      </c>
      <c r="E12" s="30">
        <f>IF($C$5&gt;='Tariffs 2021'!J6,('Tariffs 2021'!J6*'Tariffs 2021'!O6/100),($C$5*'Tariffs 2021'!O6/100))</f>
        <v>45.054545454545448</v>
      </c>
      <c r="F12" s="30">
        <f>IF($C$5&lt;'Tariffs 2021'!J6,0,IF(($C$5-'Tariffs 2021'!J6)&lt;='Tariffs 2021'!K6,(($C$5-'Tariffs 2021'!J6)*'Tariffs 2021'!P6/100),(('Tariffs 2021'!K6-'Tariffs 2021'!J6)*'Tariffs 2021'!P6/100)))</f>
        <v>69.236363636363635</v>
      </c>
      <c r="G12" s="30">
        <f>IF($C$5&lt;'Tariffs 2021'!K6,0,IF(($C$5-'Tariffs 2021'!K6)&lt;='Tariffs 2021'!L6,(($C$5-'Tariffs 2021'!K6)*'Tariffs 2021'!Q6/100),(('Tariffs 2021'!L6-'Tariffs 2021'!K6)*'Tariffs 2021'!Q6/100)))</f>
        <v>0</v>
      </c>
      <c r="H12" s="30">
        <v>0</v>
      </c>
      <c r="I12" s="30">
        <v>0</v>
      </c>
      <c r="J12" s="30">
        <f>IF(($C$5&lt;'Tariffs 2021'!N6),(0),($C$5-'Tariffs 2021'!N6)*'Tariffs 2021'!R6/100)</f>
        <v>0</v>
      </c>
      <c r="K12" s="30">
        <f t="shared" si="0"/>
        <v>151.5181818181818</v>
      </c>
      <c r="L12" s="229">
        <f t="shared" si="1"/>
        <v>909.10909090909081</v>
      </c>
      <c r="M12" s="145">
        <f t="shared" si="2"/>
        <v>1000.02</v>
      </c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</row>
    <row r="13" spans="1:26" ht="25" customHeight="1" x14ac:dyDescent="0.15">
      <c r="A13" s="143" t="str">
        <f>'Tariffs 2021'!F7</f>
        <v>Red Energy</v>
      </c>
      <c r="B13" s="24" t="str">
        <f>'Tariffs 2021'!D7</f>
        <v>Jemena Coastal Network</v>
      </c>
      <c r="C13" s="144">
        <f>'Tariffs 2021'!E7</f>
        <v>42916</v>
      </c>
      <c r="D13" s="30">
        <f>60*'Tariffs 2021'!H7/100</f>
        <v>35.999999999999993</v>
      </c>
      <c r="E13" s="30">
        <f>IF($C$5&gt;='Tariffs 2021'!J7,('Tariffs 2021'!J7*'Tariffs 2021'!O7/100),($C$5*'Tariffs 2021'!O7/100))</f>
        <v>46.8</v>
      </c>
      <c r="F13" s="30">
        <f>IF($C$5&lt;'Tariffs 2021'!J7,0,IF(($C$5-'Tariffs 2021'!J7)&lt;='Tariffs 2021'!K7,(($C$5-'Tariffs 2021'!J7)*'Tariffs 2021'!P7/100),(('Tariffs 2021'!K7-'Tariffs 2021'!J7)*'Tariffs 2021'!P7/100)))</f>
        <v>31.963636363636365</v>
      </c>
      <c r="G13" s="30">
        <f>IF($C$5&lt;'Tariffs 2021'!K7,0,IF(($C$5-'Tariffs 2021'!K7)&lt;='Tariffs 2021'!L7,(($C$5-'Tariffs 2021'!K7)*'Tariffs 2021'!Q7/100),(('Tariffs 2021'!L7-'Tariffs 2021'!K7)*'Tariffs 2021'!Q7/100)))</f>
        <v>40.43636363636363</v>
      </c>
      <c r="H13" s="30">
        <v>0</v>
      </c>
      <c r="I13" s="30">
        <v>0</v>
      </c>
      <c r="J13" s="30">
        <f>IF(($C$5&lt;'Tariffs 2021'!N7),(0),($C$5-'Tariffs 2021'!N7)*'Tariffs 2021'!R7/100)</f>
        <v>0</v>
      </c>
      <c r="K13" s="30">
        <f t="shared" si="0"/>
        <v>155.19999999999999</v>
      </c>
      <c r="L13" s="229">
        <f t="shared" si="1"/>
        <v>931.19999999999993</v>
      </c>
      <c r="M13" s="145">
        <f t="shared" si="2"/>
        <v>1024.32</v>
      </c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</row>
    <row r="14" spans="1:26" ht="25" customHeight="1" x14ac:dyDescent="0.15">
      <c r="A14" s="143" t="str">
        <f>'Tariffs 2021'!F8</f>
        <v>Simply Energy</v>
      </c>
      <c r="B14" s="24" t="str">
        <f>'Tariffs 2021'!D8</f>
        <v>Jemena Coastal Network</v>
      </c>
      <c r="C14" s="144">
        <f>'Tariffs 2021'!E8</f>
        <v>42916</v>
      </c>
      <c r="D14" s="30">
        <f>60*'Tariffs 2021'!H8/100</f>
        <v>31.799999999999997</v>
      </c>
      <c r="E14" s="30">
        <f>IF($C$5&gt;='Tariffs 2021'!J8,('Tariffs 2021'!J8*'Tariffs 2021'!O8/100),($C$5*'Tariffs 2021'!O8/100))</f>
        <v>40.909090909090907</v>
      </c>
      <c r="F14" s="30">
        <f>IF($C$5&lt;'Tariffs 2021'!J8,0,IF(($C$5-'Tariffs 2021'!J8)&lt;='Tariffs 2021'!K8,(($C$5-'Tariffs 2021'!J8)*'Tariffs 2021'!P8/100),(('Tariffs 2021'!K8-'Tariffs 2021'!J8)*'Tariffs 2021'!P8/100)))</f>
        <v>27.27272727272727</v>
      </c>
      <c r="G14" s="30">
        <f>IF($C$5&lt;'Tariffs 2021'!K8,0,IF(($C$5-'Tariffs 2021'!K8)&lt;='Tariffs 2021'!L8,(($C$5-'Tariffs 2021'!K8)*'Tariffs 2021'!Q8/100),(('Tariffs 2021'!L8-'Tariffs 2021'!K8)*'Tariffs 2021'!Q8/100)))</f>
        <v>33.6</v>
      </c>
      <c r="H14" s="30">
        <v>0</v>
      </c>
      <c r="I14" s="30">
        <v>0</v>
      </c>
      <c r="J14" s="30">
        <f>IF(($C$5&lt;'Tariffs 2021'!N8),(0),($C$5-'Tariffs 2021'!N8)*'Tariffs 2021'!R8/100)</f>
        <v>0</v>
      </c>
      <c r="K14" s="30">
        <f t="shared" si="0"/>
        <v>133.58181818181816</v>
      </c>
      <c r="L14" s="229">
        <f t="shared" si="1"/>
        <v>801.49090909090899</v>
      </c>
      <c r="M14" s="145">
        <f t="shared" si="2"/>
        <v>881.64</v>
      </c>
      <c r="N14" s="239"/>
      <c r="O14" s="239"/>
      <c r="P14" s="239"/>
      <c r="Q14" s="239"/>
      <c r="R14" s="239"/>
      <c r="S14" s="239"/>
      <c r="T14" s="239"/>
      <c r="U14" s="239"/>
      <c r="V14" s="239"/>
      <c r="W14" s="239"/>
      <c r="X14" s="239"/>
      <c r="Y14" s="239"/>
      <c r="Z14" s="239"/>
    </row>
    <row r="15" spans="1:26" ht="25" customHeight="1" x14ac:dyDescent="0.15">
      <c r="A15" s="143" t="str">
        <f>'Tariffs 2021'!F9</f>
        <v>Discover Energy</v>
      </c>
      <c r="B15" s="24" t="str">
        <f>'Tariffs 2021'!D9</f>
        <v>Jemena Coastal Network</v>
      </c>
      <c r="C15" s="144">
        <f>'Tariffs 2021'!E9</f>
        <v>42916</v>
      </c>
      <c r="D15" s="30">
        <f>60*'Tariffs 2021'!H9/100</f>
        <v>32.672727272727265</v>
      </c>
      <c r="E15" s="30">
        <f>IF($C$5&gt;='Tariffs 2021'!J9,('Tariffs 2021'!J9*'Tariffs 2021'!O9/100),($C$5*'Tariffs 2021'!O9/100))</f>
        <v>47.236363636363627</v>
      </c>
      <c r="F15" s="30">
        <f>IF($C$5&lt;'Tariffs 2021'!J9,0,IF(($C$5-'Tariffs 2021'!J9)&lt;='Tariffs 2021'!K9,(($C$5-'Tariffs 2021'!J9)*'Tariffs 2021'!P9/100),(('Tariffs 2021'!K9-'Tariffs 2021'!J9)*'Tariffs 2021'!P9/100)))</f>
        <v>32.618181818181817</v>
      </c>
      <c r="G15" s="30">
        <f>IF($C$5&lt;'Tariffs 2021'!K9,0,IF(($C$5-'Tariffs 2021'!K9)&lt;='Tariffs 2021'!L9,(($C$5-'Tariffs 2021'!K9)*'Tariffs 2021'!Q9/100),(('Tariffs 2021'!L9-'Tariffs 2021'!K9)*'Tariffs 2021'!Q9/100)))</f>
        <v>40.872727272727268</v>
      </c>
      <c r="H15" s="30">
        <v>0</v>
      </c>
      <c r="I15" s="30">
        <v>0</v>
      </c>
      <c r="J15" s="30">
        <f>IF(($C$5&lt;'Tariffs 2021'!N9),(0),($C$5-'Tariffs 2021'!N9)*'Tariffs 2021'!R9/100)</f>
        <v>0</v>
      </c>
      <c r="K15" s="30">
        <f t="shared" si="0"/>
        <v>153.39999999999998</v>
      </c>
      <c r="L15" s="229">
        <f t="shared" si="1"/>
        <v>920.39999999999986</v>
      </c>
      <c r="M15" s="145">
        <f t="shared" si="2"/>
        <v>1012.4399999999999</v>
      </c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</row>
    <row r="16" spans="1:26" ht="25" customHeight="1" x14ac:dyDescent="0.15">
      <c r="A16" s="143" t="str">
        <f>'Tariffs 2021'!F10</f>
        <v>Dodo Power &amp; Gas</v>
      </c>
      <c r="B16" s="24" t="str">
        <f>'Tariffs 2021'!D10</f>
        <v>Jemena Coastal Network</v>
      </c>
      <c r="C16" s="144">
        <f>'Tariffs 2021'!E10</f>
        <v>42916</v>
      </c>
      <c r="D16" s="30">
        <f>60*'Tariffs 2021'!H10/100</f>
        <v>37.952727272727273</v>
      </c>
      <c r="E16" s="30">
        <f>IF($C$5&gt;='Tariffs 2021'!J10,('Tariffs 2021'!J10*'Tariffs 2021'!O10/100),($C$5*'Tariffs 2021'!O10/100))</f>
        <v>58.036363636363632</v>
      </c>
      <c r="F16" s="30">
        <f>IF($C$5&lt;'Tariffs 2021'!J10,0,IF(($C$5-'Tariffs 2021'!J10)&lt;='Tariffs 2021'!K10,(($C$5-'Tariffs 2021'!J10)*'Tariffs 2021'!P10/100),(('Tariffs 2021'!K10-'Tariffs 2021'!J10)*'Tariffs 2021'!P10/100)))</f>
        <v>35.672727272727272</v>
      </c>
      <c r="G16" s="30">
        <f>IF($C$5&lt;'Tariffs 2021'!K10,0,IF(($C$5-'Tariffs 2021'!K10)&lt;='Tariffs 2021'!L10,(($C$5-'Tariffs 2021'!K10)*'Tariffs 2021'!Q10/100),(('Tariffs 2021'!L10-'Tariffs 2021'!K10)*'Tariffs 2021'!Q10/100)))</f>
        <v>46.690909090909088</v>
      </c>
      <c r="H16" s="30">
        <v>0</v>
      </c>
      <c r="I16" s="30">
        <v>0</v>
      </c>
      <c r="J16" s="30">
        <f>IF(($C$5&lt;'Tariffs 2021'!N10),(0),($C$5-'Tariffs 2021'!N10)*'Tariffs 2021'!R10/100)</f>
        <v>0</v>
      </c>
      <c r="K16" s="30">
        <f t="shared" si="0"/>
        <v>178.35272727272726</v>
      </c>
      <c r="L16" s="229">
        <f t="shared" si="1"/>
        <v>1070.1163636363635</v>
      </c>
      <c r="M16" s="145">
        <f t="shared" si="2"/>
        <v>1177.1279999999999</v>
      </c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</row>
    <row r="17" spans="1:26" ht="25" customHeight="1" x14ac:dyDescent="0.15">
      <c r="A17" s="143" t="str">
        <f>'Tariffs 2021'!F11</f>
        <v>Sumo Power</v>
      </c>
      <c r="B17" s="24" t="str">
        <f>'Tariffs 2021'!D11</f>
        <v>Jemena Coastal Network</v>
      </c>
      <c r="C17" s="144">
        <f>'Tariffs 2021'!E11</f>
        <v>42833</v>
      </c>
      <c r="D17" s="30">
        <f>60*'Tariffs 2021'!H11/100</f>
        <v>43.636363636363633</v>
      </c>
      <c r="E17" s="30">
        <f>IF($C$5&gt;='Tariffs 2021'!J11,('Tariffs 2021'!J11*'Tariffs 2021'!O11/100),($C$5*'Tariffs 2021'!O11/100))</f>
        <v>43.636363636363633</v>
      </c>
      <c r="F17" s="30">
        <f>IF($C$5&lt;'Tariffs 2021'!J11,0,IF(($C$5-'Tariffs 2021'!J11)&lt;='Tariffs 2021'!K11,(($C$5-'Tariffs 2021'!J11)*'Tariffs 2021'!P11/100),(('Tariffs 2021'!K11-'Tariffs 2021'!J11)*'Tariffs 2021'!P11/100)))</f>
        <v>30.54545454545454</v>
      </c>
      <c r="G17" s="30">
        <f>IF($C$5&lt;'Tariffs 2021'!K11,0,IF(($C$5-'Tariffs 2021'!K11)&lt;='Tariffs 2021'!L11,(($C$5-'Tariffs 2021'!K11)*'Tariffs 2021'!Q11/100),(('Tariffs 2021'!L11-'Tariffs 2021'!K11)*'Tariffs 2021'!Q11/100)))</f>
        <v>37.818181818181813</v>
      </c>
      <c r="H17" s="30">
        <v>0</v>
      </c>
      <c r="I17" s="30">
        <v>0</v>
      </c>
      <c r="J17" s="30">
        <f>IF(($C$5&lt;'Tariffs 2021'!N11),(0),($C$5-'Tariffs 2021'!N11)*'Tariffs 2021'!R11/100)</f>
        <v>0</v>
      </c>
      <c r="K17" s="30">
        <f t="shared" si="0"/>
        <v>155.63636363636363</v>
      </c>
      <c r="L17" s="229">
        <f t="shared" si="1"/>
        <v>933.81818181818176</v>
      </c>
      <c r="M17" s="145">
        <f t="shared" si="2"/>
        <v>1027.2</v>
      </c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</row>
    <row r="18" spans="1:26" ht="25" customHeight="1" thickBot="1" x14ac:dyDescent="0.2">
      <c r="A18" s="176" t="str">
        <f>'Tariffs 2021'!F12</f>
        <v>GloBird</v>
      </c>
      <c r="B18" s="177" t="str">
        <f>'Tariffs 2021'!D12</f>
        <v>Jemena Coastal Network</v>
      </c>
      <c r="C18" s="178">
        <f>'Tariffs 2021'!E12</f>
        <v>42916</v>
      </c>
      <c r="D18" s="179">
        <f>60*'Tariffs 2021'!H12/100</f>
        <v>45</v>
      </c>
      <c r="E18" s="179">
        <f>IF($C$5&gt;='Tariffs 2021'!J12,('Tariffs 2021'!J12*'Tariffs 2021'!O12/100),($C$5*'Tariffs 2021'!O12/100))</f>
        <v>160</v>
      </c>
      <c r="F18" s="179">
        <f>IF($C$5&lt;'Tariffs 2021'!J12,0,IF(($C$5-'Tariffs 2021'!J12)&lt;='Tariffs 2021'!K12,(($C$5-'Tariffs 2021'!J12)*'Tariffs 2021'!P12/100),(('Tariffs 2021'!K12-'Tariffs 2021'!J12)*'Tariffs 2021'!P12/100)))</f>
        <v>0</v>
      </c>
      <c r="G18" s="179">
        <f>IF($C$5&lt;'Tariffs 2021'!K12,0,IF(($C$5-'Tariffs 2021'!K12)&lt;='Tariffs 2021'!L12,(($C$5-'Tariffs 2021'!K12)*'Tariffs 2021'!Q12/100),(('Tariffs 2021'!L12-'Tariffs 2021'!K12)*'Tariffs 2021'!Q12/100)))</f>
        <v>0</v>
      </c>
      <c r="H18" s="179">
        <v>0</v>
      </c>
      <c r="I18" s="179">
        <v>0</v>
      </c>
      <c r="J18" s="179">
        <f>IF(($C$5&lt;'Tariffs 2021'!N12),(0),($C$5-'Tariffs 2021'!N12)*'Tariffs 2021'!R12/100)</f>
        <v>0</v>
      </c>
      <c r="K18" s="179">
        <f t="shared" si="0"/>
        <v>205</v>
      </c>
      <c r="L18" s="230">
        <f t="shared" si="1"/>
        <v>1230</v>
      </c>
      <c r="M18" s="181">
        <f t="shared" si="2"/>
        <v>1353</v>
      </c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</row>
    <row r="19" spans="1:26" ht="25" customHeight="1" thickTop="1" x14ac:dyDescent="0.15">
      <c r="A19" s="143" t="str">
        <f>'Tariffs 2021'!F13</f>
        <v>ActewAGL</v>
      </c>
      <c r="B19" s="24" t="str">
        <f>'Tariffs 2021'!D13</f>
        <v>Jemena Capital Region</v>
      </c>
      <c r="C19" s="144">
        <f>'Tariffs 2021'!E13</f>
        <v>42916</v>
      </c>
      <c r="D19" s="30">
        <f>60*'Tariffs 2021'!H13/100</f>
        <v>35.252727272727263</v>
      </c>
      <c r="E19" s="30">
        <f>IF($C$5&gt;='Tariffs 2021'!J13,('Tariffs 2021'!J13*'Tariffs 2021'!O13/100),($C$5*'Tariffs 2021'!O13/100))</f>
        <v>46.690909090909088</v>
      </c>
      <c r="F19" s="30">
        <f>IF($C$5&lt;'Tariffs 2021'!J13,0,IF(($C$5-'Tariffs 2021'!J13)&lt;='Tariffs 2021'!K13,(($C$5-'Tariffs 2021'!J13)*'Tariffs 2021'!P13/100),(('Tariffs 2021'!K13-'Tariffs 2021'!J13)*'Tariffs 2021'!P13/100)))</f>
        <v>30.981818181818181</v>
      </c>
      <c r="G19" s="30">
        <f>IF($C$5&lt;'Tariffs 2021'!K13,0,IF(($C$5-'Tariffs 2021'!K13)&lt;='Tariffs 2021'!L13,(($C$5-'Tariffs 2021'!K13)*'Tariffs 2021'!Q13/100),(('Tariffs 2021'!L13-'Tariffs 2021'!K13)*'Tariffs 2021'!Q13/100)))</f>
        <v>40.872727272727268</v>
      </c>
      <c r="H19" s="30">
        <v>0</v>
      </c>
      <c r="I19" s="30">
        <v>0</v>
      </c>
      <c r="J19" s="30">
        <f>IF(($C$5&lt;'Tariffs 2021'!N13),(0),($C$5-'Tariffs 2021'!N13)*'Tariffs 2021'!R13/100)</f>
        <v>0</v>
      </c>
      <c r="K19" s="30">
        <f t="shared" si="0"/>
        <v>153.7981818181818</v>
      </c>
      <c r="L19" s="229">
        <f t="shared" si="1"/>
        <v>922.78909090909087</v>
      </c>
      <c r="M19" s="145">
        <f t="shared" si="2"/>
        <v>1015.0680000000001</v>
      </c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</row>
    <row r="20" spans="1:26" ht="25" customHeight="1" thickBot="1" x14ac:dyDescent="0.2">
      <c r="A20" s="176" t="str">
        <f>'Tariffs 2021'!F14</f>
        <v>EnergyAustralia</v>
      </c>
      <c r="B20" s="177" t="str">
        <f>'Tariffs 2021'!D14</f>
        <v>Jemena Capital Region</v>
      </c>
      <c r="C20" s="178">
        <f>'Tariffs 2021'!E14</f>
        <v>42986</v>
      </c>
      <c r="D20" s="179">
        <f>60*'Tariffs 2021'!H14/100</f>
        <v>42</v>
      </c>
      <c r="E20" s="179">
        <f>IF($C$5&gt;='Tariffs 2021'!J14,('Tariffs 2021'!J14*'Tariffs 2021'!O14/100),($C$5*'Tariffs 2021'!O14/100))</f>
        <v>86.1</v>
      </c>
      <c r="F20" s="179">
        <f>IF($C$5&lt;'Tariffs 2021'!J14,0,IF(($C$5-'Tariffs 2021'!J14)&lt;='Tariffs 2021'!K14,(($C$5-'Tariffs 2021'!J14)*'Tariffs 2021'!P14/100),(('Tariffs 2021'!K14-'Tariffs 2021'!J14)*'Tariffs 2021'!P14/100)))</f>
        <v>46.9</v>
      </c>
      <c r="G20" s="179">
        <f>IF($C$5&lt;'Tariffs 2021'!K14,0,IF(($C$5-'Tariffs 2021'!K14)&lt;='Tariffs 2021'!L14,(($C$5-'Tariffs 2021'!K14)*'Tariffs 2021'!Q14/100),(('Tariffs 2021'!L14-'Tariffs 2021'!K14)*'Tariffs 2021'!Q14/100)))</f>
        <v>0</v>
      </c>
      <c r="H20" s="179">
        <v>0</v>
      </c>
      <c r="I20" s="179">
        <v>0</v>
      </c>
      <c r="J20" s="179">
        <f>IF(($C$5&lt;'Tariffs 2021'!N14),(0),($C$5-'Tariffs 2021'!N14)*'Tariffs 2021'!R14/100)</f>
        <v>0</v>
      </c>
      <c r="K20" s="179">
        <f t="shared" si="0"/>
        <v>175</v>
      </c>
      <c r="L20" s="230">
        <f t="shared" si="1"/>
        <v>1050</v>
      </c>
      <c r="M20" s="181">
        <f t="shared" si="2"/>
        <v>1155</v>
      </c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</row>
    <row r="21" spans="1:26" ht="25" customHeight="1" thickTop="1" x14ac:dyDescent="0.15">
      <c r="A21" s="143" t="str">
        <f>'Tariffs 2021'!F15</f>
        <v>ActewAGL</v>
      </c>
      <c r="B21" s="24" t="str">
        <f>'Tariffs 2021'!D15</f>
        <v xml:space="preserve">Evoenergy Queanbeyan </v>
      </c>
      <c r="C21" s="144">
        <f>'Tariffs 2021'!E15</f>
        <v>42916</v>
      </c>
      <c r="D21" s="30">
        <f>60*'Tariffs 2021'!H15/100</f>
        <v>45.599999999999994</v>
      </c>
      <c r="E21" s="30">
        <f>IF($C$5&gt;='Tariffs 2021'!J15,('Tariffs 2021'!J15*'Tariffs 2021'!O15/100),($C$5*'Tariffs 2021'!O15/100))</f>
        <v>78.272727272727266</v>
      </c>
      <c r="F21" s="30">
        <f>IF($C$5&lt;'Tariffs 2021'!J15,0,IF(($C$5-'Tariffs 2021'!J15)&lt;='Tariffs 2021'!K15,(($C$5-'Tariffs 2021'!J15)*'Tariffs 2021'!P15/100),(('Tariffs 2021'!K15-'Tariffs 2021'!J15)*'Tariffs 2021'!P15/100)))</f>
        <v>40.459999999999994</v>
      </c>
      <c r="G21" s="30">
        <f>IF($C$5&lt;'Tariffs 2021'!K15,0,IF(($C$5-'Tariffs 2021'!K15)&lt;='Tariffs 2021'!L15,(($C$5-'Tariffs 2021'!K15)*'Tariffs 2021'!Q15/100),(('Tariffs 2021'!L15-'Tariffs 2021'!K15)*'Tariffs 2021'!Q15/100)))</f>
        <v>0</v>
      </c>
      <c r="H21" s="30">
        <v>0</v>
      </c>
      <c r="I21" s="30">
        <v>0</v>
      </c>
      <c r="J21" s="30">
        <f>IF(($C$5&lt;'Tariffs 2021'!N15),(0),($C$5-'Tariffs 2021'!N15)*'Tariffs 2021'!R15/100)</f>
        <v>0</v>
      </c>
      <c r="K21" s="30">
        <f t="shared" si="0"/>
        <v>164.33272727272725</v>
      </c>
      <c r="L21" s="229">
        <f t="shared" si="1"/>
        <v>985.99636363636353</v>
      </c>
      <c r="M21" s="145">
        <f t="shared" si="2"/>
        <v>1084.596</v>
      </c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spans="1:26" ht="25" customHeight="1" thickBot="1" x14ac:dyDescent="0.2">
      <c r="A22" s="176" t="str">
        <f>'Tariffs 2021'!F16</f>
        <v>EnergyAustralia</v>
      </c>
      <c r="B22" s="177" t="str">
        <f>'Tariffs 2021'!D16</f>
        <v xml:space="preserve">Evoenergy Queanbeyan </v>
      </c>
      <c r="C22" s="178">
        <f>'Tariffs 2021'!E16</f>
        <v>42986</v>
      </c>
      <c r="D22" s="179">
        <f>60*'Tariffs 2021'!H16/100</f>
        <v>43.919999999999987</v>
      </c>
      <c r="E22" s="179">
        <f>IF($C$5&gt;='Tariffs 2021'!J16,('Tariffs 2021'!J16*'Tariffs 2021'!O16/100),($C$5*'Tariffs 2021'!O16/100))</f>
        <v>74.694545454545448</v>
      </c>
      <c r="F22" s="179">
        <f>IF($C$5&lt;'Tariffs 2021'!J16,0,IF(($C$5-'Tariffs 2021'!J16)&lt;='Tariffs 2021'!K16,(($C$5-'Tariffs 2021'!J16)*'Tariffs 2021'!P16/100),(('Tariffs 2021'!K16-'Tariffs 2021'!J16)*'Tariffs 2021'!P16/100)))</f>
        <v>42.559999999999988</v>
      </c>
      <c r="G22" s="179">
        <f>IF($C$5&lt;'Tariffs 2021'!K16,0,IF(($C$5-'Tariffs 2021'!K16)&lt;='Tariffs 2021'!L16,(($C$5-'Tariffs 2021'!K16)*'Tariffs 2021'!Q16/100),(('Tariffs 2021'!L16-'Tariffs 2021'!K16)*'Tariffs 2021'!Q16/100)))</f>
        <v>0</v>
      </c>
      <c r="H22" s="179">
        <v>0</v>
      </c>
      <c r="I22" s="179">
        <v>0</v>
      </c>
      <c r="J22" s="179">
        <f>IF(($C$5&lt;'Tariffs 2021'!N16),(0),($C$5-'Tariffs 2021'!N16)*'Tariffs 2021'!R16/100)</f>
        <v>0</v>
      </c>
      <c r="K22" s="179">
        <f t="shared" si="0"/>
        <v>161.17454545454541</v>
      </c>
      <c r="L22" s="230">
        <f t="shared" si="1"/>
        <v>967.04727272727246</v>
      </c>
      <c r="M22" s="181">
        <f t="shared" si="2"/>
        <v>1063.7519999999997</v>
      </c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</row>
    <row r="23" spans="1:26" ht="25" customHeight="1" thickTop="1" thickBot="1" x14ac:dyDescent="0.2">
      <c r="A23" s="182" t="str">
        <f>'Tariffs 2021'!F17</f>
        <v>ActewAGL</v>
      </c>
      <c r="B23" s="183" t="str">
        <f>'Tariffs 2021'!D17</f>
        <v>Evoenergy Shoalhaven</v>
      </c>
      <c r="C23" s="184">
        <f>'Tariffs 2021'!E17</f>
        <v>42916</v>
      </c>
      <c r="D23" s="185">
        <f>60*'Tariffs 2021'!H17/100</f>
        <v>53.58</v>
      </c>
      <c r="E23" s="185">
        <f>C5*'Tariffs 2021'!O17/100</f>
        <v>117.09090909090908</v>
      </c>
      <c r="F23" s="185">
        <v>0</v>
      </c>
      <c r="G23" s="185">
        <v>0</v>
      </c>
      <c r="H23" s="185">
        <v>0</v>
      </c>
      <c r="I23" s="185">
        <v>0</v>
      </c>
      <c r="J23" s="185">
        <v>0</v>
      </c>
      <c r="K23" s="185">
        <f t="shared" si="0"/>
        <v>170.67090909090908</v>
      </c>
      <c r="L23" s="231">
        <f t="shared" si="1"/>
        <v>1024.0254545454545</v>
      </c>
      <c r="M23" s="187">
        <f t="shared" si="2"/>
        <v>1126.4280000000001</v>
      </c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</row>
    <row r="24" spans="1:26" ht="25" customHeight="1" thickTop="1" x14ac:dyDescent="0.15">
      <c r="A24" s="143" t="str">
        <f>'Tariffs 2021'!F18</f>
        <v>EnergyAustralia</v>
      </c>
      <c r="B24" s="24" t="str">
        <f>'Tariffs 2021'!D18</f>
        <v>AGN Albury</v>
      </c>
      <c r="C24" s="144">
        <f>'Tariffs 2021'!E18</f>
        <v>42986</v>
      </c>
      <c r="D24" s="30">
        <f>60*'Tariffs 2021'!H18/100</f>
        <v>47.76</v>
      </c>
      <c r="E24" s="30">
        <f>IF($C$5&gt;='Tariffs 2021'!J18,('Tariffs 2021'!J18*'Tariffs 2021'!O18/100),($C$5*'Tariffs 2021'!O18/100))</f>
        <v>100</v>
      </c>
      <c r="F24" s="30">
        <f>IF($C$5&lt;'Tariffs 2021'!J18,0,IF(($C$5-'Tariffs 2021'!J18)&lt;='Tariffs 2021'!K18,(($C$5-'Tariffs 2021'!J18)*'Tariffs 2021'!P18/100),(('Tariffs 2021'!K18-'Tariffs 2021'!J18)*'Tariffs 2021'!P18/100)))</f>
        <v>0</v>
      </c>
      <c r="G24" s="30">
        <f>IF($C$5&lt;'Tariffs 2021'!K18,0,IF(($C$5-'Tariffs 2021'!K18)&lt;='Tariffs 2021'!L18,(($C$5-'Tariffs 2021'!K18)*'Tariffs 2021'!Q18/100),(('Tariffs 2021'!L18-'Tariffs 2021'!K18)*'Tariffs 2021'!Q18/100)))</f>
        <v>0</v>
      </c>
      <c r="H24" s="30">
        <v>0</v>
      </c>
      <c r="I24" s="30">
        <v>0</v>
      </c>
      <c r="J24" s="30">
        <f>IF(($C$5&lt;'Tariffs 2021'!N18),(0),($C$5-'Tariffs 2021'!N18)*'Tariffs 2021'!R18/100)</f>
        <v>0</v>
      </c>
      <c r="K24" s="30">
        <f t="shared" si="0"/>
        <v>147.76</v>
      </c>
      <c r="L24" s="229">
        <f t="shared" si="1"/>
        <v>886.56</v>
      </c>
      <c r="M24" s="145">
        <f t="shared" si="2"/>
        <v>975.21600000000001</v>
      </c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</row>
    <row r="25" spans="1:26" ht="25" customHeight="1" x14ac:dyDescent="0.15">
      <c r="A25" s="143" t="str">
        <f>'Tariffs 2021'!F19</f>
        <v>Origin Energy</v>
      </c>
      <c r="B25" s="24" t="str">
        <f>'Tariffs 2021'!D19</f>
        <v>AGN Albury</v>
      </c>
      <c r="C25" s="144">
        <f>'Tariffs 2021'!E19</f>
        <v>42916</v>
      </c>
      <c r="D25" s="30">
        <f>60*'Tariffs 2021'!H19/100</f>
        <v>35.285454545454542</v>
      </c>
      <c r="E25" s="30">
        <f>IF($C$5&gt;='Tariffs 2021'!J19,('Tariffs 2021'!J19*'Tariffs 2021'!O19/100),($C$5*'Tariffs 2021'!O19/100))</f>
        <v>39.9</v>
      </c>
      <c r="F25" s="30">
        <f>IF($C$5&lt;'Tariffs 2021'!J19,0,IF(($C$5-'Tariffs 2021'!J19)&lt;='Tariffs 2021'!K19,(($C$5-'Tariffs 2021'!J19)*'Tariffs 2021'!P19/100),(('Tariffs 2021'!K19-'Tariffs 2021'!J19)*'Tariffs 2021'!P19/100)))</f>
        <v>0</v>
      </c>
      <c r="G25" s="30">
        <f>IF($C$5&lt;'Tariffs 2021'!K19,0,IF(($C$5-'Tariffs 2021'!K19)&lt;='Tariffs 2021'!L19,(($C$5-'Tariffs 2021'!K19)*'Tariffs 2021'!Q19/100),(('Tariffs 2021'!L19-'Tariffs 2021'!K19)*'Tariffs 2021'!Q19/100)))</f>
        <v>0</v>
      </c>
      <c r="H25" s="30">
        <v>0</v>
      </c>
      <c r="I25" s="30">
        <v>0</v>
      </c>
      <c r="J25" s="30">
        <f>IF(($C$5&lt;'Tariffs 2021'!N19),(0),($C$5-'Tariffs 2021'!N19)*'Tariffs 2021'!R19/100)</f>
        <v>49.35</v>
      </c>
      <c r="K25" s="30">
        <f>SUM(D25:J25)</f>
        <v>124.53545454545454</v>
      </c>
      <c r="L25" s="229">
        <f>K25*6</f>
        <v>747.21272727272731</v>
      </c>
      <c r="M25" s="145">
        <f t="shared" si="2"/>
        <v>821.93400000000008</v>
      </c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</row>
    <row r="26" spans="1:26" ht="25" customHeight="1" x14ac:dyDescent="0.15">
      <c r="A26" s="143" t="str">
        <f>'Tariffs 2021'!F20</f>
        <v>AGL</v>
      </c>
      <c r="B26" s="24" t="str">
        <f>'Tariffs 2021'!D20</f>
        <v>AGN Albury</v>
      </c>
      <c r="C26" s="144">
        <f>'Tariffs 2021'!E20</f>
        <v>42928</v>
      </c>
      <c r="D26" s="30">
        <f>60*'Tariffs 2021'!H20/100</f>
        <v>38.503636363636367</v>
      </c>
      <c r="E26" s="30">
        <f>IF($C$5&gt;='Tariffs 2021'!J20,('Tariffs 2021'!J20*'Tariffs 2021'!O20/100),($C$5*'Tariffs 2021'!O20/100))</f>
        <v>36.599999999999994</v>
      </c>
      <c r="F26" s="30">
        <f>IF($C$5&lt;'Tariffs 2021'!J20,0,IF(($C$5-'Tariffs 2021'!J20)&gt;='Tariffs 2021'!K20,(($C$5-'Tariffs 2021'!J20)*'Tariffs 2021'!P20/100),(('Tariffs 2021'!K20-'Tariffs 2021'!J20)*'Tariffs 2021'!P20/100)))</f>
        <v>26.2</v>
      </c>
      <c r="G26" s="30">
        <f>IF($C$5&lt;'Tariffs 2021'!K20,0,IF(($C$5-'Tariffs 2021'!K20)&lt;='Tariffs 2021'!L20,(($C$5-'Tariffs 2021'!K20)*'Tariffs 2021'!Q20/100),(('Tariffs 2021'!L20-'Tariffs 2021'!K20)*'Tariffs 2021'!Q20/100)))</f>
        <v>19.665454545454544</v>
      </c>
      <c r="H26" s="30">
        <v>0</v>
      </c>
      <c r="I26" s="30">
        <v>0</v>
      </c>
      <c r="J26" s="30">
        <f>IF(($C$5&lt;'Tariffs 2021'!N20),(0),($C$5-'Tariffs 2021'!N20)*'Tariffs 2021'!R20/100)</f>
        <v>0</v>
      </c>
      <c r="K26" s="30">
        <f>SUM(D26:J26)</f>
        <v>120.96909090909091</v>
      </c>
      <c r="L26" s="229">
        <f>K26*6</f>
        <v>725.8145454545454</v>
      </c>
      <c r="M26" s="145">
        <f t="shared" si="2"/>
        <v>798.39599999999996</v>
      </c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</row>
    <row r="27" spans="1:26" ht="25" customHeight="1" thickBot="1" x14ac:dyDescent="0.2">
      <c r="A27" s="176" t="str">
        <f>'Tariffs 2021'!F21</f>
        <v>Red Energy</v>
      </c>
      <c r="B27" s="177" t="str">
        <f>'Tariffs 2021'!D21</f>
        <v>AGN Albury</v>
      </c>
      <c r="C27" s="178">
        <f>'Tariffs 2021'!E21</f>
        <v>42916</v>
      </c>
      <c r="D27" s="179">
        <f>60*'Tariffs 2021'!H21/100</f>
        <v>38.912727272727274</v>
      </c>
      <c r="E27" s="179">
        <f>IF($C$5&gt;='Tariffs 2021'!J21,('Tariffs 2021'!J21*'Tariffs 2021'!O21/100),($C$5*'Tariffs 2021'!O21/100))</f>
        <v>35.25</v>
      </c>
      <c r="F27" s="179">
        <f>IF($C$5&lt;'Tariffs 2021'!J21,0,IF(($C$5-'Tariffs 2021'!J21)&gt;='Tariffs 2021'!K21,(($C$5-'Tariffs 2021'!J21)*'Tariffs 2021'!P21/100),(('Tariffs 2021'!K21-'Tariffs 2021'!J21)*'Tariffs 2021'!P21/100)))</f>
        <v>25.128181818181815</v>
      </c>
      <c r="G27" s="179">
        <f>IF($C$5&lt;'Tariffs 2021'!K21,0,IF(($C$5-'Tariffs 2021'!K21)&lt;='Tariffs 2021'!L21,(($C$5-'Tariffs 2021'!K21)*'Tariffs 2021'!Q21/100),(('Tariffs 2021'!L21-'Tariffs 2021'!K21)*'Tariffs 2021'!Q21/100)))</f>
        <v>18.72</v>
      </c>
      <c r="H27" s="179">
        <v>0</v>
      </c>
      <c r="I27" s="179">
        <v>0</v>
      </c>
      <c r="J27" s="179">
        <f>IF(($C$5&lt;'Tariffs 2021'!N21),(0),($C$5-'Tariffs 2021'!N21)*'Tariffs 2021'!R21/100)</f>
        <v>0</v>
      </c>
      <c r="K27" s="179">
        <f>SUM(D27:J27)</f>
        <v>118.01090909090908</v>
      </c>
      <c r="L27" s="230">
        <f>K27*6</f>
        <v>708.06545454545449</v>
      </c>
      <c r="M27" s="181">
        <f t="shared" si="2"/>
        <v>778.87199999999996</v>
      </c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spans="1:26" ht="25" customHeight="1" thickTop="1" x14ac:dyDescent="0.15">
      <c r="A28" s="143" t="str">
        <f>'Tariffs 2021'!F22</f>
        <v>EnergyAustralia</v>
      </c>
      <c r="B28" s="24" t="str">
        <f>'Tariffs 2021'!D22</f>
        <v>AGN Murray Valley</v>
      </c>
      <c r="C28" s="144">
        <f>'Tariffs 2021'!E22</f>
        <v>42986</v>
      </c>
      <c r="D28" s="30">
        <f>60*'Tariffs 2021'!H22/100</f>
        <v>45.84</v>
      </c>
      <c r="E28" s="30">
        <f>IF($C$5&gt;='Tariffs 2021'!J22,('Tariffs 2021'!J22*'Tariffs 2021'!O22/100),($C$5*'Tariffs 2021'!O22/100))</f>
        <v>145.45454545454544</v>
      </c>
      <c r="F28" s="30">
        <f>IF($C$5&lt;'Tariffs 2021'!J22,0,IF(($C$5-'Tariffs 2021'!J22)&lt;='Tariffs 2021'!K22,(($C$5-'Tariffs 2021'!J22)*'Tariffs 2021'!P22/100),(('Tariffs 2021'!K22-'Tariffs 2021'!J22)*'Tariffs 2021'!P22/100)))</f>
        <v>0</v>
      </c>
      <c r="G28" s="30">
        <f>IF($C$5&lt;'Tariffs 2021'!K22,0,IF(($C$5-'Tariffs 2021'!K22)&lt;='Tariffs 2021'!L22,(($C$5-'Tariffs 2021'!K22)*'Tariffs 2021'!Q22/100),(('Tariffs 2021'!L22-'Tariffs 2021'!K22)*'Tariffs 2021'!Q22/100)))</f>
        <v>0</v>
      </c>
      <c r="H28" s="30">
        <v>0</v>
      </c>
      <c r="I28" s="30">
        <v>0</v>
      </c>
      <c r="J28" s="30">
        <f>IF(($C$5&lt;'Tariffs 2021'!N22),(0),($C$5-'Tariffs 2021'!N22)*'Tariffs 2021'!R22/100)</f>
        <v>0</v>
      </c>
      <c r="K28" s="30">
        <f t="shared" ref="K28:K34" si="3">SUM(D28:J28)</f>
        <v>191.29454545454544</v>
      </c>
      <c r="L28" s="229">
        <f t="shared" ref="L28:L43" si="4">K28*6</f>
        <v>1147.7672727272727</v>
      </c>
      <c r="M28" s="145">
        <f t="shared" si="2"/>
        <v>1262.5440000000001</v>
      </c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spans="1:26" ht="25" customHeight="1" x14ac:dyDescent="0.15">
      <c r="A29" s="143" t="str">
        <f>'Tariffs 2021'!F23</f>
        <v>Origin Energy</v>
      </c>
      <c r="B29" s="24" t="str">
        <f>'Tariffs 2021'!D23</f>
        <v>AGN Murray Valley</v>
      </c>
      <c r="C29" s="144">
        <f>'Tariffs 2021'!E23</f>
        <v>42916</v>
      </c>
      <c r="D29" s="30">
        <f>60*'Tariffs 2021'!H23/100</f>
        <v>37.47818181818181</v>
      </c>
      <c r="E29" s="30">
        <f>IF($C$5&gt;='Tariffs 2021'!J23,('Tariffs 2021'!J23*'Tariffs 2021'!O23/100),($C$5*'Tariffs 2021'!O23/100))</f>
        <v>59.1</v>
      </c>
      <c r="F29" s="30">
        <f>IF($C$5&lt;'Tariffs 2021'!J23,0,IF(($C$5-'Tariffs 2021'!J23)&lt;='Tariffs 2021'!K23,(($C$5-'Tariffs 2021'!J23)*'Tariffs 2021'!P23/100),(('Tariffs 2021'!K23-'Tariffs 2021'!J23)*'Tariffs 2021'!P23/100)))</f>
        <v>0</v>
      </c>
      <c r="G29" s="30">
        <f>IF($C$5&lt;'Tariffs 2021'!K23,0,IF(($C$5-'Tariffs 2021'!K23)&lt;='Tariffs 2021'!L23,(($C$5-'Tariffs 2021'!K23)*'Tariffs 2021'!Q23/100),(('Tariffs 2021'!L23-'Tariffs 2021'!K23)*'Tariffs 2021'!Q23/100)))</f>
        <v>0</v>
      </c>
      <c r="H29" s="30">
        <v>0</v>
      </c>
      <c r="I29" s="30">
        <v>0</v>
      </c>
      <c r="J29" s="30">
        <f>IF(($C$5&lt;'Tariffs 2021'!N23),(0),($C$5-'Tariffs 2021'!N23)*'Tariffs 2021'!R23/100)</f>
        <v>64.518181818181816</v>
      </c>
      <c r="K29" s="30">
        <f t="shared" si="3"/>
        <v>161.09636363636361</v>
      </c>
      <c r="L29" s="229">
        <f t="shared" si="4"/>
        <v>966.57818181818163</v>
      </c>
      <c r="M29" s="145">
        <f t="shared" si="2"/>
        <v>1063.2359999999999</v>
      </c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spans="1:26" ht="25" customHeight="1" x14ac:dyDescent="0.15">
      <c r="A30" s="143" t="str">
        <f>'Tariffs 2021'!F24</f>
        <v>AGL</v>
      </c>
      <c r="B30" s="24" t="str">
        <f>'Tariffs 2021'!D24</f>
        <v>AGN Murray Valley</v>
      </c>
      <c r="C30" s="144">
        <f>'Tariffs 2021'!E24</f>
        <v>42928</v>
      </c>
      <c r="D30" s="30">
        <f>60*'Tariffs 2021'!H24/100</f>
        <v>44.094545454545454</v>
      </c>
      <c r="E30" s="30">
        <f>IF($C$5&gt;='Tariffs 2021'!J24,('Tariffs 2021'!J24*'Tariffs 2021'!O24/100),($C$5*'Tariffs 2021'!O24/100))</f>
        <v>57.449999999999989</v>
      </c>
      <c r="F30" s="30">
        <f>IF($C$5&lt;'Tariffs 2021'!J24,0,IF(($C$5-'Tariffs 2021'!J24)&gt;='Tariffs 2021'!K24,(($C$5-'Tariffs 2021'!J24)*'Tariffs 2021'!P24/100),(('Tariffs 2021'!K24-'Tariffs 2021'!J24)*'Tariffs 2021'!P24/100)))</f>
        <v>41.443636363636358</v>
      </c>
      <c r="G30" s="30">
        <f>IF($C$5&lt;'Tariffs 2021'!K24,0,IF(($C$5-'Tariffs 2021'!K24)&lt;='Tariffs 2021'!L24,(($C$5-'Tariffs 2021'!K24)*'Tariffs 2021'!Q24/100),(('Tariffs 2021'!L24-'Tariffs 2021'!K24)*'Tariffs 2021'!Q24/100)))</f>
        <v>26.283636363636361</v>
      </c>
      <c r="H30" s="30">
        <v>0</v>
      </c>
      <c r="I30" s="30">
        <v>0</v>
      </c>
      <c r="J30" s="30">
        <f>IF(($C$5&lt;'Tariffs 2021'!N24),(0),($C$5-'Tariffs 2021'!N24)*'Tariffs 2021'!R24/100)</f>
        <v>0</v>
      </c>
      <c r="K30" s="30">
        <f t="shared" si="3"/>
        <v>169.27181818181816</v>
      </c>
      <c r="L30" s="229">
        <f t="shared" si="4"/>
        <v>1015.630909090909</v>
      </c>
      <c r="M30" s="145">
        <f t="shared" si="2"/>
        <v>1117.194</v>
      </c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spans="1:26" ht="25" customHeight="1" thickBot="1" x14ac:dyDescent="0.2">
      <c r="A31" s="176" t="str">
        <f>'Tariffs 2021'!F25</f>
        <v>Red Energy</v>
      </c>
      <c r="B31" s="177" t="str">
        <f>'Tariffs 2021'!D25</f>
        <v>AGN Murray Valley</v>
      </c>
      <c r="C31" s="178">
        <f>'Tariffs 2021'!E25</f>
        <v>42916</v>
      </c>
      <c r="D31" s="179">
        <f>60*'Tariffs 2021'!H25/100</f>
        <v>41.569090909090903</v>
      </c>
      <c r="E31" s="179">
        <f>IF($C$5&gt;='Tariffs 2021'!J25,('Tariffs 2021'!J25*'Tariffs 2021'!O25/100),($C$5*'Tariffs 2021'!O25/100))</f>
        <v>52.5</v>
      </c>
      <c r="F31" s="179">
        <f>IF($C$5&lt;'Tariffs 2021'!J25,0,IF(($C$5-'Tariffs 2021'!J25)&gt;='Tariffs 2021'!K25,(($C$5-'Tariffs 2021'!J25)*'Tariffs 2021'!P25/100),(('Tariffs 2021'!K25-'Tariffs 2021'!J25)*'Tariffs 2021'!P25/100)))</f>
        <v>38.585454545454546</v>
      </c>
      <c r="G31" s="179">
        <f>IF($C$5&lt;'Tariffs 2021'!K25,0,IF(($C$5-'Tariffs 2021'!K25)&lt;='Tariffs 2021'!L25,(($C$5-'Tariffs 2021'!K25)*'Tariffs 2021'!Q25/100),(('Tariffs 2021'!L25-'Tariffs 2021'!K25)*'Tariffs 2021'!Q25/100)))</f>
        <v>24.487272727272721</v>
      </c>
      <c r="H31" s="179">
        <v>0</v>
      </c>
      <c r="I31" s="179">
        <v>0</v>
      </c>
      <c r="J31" s="179">
        <f>IF(($C$5&lt;'Tariffs 2021'!N25),(0),($C$5-'Tariffs 2021'!N25)*'Tariffs 2021'!R25/100)</f>
        <v>0</v>
      </c>
      <c r="K31" s="179">
        <f t="shared" si="3"/>
        <v>157.14181818181817</v>
      </c>
      <c r="L31" s="230">
        <f t="shared" si="4"/>
        <v>942.850909090909</v>
      </c>
      <c r="M31" s="181">
        <f t="shared" si="2"/>
        <v>1037.136</v>
      </c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spans="1:26" ht="25" customHeight="1" thickTop="1" x14ac:dyDescent="0.15">
      <c r="A32" s="143" t="str">
        <f>'Tariffs 2021'!F26</f>
        <v>Origin Energy</v>
      </c>
      <c r="B32" s="24" t="str">
        <f>'Tariffs 2021'!D26</f>
        <v>AGN Cooma</v>
      </c>
      <c r="C32" s="144">
        <f>'Tariffs 2021'!E26</f>
        <v>42916</v>
      </c>
      <c r="D32" s="30">
        <f>60*'Tariffs 2021'!H26/100</f>
        <v>42.730909090909087</v>
      </c>
      <c r="E32" s="30">
        <f>$C$5*'Tariffs 2021'!O26/100</f>
        <v>122.54545454545455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f t="shared" si="3"/>
        <v>165.27636363636364</v>
      </c>
      <c r="L32" s="229">
        <f t="shared" si="4"/>
        <v>991.6581818181819</v>
      </c>
      <c r="M32" s="145">
        <f t="shared" si="2"/>
        <v>1090.8240000000001</v>
      </c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spans="1:26" ht="25" customHeight="1" thickBot="1" x14ac:dyDescent="0.2">
      <c r="A33" s="176" t="str">
        <f>'Tariffs 2021'!F27</f>
        <v>Red Energy</v>
      </c>
      <c r="B33" s="177" t="str">
        <f>'Tariffs 2021'!D27</f>
        <v>AGN Cooma</v>
      </c>
      <c r="C33" s="178">
        <f>'Tariffs 2021'!E27</f>
        <v>42916</v>
      </c>
      <c r="D33" s="179">
        <f>60*'Tariffs 2021'!H27/100</f>
        <v>43.56545454545455</v>
      </c>
      <c r="E33" s="179">
        <f>$C$5*'Tariffs 2021'!O27/100</f>
        <v>124</v>
      </c>
      <c r="F33" s="179">
        <v>0</v>
      </c>
      <c r="G33" s="179">
        <v>0</v>
      </c>
      <c r="H33" s="179">
        <v>0</v>
      </c>
      <c r="I33" s="179">
        <v>0</v>
      </c>
      <c r="J33" s="179">
        <v>0</v>
      </c>
      <c r="K33" s="179">
        <f t="shared" si="3"/>
        <v>167.56545454545454</v>
      </c>
      <c r="L33" s="230">
        <f t="shared" si="4"/>
        <v>1005.3927272727273</v>
      </c>
      <c r="M33" s="181">
        <f t="shared" si="2"/>
        <v>1105.932</v>
      </c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spans="1:26" ht="25" customHeight="1" thickTop="1" x14ac:dyDescent="0.15">
      <c r="A34" s="143" t="str">
        <f>'Tariffs 2021'!F28</f>
        <v>Origin Energy</v>
      </c>
      <c r="B34" s="24" t="str">
        <f>'Tariffs 2021'!D28</f>
        <v>AGN Temora</v>
      </c>
      <c r="C34" s="144">
        <f>'Tariffs 2021'!E28</f>
        <v>42916</v>
      </c>
      <c r="D34" s="30">
        <f>60*'Tariffs 2021'!H28/100</f>
        <v>45.736363636363627</v>
      </c>
      <c r="E34" s="30">
        <f>$C$5*'Tariffs 2021'!O28/100</f>
        <v>122.54545454545455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f t="shared" si="3"/>
        <v>168.28181818181818</v>
      </c>
      <c r="L34" s="229">
        <f t="shared" si="4"/>
        <v>1009.6909090909091</v>
      </c>
      <c r="M34" s="145">
        <f t="shared" si="2"/>
        <v>1110.6600000000001</v>
      </c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spans="1:26" ht="25" customHeight="1" x14ac:dyDescent="0.15">
      <c r="A35" s="143" t="str">
        <f>'Tariffs 2021'!F29</f>
        <v>AGL</v>
      </c>
      <c r="B35" s="24" t="str">
        <f>'Tariffs 2021'!D29</f>
        <v>AGN Temora</v>
      </c>
      <c r="C35" s="144">
        <f>'Tariffs 2021'!E29</f>
        <v>42928</v>
      </c>
      <c r="D35" s="30">
        <f>60*'Tariffs 2021'!H29/100</f>
        <v>52.789090909090902</v>
      </c>
      <c r="E35" s="30">
        <f>$C$5*'Tariffs 2021'!O29/100</f>
        <v>118.18181818181816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f t="shared" ref="K35" si="5">SUM(D35:J35)</f>
        <v>170.97090909090906</v>
      </c>
      <c r="L35" s="229">
        <f t="shared" si="4"/>
        <v>1025.8254545454542</v>
      </c>
      <c r="M35" s="145">
        <f t="shared" si="2"/>
        <v>1128.4079999999997</v>
      </c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spans="1:26" ht="25" customHeight="1" thickBot="1" x14ac:dyDescent="0.2">
      <c r="A36" s="176" t="str">
        <f>'Tariffs 2021'!F30</f>
        <v>Red Energy</v>
      </c>
      <c r="B36" s="177" t="str">
        <f>'Tariffs 2021'!D30</f>
        <v>AGN Temora</v>
      </c>
      <c r="C36" s="178">
        <f>'Tariffs 2021'!E30</f>
        <v>42916</v>
      </c>
      <c r="D36" s="179">
        <f>60*'Tariffs 2021'!H30/100</f>
        <v>43.2</v>
      </c>
      <c r="E36" s="179">
        <f>$C$5*'Tariffs 2021'!O30/100</f>
        <v>115.27272727272727</v>
      </c>
      <c r="F36" s="179">
        <v>0</v>
      </c>
      <c r="G36" s="179">
        <v>0</v>
      </c>
      <c r="H36" s="179">
        <v>0</v>
      </c>
      <c r="I36" s="179">
        <v>0</v>
      </c>
      <c r="J36" s="179">
        <v>0</v>
      </c>
      <c r="K36" s="179">
        <f>SUM(D36:J36)</f>
        <v>158.47272727272727</v>
      </c>
      <c r="L36" s="230">
        <f>K36*6</f>
        <v>950.83636363636356</v>
      </c>
      <c r="M36" s="181">
        <f t="shared" si="2"/>
        <v>1045.92</v>
      </c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spans="1:26" ht="25" customHeight="1" thickTop="1" x14ac:dyDescent="0.15">
      <c r="A37" s="143" t="str">
        <f>'Tariffs 2021'!F31</f>
        <v>Origin Energy</v>
      </c>
      <c r="B37" s="24" t="str">
        <f>'Tariffs 2021'!D31</f>
        <v>AGN Tumut</v>
      </c>
      <c r="C37" s="144">
        <f>'Tariffs 2021'!E31</f>
        <v>42916</v>
      </c>
      <c r="D37" s="30">
        <f>60*'Tariffs 2021'!H31/100</f>
        <v>49.123636363636358</v>
      </c>
      <c r="E37" s="30">
        <f>$C$5*'Tariffs 2021'!O31/100</f>
        <v>122.54545454545455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f t="shared" ref="K37:K43" si="6">SUM(D37:J37)</f>
        <v>171.6690909090909</v>
      </c>
      <c r="L37" s="229">
        <f t="shared" si="4"/>
        <v>1030.0145454545454</v>
      </c>
      <c r="M37" s="145">
        <f t="shared" si="2"/>
        <v>1133.0160000000001</v>
      </c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spans="1:26" ht="25" customHeight="1" thickBot="1" x14ac:dyDescent="0.2">
      <c r="A38" s="176" t="str">
        <f>'Tariffs 2021'!F32</f>
        <v>Red Energy</v>
      </c>
      <c r="B38" s="177" t="str">
        <f>'Tariffs 2021'!D32</f>
        <v>AGN Tumut</v>
      </c>
      <c r="C38" s="178">
        <f>'Tariffs 2021'!E32</f>
        <v>42916</v>
      </c>
      <c r="D38" s="179">
        <f>60*'Tariffs 2021'!H32/100</f>
        <v>49.810909090909078</v>
      </c>
      <c r="E38" s="179">
        <f>$C$5*'Tariffs 2021'!O32/100</f>
        <v>124</v>
      </c>
      <c r="F38" s="179">
        <v>0</v>
      </c>
      <c r="G38" s="179">
        <v>0</v>
      </c>
      <c r="H38" s="179">
        <v>0</v>
      </c>
      <c r="I38" s="179">
        <v>0</v>
      </c>
      <c r="J38" s="179">
        <v>0</v>
      </c>
      <c r="K38" s="179">
        <f t="shared" si="6"/>
        <v>173.81090909090909</v>
      </c>
      <c r="L38" s="230">
        <f t="shared" si="4"/>
        <v>1042.8654545454547</v>
      </c>
      <c r="M38" s="181">
        <f t="shared" si="2"/>
        <v>1147.1520000000003</v>
      </c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</row>
    <row r="39" spans="1:26" ht="25" customHeight="1" thickTop="1" x14ac:dyDescent="0.15">
      <c r="A39" s="143" t="str">
        <f>'Tariffs 2021'!F33</f>
        <v>Origin Energy</v>
      </c>
      <c r="B39" s="24" t="str">
        <f>'Tariffs 2021'!D33</f>
        <v>AGN Wagga Wagga</v>
      </c>
      <c r="C39" s="144">
        <f>'Tariffs 2021'!E33</f>
        <v>42916</v>
      </c>
      <c r="D39" s="30">
        <f>60*'Tariffs 2021'!H33/100</f>
        <v>52.156363636363629</v>
      </c>
      <c r="E39" s="30">
        <f>$C$5*'Tariffs 2021'!O33/100</f>
        <v>103.63636363636364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f t="shared" si="6"/>
        <v>155.79272727272726</v>
      </c>
      <c r="L39" s="229">
        <f t="shared" si="4"/>
        <v>934.75636363636363</v>
      </c>
      <c r="M39" s="145">
        <f t="shared" si="2"/>
        <v>1028.232</v>
      </c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</row>
    <row r="40" spans="1:26" ht="25" customHeight="1" x14ac:dyDescent="0.15">
      <c r="A40" s="143" t="str">
        <f>'Tariffs 2021'!F34</f>
        <v>AGL</v>
      </c>
      <c r="B40" s="24" t="str">
        <f>'Tariffs 2021'!D34</f>
        <v>AGN Wagga Wagga</v>
      </c>
      <c r="C40" s="144">
        <f>'Tariffs 2021'!E34</f>
        <v>42928</v>
      </c>
      <c r="D40" s="30">
        <f>60*'Tariffs 2021'!H34/100</f>
        <v>59.618181818181817</v>
      </c>
      <c r="E40" s="30">
        <f>$C$5*'Tariffs 2021'!O34/100</f>
        <v>96.72727272727272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f t="shared" si="6"/>
        <v>156.34545454545454</v>
      </c>
      <c r="L40" s="229">
        <f t="shared" si="4"/>
        <v>938.07272727272721</v>
      </c>
      <c r="M40" s="145">
        <f t="shared" si="2"/>
        <v>1031.8800000000001</v>
      </c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</row>
    <row r="41" spans="1:26" ht="25" customHeight="1" x14ac:dyDescent="0.15">
      <c r="A41" s="143" t="str">
        <f>'Tariffs 2021'!F35</f>
        <v>EnergyAustralia</v>
      </c>
      <c r="B41" s="24" t="str">
        <f>'Tariffs 2021'!D35</f>
        <v>AGN Wagga Wagga</v>
      </c>
      <c r="C41" s="144">
        <f>'Tariffs 2021'!E35</f>
        <v>42986</v>
      </c>
      <c r="D41" s="30">
        <f>60*'Tariffs 2021'!H35/100</f>
        <v>58.26</v>
      </c>
      <c r="E41" s="30">
        <f>$C$5*'Tariffs 2021'!O35/100</f>
        <v>100.72727272727272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f t="shared" si="6"/>
        <v>158.98727272727271</v>
      </c>
      <c r="L41" s="229">
        <f t="shared" si="4"/>
        <v>953.92363636363621</v>
      </c>
      <c r="M41" s="145">
        <f t="shared" si="2"/>
        <v>1049.3159999999998</v>
      </c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</row>
    <row r="42" spans="1:26" ht="25" customHeight="1" thickBot="1" x14ac:dyDescent="0.2">
      <c r="A42" s="176" t="str">
        <f>'Tariffs 2021'!F36</f>
        <v>Red Energy</v>
      </c>
      <c r="B42" s="177" t="str">
        <f>'Tariffs 2021'!D36</f>
        <v>AGN Wagga Wagga</v>
      </c>
      <c r="C42" s="178">
        <f>'Tariffs 2021'!E36</f>
        <v>42916</v>
      </c>
      <c r="D42" s="179">
        <f>60*'Tariffs 2021'!H36/100</f>
        <v>58.79999999999999</v>
      </c>
      <c r="E42" s="179">
        <f>$C$5*'Tariffs 2021'!O36/100</f>
        <v>99.272727272727266</v>
      </c>
      <c r="F42" s="179">
        <v>0</v>
      </c>
      <c r="G42" s="179">
        <v>0</v>
      </c>
      <c r="H42" s="179">
        <v>0</v>
      </c>
      <c r="I42" s="179">
        <v>0</v>
      </c>
      <c r="J42" s="179">
        <v>0</v>
      </c>
      <c r="K42" s="179">
        <f t="shared" si="6"/>
        <v>158.07272727272726</v>
      </c>
      <c r="L42" s="230">
        <f t="shared" si="4"/>
        <v>948.43636363636358</v>
      </c>
      <c r="M42" s="181">
        <f t="shared" si="2"/>
        <v>1043.28</v>
      </c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</row>
    <row r="43" spans="1:26" ht="25" customHeight="1" thickTop="1" thickBot="1" x14ac:dyDescent="0.2">
      <c r="A43" s="150" t="str">
        <f>'Tariffs 2021'!F37</f>
        <v>Origin Energy</v>
      </c>
      <c r="B43" s="151" t="str">
        <f>'Tariffs 2021'!D37</f>
        <v>Central Ranges Pipeline Tamworth</v>
      </c>
      <c r="C43" s="152">
        <f>'Tariffs 2021'!E37</f>
        <v>42916</v>
      </c>
      <c r="D43" s="153">
        <f>60*'Tariffs 2021'!H37/100</f>
        <v>38.18181818181818</v>
      </c>
      <c r="E43" s="153">
        <f>$C$5*'Tariffs 2021'!O37/100</f>
        <v>169.45454545454544</v>
      </c>
      <c r="F43" s="153">
        <v>0</v>
      </c>
      <c r="G43" s="153">
        <v>0</v>
      </c>
      <c r="H43" s="153">
        <v>0</v>
      </c>
      <c r="I43" s="153">
        <v>0</v>
      </c>
      <c r="J43" s="153">
        <v>0</v>
      </c>
      <c r="K43" s="153">
        <f t="shared" si="6"/>
        <v>207.63636363636363</v>
      </c>
      <c r="L43" s="232">
        <f t="shared" si="4"/>
        <v>1245.8181818181818</v>
      </c>
      <c r="M43" s="154">
        <f t="shared" si="2"/>
        <v>1370.4</v>
      </c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</row>
    <row r="44" spans="1:26" customFormat="1" ht="25" customHeight="1" x14ac:dyDescent="0.15">
      <c r="A44" s="239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</row>
    <row r="45" spans="1:26" customFormat="1" x14ac:dyDescent="0.15">
      <c r="A45" s="239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</row>
    <row r="46" spans="1:26" customFormat="1" x14ac:dyDescent="0.15">
      <c r="A46" s="239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</row>
    <row r="47" spans="1:26" customFormat="1" x14ac:dyDescent="0.15">
      <c r="A47" s="239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</row>
    <row r="48" spans="1:26" customFormat="1" x14ac:dyDescent="0.15">
      <c r="A48" s="239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</row>
    <row r="49" spans="1:26" customFormat="1" x14ac:dyDescent="0.15">
      <c r="A49" s="239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</row>
    <row r="50" spans="1:26" customFormat="1" x14ac:dyDescent="0.15">
      <c r="A50" s="239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</row>
    <row r="51" spans="1:26" customFormat="1" x14ac:dyDescent="0.15">
      <c r="A51" s="239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</row>
    <row r="52" spans="1:26" customFormat="1" x14ac:dyDescent="0.15">
      <c r="A52" s="239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</row>
    <row r="53" spans="1:26" customFormat="1" x14ac:dyDescent="0.15">
      <c r="A53" s="239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</row>
    <row r="54" spans="1:26" customFormat="1" x14ac:dyDescent="0.15">
      <c r="A54" s="239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</row>
    <row r="55" spans="1:26" customFormat="1" x14ac:dyDescent="0.15">
      <c r="A55" s="239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</row>
    <row r="56" spans="1:26" customFormat="1" x14ac:dyDescent="0.15">
      <c r="A56" s="239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</row>
    <row r="57" spans="1:26" customFormat="1" x14ac:dyDescent="0.15">
      <c r="A57" s="239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</row>
    <row r="58" spans="1:26" customFormat="1" x14ac:dyDescent="0.15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</row>
    <row r="59" spans="1:26" customFormat="1" x14ac:dyDescent="0.15">
      <c r="A59" s="239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</row>
    <row r="60" spans="1:26" customFormat="1" x14ac:dyDescent="0.15">
      <c r="A60" s="239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</row>
    <row r="61" spans="1:26" customFormat="1" x14ac:dyDescent="0.15">
      <c r="A61" s="239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</row>
    <row r="62" spans="1:26" customFormat="1" x14ac:dyDescent="0.15">
      <c r="A62" s="239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</row>
    <row r="63" spans="1:26" customFormat="1" x14ac:dyDescent="0.15">
      <c r="A63" s="239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239"/>
      <c r="N63" s="239"/>
      <c r="O63" s="239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</row>
    <row r="64" spans="1:26" customFormat="1" x14ac:dyDescent="0.15">
      <c r="A64" s="239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</row>
    <row r="65" spans="1:26" customFormat="1" x14ac:dyDescent="0.15">
      <c r="A65" s="239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</row>
    <row r="66" spans="1:26" customFormat="1" x14ac:dyDescent="0.15">
      <c r="A66" s="239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</row>
    <row r="67" spans="1:26" customFormat="1" x14ac:dyDescent="0.15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spans="1:26" customFormat="1" x14ac:dyDescent="0.15">
      <c r="A68" s="239"/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</row>
    <row r="69" spans="1:26" customFormat="1" x14ac:dyDescent="0.15">
      <c r="A69" s="239"/>
      <c r="B69" s="239"/>
      <c r="C69" s="239"/>
      <c r="D69" s="239"/>
      <c r="E69" s="239"/>
      <c r="F69" s="239"/>
      <c r="G69" s="239"/>
      <c r="H69" s="239"/>
      <c r="I69" s="239"/>
      <c r="J69" s="239"/>
      <c r="K69" s="239"/>
      <c r="L69" s="239"/>
      <c r="M69" s="239"/>
      <c r="N69" s="239"/>
      <c r="O69" s="239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</row>
    <row r="70" spans="1:26" customFormat="1" x14ac:dyDescent="0.15">
      <c r="A70" s="239"/>
      <c r="B70" s="239"/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</row>
    <row r="71" spans="1:26" customFormat="1" x14ac:dyDescent="0.15">
      <c r="A71" s="239"/>
      <c r="B71" s="239"/>
      <c r="C71" s="239"/>
      <c r="D71" s="239"/>
      <c r="E71" s="239"/>
      <c r="F71" s="239"/>
      <c r="G71" s="239"/>
      <c r="H71" s="239"/>
      <c r="I71" s="239"/>
      <c r="J71" s="239"/>
      <c r="K71" s="239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</row>
    <row r="72" spans="1:26" customFormat="1" x14ac:dyDescent="0.15">
      <c r="A72" s="239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</row>
    <row r="73" spans="1:26" customFormat="1" x14ac:dyDescent="0.15">
      <c r="A73" s="239"/>
      <c r="B73" s="239"/>
      <c r="C73" s="239"/>
      <c r="D73" s="239"/>
      <c r="E73" s="239"/>
      <c r="F73" s="239"/>
      <c r="G73" s="239"/>
      <c r="H73" s="239"/>
      <c r="I73" s="239"/>
      <c r="J73" s="239"/>
      <c r="K73" s="239"/>
      <c r="L73" s="239"/>
      <c r="M73" s="239"/>
      <c r="N73" s="239"/>
      <c r="O73" s="239"/>
      <c r="P73" s="239"/>
      <c r="Q73" s="239"/>
      <c r="R73" s="239"/>
      <c r="S73" s="239"/>
      <c r="T73" s="239"/>
      <c r="U73" s="239"/>
      <c r="V73" s="239"/>
      <c r="W73" s="239"/>
      <c r="X73" s="239"/>
      <c r="Y73" s="239"/>
      <c r="Z73" s="239"/>
    </row>
    <row r="74" spans="1:26" customFormat="1" x14ac:dyDescent="0.15">
      <c r="A74" s="239"/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N74" s="239"/>
      <c r="O74" s="239"/>
      <c r="P74" s="239"/>
      <c r="Q74" s="239"/>
      <c r="R74" s="239"/>
      <c r="S74" s="239"/>
      <c r="T74" s="239"/>
      <c r="U74" s="239"/>
      <c r="V74" s="239"/>
      <c r="W74" s="239"/>
      <c r="X74" s="239"/>
      <c r="Y74" s="239"/>
      <c r="Z74" s="239"/>
    </row>
    <row r="75" spans="1:26" customFormat="1" x14ac:dyDescent="0.15">
      <c r="A75" s="239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39"/>
      <c r="N75" s="239"/>
      <c r="O75" s="239"/>
      <c r="P75" s="239"/>
      <c r="Q75" s="239"/>
      <c r="R75" s="239"/>
      <c r="S75" s="239"/>
      <c r="T75" s="239"/>
      <c r="U75" s="239"/>
      <c r="V75" s="239"/>
      <c r="W75" s="239"/>
      <c r="X75" s="239"/>
      <c r="Y75" s="239"/>
      <c r="Z75" s="239"/>
    </row>
    <row r="76" spans="1:26" customFormat="1" x14ac:dyDescent="0.15">
      <c r="A76" s="239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</row>
    <row r="77" spans="1:26" customFormat="1" x14ac:dyDescent="0.15">
      <c r="A77" s="239"/>
      <c r="B77" s="239"/>
      <c r="C77" s="239"/>
      <c r="D77" s="239"/>
      <c r="E77" s="239"/>
      <c r="F77" s="239"/>
      <c r="G77" s="239"/>
      <c r="H77" s="239"/>
      <c r="I77" s="239"/>
      <c r="J77" s="239"/>
      <c r="K77" s="239"/>
      <c r="L77" s="239"/>
      <c r="M77" s="239"/>
      <c r="N77" s="239"/>
      <c r="O77" s="239"/>
      <c r="P77" s="239"/>
      <c r="Q77" s="239"/>
      <c r="R77" s="239"/>
      <c r="S77" s="239"/>
      <c r="T77" s="239"/>
      <c r="U77" s="239"/>
      <c r="V77" s="239"/>
      <c r="W77" s="239"/>
      <c r="X77" s="239"/>
      <c r="Y77" s="239"/>
      <c r="Z77" s="239"/>
    </row>
    <row r="78" spans="1:26" customFormat="1" x14ac:dyDescent="0.15">
      <c r="A78" s="239"/>
      <c r="B78" s="239"/>
      <c r="C78" s="239"/>
      <c r="D78" s="239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  <c r="P78" s="239"/>
      <c r="Q78" s="239"/>
      <c r="R78" s="239"/>
      <c r="S78" s="239"/>
      <c r="T78" s="239"/>
      <c r="U78" s="239"/>
      <c r="V78" s="239"/>
      <c r="W78" s="239"/>
      <c r="X78" s="239"/>
      <c r="Y78" s="239"/>
      <c r="Z78" s="239"/>
    </row>
    <row r="79" spans="1:26" customFormat="1" x14ac:dyDescent="0.15">
      <c r="A79" s="239"/>
      <c r="B79" s="239"/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</row>
    <row r="80" spans="1:26" customFormat="1" x14ac:dyDescent="0.15">
      <c r="A80" s="239"/>
      <c r="B80" s="239"/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</row>
    <row r="81" spans="1:26" customFormat="1" x14ac:dyDescent="0.15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</row>
    <row r="82" spans="1:26" customFormat="1" x14ac:dyDescent="0.15">
      <c r="A82" s="239"/>
      <c r="B82" s="239"/>
      <c r="C82" s="239"/>
      <c r="D82" s="239"/>
      <c r="E82" s="239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</row>
    <row r="83" spans="1:26" customFormat="1" x14ac:dyDescent="0.15"/>
    <row r="84" spans="1:26" customFormat="1" x14ac:dyDescent="0.15"/>
    <row r="85" spans="1:26" customFormat="1" x14ac:dyDescent="0.15"/>
    <row r="86" spans="1:26" customFormat="1" x14ac:dyDescent="0.15"/>
    <row r="87" spans="1:26" customFormat="1" x14ac:dyDescent="0.15"/>
    <row r="88" spans="1:26" customFormat="1" x14ac:dyDescent="0.15"/>
    <row r="89" spans="1:26" customFormat="1" x14ac:dyDescent="0.15"/>
    <row r="90" spans="1:26" customFormat="1" x14ac:dyDescent="0.15"/>
    <row r="91" spans="1:26" customFormat="1" x14ac:dyDescent="0.15"/>
    <row r="92" spans="1:26" customFormat="1" x14ac:dyDescent="0.15"/>
    <row r="93" spans="1:26" customFormat="1" x14ac:dyDescent="0.15"/>
    <row r="94" spans="1:26" customFormat="1" x14ac:dyDescent="0.15"/>
    <row r="95" spans="1:26" customFormat="1" x14ac:dyDescent="0.15"/>
    <row r="96" spans="1:26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  <row r="7914" customFormat="1" x14ac:dyDescent="0.15"/>
    <row r="7915" customFormat="1" x14ac:dyDescent="0.15"/>
    <row r="7916" customFormat="1" x14ac:dyDescent="0.15"/>
    <row r="7917" customFormat="1" x14ac:dyDescent="0.15"/>
    <row r="7918" customFormat="1" x14ac:dyDescent="0.15"/>
    <row r="7919" customFormat="1" x14ac:dyDescent="0.15"/>
    <row r="7920" customFormat="1" x14ac:dyDescent="0.15"/>
    <row r="7921" customFormat="1" x14ac:dyDescent="0.15"/>
    <row r="7922" customFormat="1" x14ac:dyDescent="0.15"/>
    <row r="7923" customFormat="1" x14ac:dyDescent="0.15"/>
    <row r="7924" customFormat="1" x14ac:dyDescent="0.15"/>
    <row r="7925" customFormat="1" x14ac:dyDescent="0.15"/>
    <row r="7926" customFormat="1" x14ac:dyDescent="0.15"/>
    <row r="7927" customFormat="1" x14ac:dyDescent="0.15"/>
    <row r="7928" customFormat="1" x14ac:dyDescent="0.15"/>
    <row r="7929" customFormat="1" x14ac:dyDescent="0.15"/>
    <row r="7930" customFormat="1" x14ac:dyDescent="0.15"/>
    <row r="7931" customFormat="1" x14ac:dyDescent="0.15"/>
    <row r="7932" customFormat="1" x14ac:dyDescent="0.15"/>
    <row r="7933" customFormat="1" x14ac:dyDescent="0.15"/>
    <row r="7934" customFormat="1" x14ac:dyDescent="0.15"/>
    <row r="7935" customFormat="1" x14ac:dyDescent="0.15"/>
    <row r="7936" customFormat="1" x14ac:dyDescent="0.15"/>
    <row r="7937" customFormat="1" x14ac:dyDescent="0.15"/>
    <row r="7938" customFormat="1" x14ac:dyDescent="0.15"/>
    <row r="7939" customFormat="1" x14ac:dyDescent="0.15"/>
    <row r="7940" customFormat="1" x14ac:dyDescent="0.15"/>
    <row r="7941" customFormat="1" x14ac:dyDescent="0.15"/>
    <row r="7942" customFormat="1" x14ac:dyDescent="0.15"/>
    <row r="7943" customFormat="1" x14ac:dyDescent="0.15"/>
    <row r="7944" customFormat="1" x14ac:dyDescent="0.15"/>
    <row r="7945" customFormat="1" x14ac:dyDescent="0.15"/>
    <row r="7946" customFormat="1" x14ac:dyDescent="0.15"/>
    <row r="7947" customFormat="1" x14ac:dyDescent="0.15"/>
    <row r="7948" customFormat="1" x14ac:dyDescent="0.15"/>
    <row r="7949" customFormat="1" x14ac:dyDescent="0.15"/>
    <row r="7950" customFormat="1" x14ac:dyDescent="0.15"/>
    <row r="7951" customFormat="1" x14ac:dyDescent="0.15"/>
    <row r="7952" customFormat="1" x14ac:dyDescent="0.15"/>
    <row r="7953" customFormat="1" x14ac:dyDescent="0.15"/>
    <row r="7954" customFormat="1" x14ac:dyDescent="0.15"/>
    <row r="7955" customFormat="1" x14ac:dyDescent="0.15"/>
    <row r="7956" customFormat="1" x14ac:dyDescent="0.15"/>
    <row r="7957" customFormat="1" x14ac:dyDescent="0.15"/>
    <row r="7958" customFormat="1" x14ac:dyDescent="0.15"/>
    <row r="7959" customFormat="1" x14ac:dyDescent="0.15"/>
    <row r="7960" customFormat="1" x14ac:dyDescent="0.15"/>
    <row r="7961" customFormat="1" x14ac:dyDescent="0.15"/>
    <row r="7962" customFormat="1" x14ac:dyDescent="0.15"/>
    <row r="7963" customFormat="1" x14ac:dyDescent="0.15"/>
    <row r="7964" customFormat="1" x14ac:dyDescent="0.15"/>
    <row r="7965" customFormat="1" x14ac:dyDescent="0.15"/>
    <row r="7966" customFormat="1" x14ac:dyDescent="0.15"/>
    <row r="7967" customFormat="1" x14ac:dyDescent="0.15"/>
    <row r="7968" customFormat="1" x14ac:dyDescent="0.15"/>
    <row r="7969" customFormat="1" x14ac:dyDescent="0.15"/>
    <row r="7970" customFormat="1" x14ac:dyDescent="0.15"/>
    <row r="7971" customFormat="1" x14ac:dyDescent="0.15"/>
    <row r="7972" customFormat="1" x14ac:dyDescent="0.15"/>
    <row r="7973" customFormat="1" x14ac:dyDescent="0.15"/>
    <row r="7974" customFormat="1" x14ac:dyDescent="0.15"/>
    <row r="7975" customFormat="1" x14ac:dyDescent="0.15"/>
    <row r="7976" customFormat="1" x14ac:dyDescent="0.15"/>
    <row r="7977" customFormat="1" x14ac:dyDescent="0.15"/>
    <row r="7978" customFormat="1" x14ac:dyDescent="0.15"/>
    <row r="7979" customFormat="1" x14ac:dyDescent="0.15"/>
    <row r="7980" customFormat="1" x14ac:dyDescent="0.15"/>
    <row r="7981" customFormat="1" x14ac:dyDescent="0.15"/>
    <row r="7982" customFormat="1" x14ac:dyDescent="0.15"/>
    <row r="7983" customFormat="1" x14ac:dyDescent="0.15"/>
    <row r="7984" customFormat="1" x14ac:dyDescent="0.15"/>
    <row r="7985" customFormat="1" x14ac:dyDescent="0.15"/>
    <row r="7986" customFormat="1" x14ac:dyDescent="0.15"/>
    <row r="7987" customFormat="1" x14ac:dyDescent="0.15"/>
    <row r="7988" customFormat="1" x14ac:dyDescent="0.15"/>
    <row r="7989" customFormat="1" x14ac:dyDescent="0.15"/>
    <row r="7990" customFormat="1" x14ac:dyDescent="0.15"/>
    <row r="7991" customFormat="1" x14ac:dyDescent="0.15"/>
    <row r="7992" customFormat="1" x14ac:dyDescent="0.15"/>
    <row r="7993" customFormat="1" x14ac:dyDescent="0.15"/>
    <row r="7994" customFormat="1" x14ac:dyDescent="0.15"/>
    <row r="7995" customFormat="1" x14ac:dyDescent="0.15"/>
    <row r="7996" customFormat="1" x14ac:dyDescent="0.15"/>
    <row r="7997" customFormat="1" x14ac:dyDescent="0.15"/>
    <row r="7998" customFormat="1" x14ac:dyDescent="0.15"/>
    <row r="7999" customFormat="1" x14ac:dyDescent="0.15"/>
    <row r="8000" customFormat="1" x14ac:dyDescent="0.15"/>
    <row r="8001" customFormat="1" x14ac:dyDescent="0.15"/>
    <row r="8002" customFormat="1" x14ac:dyDescent="0.15"/>
    <row r="8003" customFormat="1" x14ac:dyDescent="0.15"/>
    <row r="8004" customFormat="1" x14ac:dyDescent="0.15"/>
    <row r="8005" customFormat="1" x14ac:dyDescent="0.15"/>
    <row r="8006" customFormat="1" x14ac:dyDescent="0.15"/>
    <row r="8007" customFormat="1" x14ac:dyDescent="0.15"/>
    <row r="8008" customFormat="1" x14ac:dyDescent="0.15"/>
    <row r="8009" customFormat="1" x14ac:dyDescent="0.15"/>
    <row r="8010" customFormat="1" x14ac:dyDescent="0.15"/>
    <row r="8011" customFormat="1" x14ac:dyDescent="0.15"/>
    <row r="8012" customFormat="1" x14ac:dyDescent="0.15"/>
    <row r="8013" customFormat="1" x14ac:dyDescent="0.15"/>
    <row r="8014" customFormat="1" x14ac:dyDescent="0.15"/>
    <row r="8015" customFormat="1" x14ac:dyDescent="0.15"/>
    <row r="8016" customFormat="1" x14ac:dyDescent="0.15"/>
    <row r="8017" customFormat="1" x14ac:dyDescent="0.15"/>
    <row r="8018" customFormat="1" x14ac:dyDescent="0.15"/>
    <row r="8019" customFormat="1" x14ac:dyDescent="0.15"/>
    <row r="8020" customFormat="1" x14ac:dyDescent="0.15"/>
    <row r="8021" customFormat="1" x14ac:dyDescent="0.15"/>
    <row r="8022" customFormat="1" x14ac:dyDescent="0.15"/>
    <row r="8023" customFormat="1" x14ac:dyDescent="0.15"/>
    <row r="8024" customFormat="1" x14ac:dyDescent="0.15"/>
    <row r="8025" customFormat="1" x14ac:dyDescent="0.15"/>
    <row r="8026" customFormat="1" x14ac:dyDescent="0.15"/>
    <row r="8027" customFormat="1" x14ac:dyDescent="0.15"/>
    <row r="8028" customFormat="1" x14ac:dyDescent="0.15"/>
    <row r="8029" customFormat="1" x14ac:dyDescent="0.15"/>
    <row r="8030" customFormat="1" x14ac:dyDescent="0.15"/>
    <row r="8031" customFormat="1" x14ac:dyDescent="0.15"/>
    <row r="8032" customFormat="1" x14ac:dyDescent="0.15"/>
    <row r="8033" customFormat="1" x14ac:dyDescent="0.15"/>
    <row r="8034" customFormat="1" x14ac:dyDescent="0.15"/>
    <row r="8035" customFormat="1" x14ac:dyDescent="0.15"/>
    <row r="8036" customFormat="1" x14ac:dyDescent="0.15"/>
    <row r="8037" customFormat="1" x14ac:dyDescent="0.15"/>
    <row r="8038" customFormat="1" x14ac:dyDescent="0.15"/>
    <row r="8039" customFormat="1" x14ac:dyDescent="0.15"/>
    <row r="8040" customFormat="1" x14ac:dyDescent="0.15"/>
    <row r="8041" customFormat="1" x14ac:dyDescent="0.15"/>
    <row r="8042" customFormat="1" x14ac:dyDescent="0.15"/>
    <row r="8043" customFormat="1" x14ac:dyDescent="0.15"/>
    <row r="8044" customFormat="1" x14ac:dyDescent="0.15"/>
    <row r="8045" customFormat="1" x14ac:dyDescent="0.15"/>
    <row r="8046" customFormat="1" x14ac:dyDescent="0.15"/>
    <row r="8047" customFormat="1" x14ac:dyDescent="0.15"/>
    <row r="8048" customFormat="1" x14ac:dyDescent="0.15"/>
    <row r="8049" customFormat="1" x14ac:dyDescent="0.15"/>
    <row r="8050" customFormat="1" x14ac:dyDescent="0.15"/>
    <row r="8051" customFormat="1" x14ac:dyDescent="0.15"/>
    <row r="8052" customFormat="1" x14ac:dyDescent="0.15"/>
    <row r="8053" customFormat="1" x14ac:dyDescent="0.15"/>
    <row r="8054" customFormat="1" x14ac:dyDescent="0.15"/>
    <row r="8055" customFormat="1" x14ac:dyDescent="0.15"/>
    <row r="8056" customFormat="1" x14ac:dyDescent="0.15"/>
    <row r="8057" customFormat="1" x14ac:dyDescent="0.15"/>
    <row r="8058" customFormat="1" x14ac:dyDescent="0.15"/>
    <row r="8059" customFormat="1" x14ac:dyDescent="0.15"/>
    <row r="8060" customFormat="1" x14ac:dyDescent="0.15"/>
    <row r="8061" customFormat="1" x14ac:dyDescent="0.15"/>
    <row r="8062" customFormat="1" x14ac:dyDescent="0.15"/>
    <row r="8063" customFormat="1" x14ac:dyDescent="0.15"/>
    <row r="8064" customFormat="1" x14ac:dyDescent="0.15"/>
    <row r="8065" customFormat="1" x14ac:dyDescent="0.15"/>
    <row r="8066" customFormat="1" x14ac:dyDescent="0.15"/>
    <row r="8067" customFormat="1" x14ac:dyDescent="0.15"/>
    <row r="8068" customFormat="1" x14ac:dyDescent="0.15"/>
    <row r="8069" customFormat="1" x14ac:dyDescent="0.15"/>
    <row r="8070" customFormat="1" x14ac:dyDescent="0.15"/>
    <row r="8071" customFormat="1" x14ac:dyDescent="0.15"/>
    <row r="8072" customFormat="1" x14ac:dyDescent="0.15"/>
    <row r="8073" customFormat="1" x14ac:dyDescent="0.15"/>
    <row r="8074" customFormat="1" x14ac:dyDescent="0.15"/>
    <row r="8075" customFormat="1" x14ac:dyDescent="0.15"/>
    <row r="8076" customFormat="1" x14ac:dyDescent="0.15"/>
    <row r="8077" customFormat="1" x14ac:dyDescent="0.15"/>
    <row r="8078" customFormat="1" x14ac:dyDescent="0.15"/>
    <row r="8079" customFormat="1" x14ac:dyDescent="0.15"/>
    <row r="8080" customFormat="1" x14ac:dyDescent="0.15"/>
    <row r="8081" customFormat="1" x14ac:dyDescent="0.15"/>
    <row r="8082" customFormat="1" x14ac:dyDescent="0.15"/>
    <row r="8083" customFormat="1" x14ac:dyDescent="0.15"/>
    <row r="8084" customFormat="1" x14ac:dyDescent="0.15"/>
    <row r="8085" customFormat="1" x14ac:dyDescent="0.15"/>
    <row r="8086" customFormat="1" x14ac:dyDescent="0.15"/>
    <row r="8087" customFormat="1" x14ac:dyDescent="0.15"/>
    <row r="8088" customFormat="1" x14ac:dyDescent="0.15"/>
    <row r="8089" customFormat="1" x14ac:dyDescent="0.15"/>
    <row r="8090" customFormat="1" x14ac:dyDescent="0.15"/>
    <row r="8091" customFormat="1" x14ac:dyDescent="0.15"/>
    <row r="8092" customFormat="1" x14ac:dyDescent="0.15"/>
    <row r="8093" customFormat="1" x14ac:dyDescent="0.15"/>
    <row r="8094" customFormat="1" x14ac:dyDescent="0.15"/>
    <row r="8095" customFormat="1" x14ac:dyDescent="0.15"/>
    <row r="8096" customFormat="1" x14ac:dyDescent="0.15"/>
    <row r="8097" customFormat="1" x14ac:dyDescent="0.15"/>
    <row r="8098" customFormat="1" x14ac:dyDescent="0.15"/>
    <row r="8099" customFormat="1" x14ac:dyDescent="0.15"/>
    <row r="8100" customFormat="1" x14ac:dyDescent="0.15"/>
    <row r="8101" customFormat="1" x14ac:dyDescent="0.15"/>
    <row r="8102" customFormat="1" x14ac:dyDescent="0.15"/>
    <row r="8103" customFormat="1" x14ac:dyDescent="0.15"/>
    <row r="8104" customFormat="1" x14ac:dyDescent="0.15"/>
    <row r="8105" customFormat="1" x14ac:dyDescent="0.15"/>
    <row r="8106" customFormat="1" x14ac:dyDescent="0.15"/>
    <row r="8107" customFormat="1" x14ac:dyDescent="0.15"/>
    <row r="8108" customFormat="1" x14ac:dyDescent="0.15"/>
    <row r="8109" customFormat="1" x14ac:dyDescent="0.15"/>
    <row r="8110" customFormat="1" x14ac:dyDescent="0.15"/>
    <row r="8111" customFormat="1" x14ac:dyDescent="0.15"/>
    <row r="8112" customFormat="1" x14ac:dyDescent="0.15"/>
    <row r="8113" customFormat="1" x14ac:dyDescent="0.15"/>
    <row r="8114" customFormat="1" x14ac:dyDescent="0.15"/>
    <row r="8115" customFormat="1" x14ac:dyDescent="0.15"/>
    <row r="8116" customFormat="1" x14ac:dyDescent="0.15"/>
    <row r="8117" customFormat="1" x14ac:dyDescent="0.15"/>
    <row r="8118" customFormat="1" x14ac:dyDescent="0.15"/>
    <row r="8119" customFormat="1" x14ac:dyDescent="0.15"/>
    <row r="8120" customFormat="1" x14ac:dyDescent="0.15"/>
    <row r="8121" customFormat="1" x14ac:dyDescent="0.15"/>
    <row r="8122" customFormat="1" x14ac:dyDescent="0.15"/>
    <row r="8123" customFormat="1" x14ac:dyDescent="0.15"/>
    <row r="8124" customFormat="1" x14ac:dyDescent="0.15"/>
    <row r="8125" customFormat="1" x14ac:dyDescent="0.15"/>
    <row r="8126" customFormat="1" x14ac:dyDescent="0.15"/>
    <row r="8127" customFormat="1" x14ac:dyDescent="0.15"/>
    <row r="8128" customFormat="1" x14ac:dyDescent="0.15"/>
    <row r="8129" customFormat="1" x14ac:dyDescent="0.15"/>
    <row r="8130" customFormat="1" x14ac:dyDescent="0.15"/>
    <row r="8131" customFormat="1" x14ac:dyDescent="0.15"/>
    <row r="8132" customFormat="1" x14ac:dyDescent="0.15"/>
    <row r="8133" customFormat="1" x14ac:dyDescent="0.15"/>
    <row r="8134" customFormat="1" x14ac:dyDescent="0.15"/>
    <row r="8135" customFormat="1" x14ac:dyDescent="0.15"/>
    <row r="8136" customFormat="1" x14ac:dyDescent="0.15"/>
    <row r="8137" customFormat="1" x14ac:dyDescent="0.15"/>
    <row r="8138" customFormat="1" x14ac:dyDescent="0.15"/>
    <row r="8139" customFormat="1" x14ac:dyDescent="0.15"/>
    <row r="8140" customFormat="1" x14ac:dyDescent="0.15"/>
    <row r="8141" customFormat="1" x14ac:dyDescent="0.15"/>
    <row r="8142" customFormat="1" x14ac:dyDescent="0.15"/>
    <row r="8143" customFormat="1" x14ac:dyDescent="0.15"/>
    <row r="8144" customFormat="1" x14ac:dyDescent="0.15"/>
    <row r="8145" customFormat="1" x14ac:dyDescent="0.15"/>
    <row r="8146" customFormat="1" x14ac:dyDescent="0.15"/>
    <row r="8147" customFormat="1" x14ac:dyDescent="0.15"/>
    <row r="8148" customFormat="1" x14ac:dyDescent="0.15"/>
    <row r="8149" customFormat="1" x14ac:dyDescent="0.15"/>
    <row r="8150" customFormat="1" x14ac:dyDescent="0.15"/>
    <row r="8151" customFormat="1" x14ac:dyDescent="0.15"/>
    <row r="8152" customFormat="1" x14ac:dyDescent="0.15"/>
    <row r="8153" customFormat="1" x14ac:dyDescent="0.15"/>
    <row r="8154" customFormat="1" x14ac:dyDescent="0.15"/>
    <row r="8155" customFormat="1" x14ac:dyDescent="0.15"/>
    <row r="8156" customFormat="1" x14ac:dyDescent="0.15"/>
    <row r="8157" customFormat="1" x14ac:dyDescent="0.15"/>
    <row r="8158" customFormat="1" x14ac:dyDescent="0.15"/>
    <row r="8159" customFormat="1" x14ac:dyDescent="0.15"/>
    <row r="8160" customFormat="1" x14ac:dyDescent="0.15"/>
    <row r="8161" customFormat="1" x14ac:dyDescent="0.15"/>
    <row r="8162" customFormat="1" x14ac:dyDescent="0.15"/>
    <row r="8163" customFormat="1" x14ac:dyDescent="0.15"/>
    <row r="8164" customFormat="1" x14ac:dyDescent="0.15"/>
    <row r="8165" customFormat="1" x14ac:dyDescent="0.15"/>
    <row r="8166" customFormat="1" x14ac:dyDescent="0.15"/>
    <row r="8167" customFormat="1" x14ac:dyDescent="0.15"/>
    <row r="8168" customFormat="1" x14ac:dyDescent="0.15"/>
    <row r="8169" customFormat="1" x14ac:dyDescent="0.15"/>
    <row r="8170" customFormat="1" x14ac:dyDescent="0.15"/>
    <row r="8171" customFormat="1" x14ac:dyDescent="0.15"/>
    <row r="8172" customFormat="1" x14ac:dyDescent="0.15"/>
    <row r="8173" customFormat="1" x14ac:dyDescent="0.15"/>
    <row r="8174" customFormat="1" x14ac:dyDescent="0.15"/>
    <row r="8175" customFormat="1" x14ac:dyDescent="0.15"/>
    <row r="8176" customFormat="1" x14ac:dyDescent="0.15"/>
    <row r="8177" customFormat="1" x14ac:dyDescent="0.15"/>
    <row r="8178" customFormat="1" x14ac:dyDescent="0.15"/>
    <row r="8179" customFormat="1" x14ac:dyDescent="0.15"/>
    <row r="8180" customFormat="1" x14ac:dyDescent="0.15"/>
    <row r="8181" customFormat="1" x14ac:dyDescent="0.15"/>
    <row r="8182" customFormat="1" x14ac:dyDescent="0.15"/>
    <row r="8183" customFormat="1" x14ac:dyDescent="0.15"/>
    <row r="8184" customFormat="1" x14ac:dyDescent="0.15"/>
    <row r="8185" customFormat="1" x14ac:dyDescent="0.15"/>
    <row r="8186" customFormat="1" x14ac:dyDescent="0.15"/>
    <row r="8187" customFormat="1" x14ac:dyDescent="0.15"/>
    <row r="8188" customFormat="1" x14ac:dyDescent="0.15"/>
    <row r="8189" customFormat="1" x14ac:dyDescent="0.15"/>
    <row r="8190" customFormat="1" x14ac:dyDescent="0.15"/>
    <row r="8191" customFormat="1" x14ac:dyDescent="0.15"/>
    <row r="8192" customFormat="1" x14ac:dyDescent="0.15"/>
    <row r="8193" customFormat="1" x14ac:dyDescent="0.15"/>
    <row r="8194" customFormat="1" x14ac:dyDescent="0.15"/>
    <row r="8195" customFormat="1" x14ac:dyDescent="0.15"/>
    <row r="8196" customFormat="1" x14ac:dyDescent="0.15"/>
    <row r="8197" customFormat="1" x14ac:dyDescent="0.15"/>
    <row r="8198" customFormat="1" x14ac:dyDescent="0.15"/>
    <row r="8199" customFormat="1" x14ac:dyDescent="0.15"/>
    <row r="8200" customFormat="1" x14ac:dyDescent="0.15"/>
    <row r="8201" customFormat="1" x14ac:dyDescent="0.15"/>
    <row r="8202" customFormat="1" x14ac:dyDescent="0.15"/>
    <row r="8203" customFormat="1" x14ac:dyDescent="0.15"/>
    <row r="8204" customFormat="1" x14ac:dyDescent="0.15"/>
    <row r="8205" customFormat="1" x14ac:dyDescent="0.15"/>
    <row r="8206" customFormat="1" x14ac:dyDescent="0.15"/>
    <row r="8207" customFormat="1" x14ac:dyDescent="0.15"/>
    <row r="8208" customFormat="1" x14ac:dyDescent="0.15"/>
    <row r="8209" customFormat="1" x14ac:dyDescent="0.15"/>
    <row r="8210" customFormat="1" x14ac:dyDescent="0.15"/>
    <row r="8211" customFormat="1" x14ac:dyDescent="0.15"/>
    <row r="8212" customFormat="1" x14ac:dyDescent="0.15"/>
    <row r="8213" customFormat="1" x14ac:dyDescent="0.15"/>
    <row r="8214" customFormat="1" x14ac:dyDescent="0.15"/>
    <row r="8215" customFormat="1" x14ac:dyDescent="0.15"/>
    <row r="8216" customFormat="1" x14ac:dyDescent="0.15"/>
    <row r="8217" customFormat="1" x14ac:dyDescent="0.15"/>
    <row r="8218" customFormat="1" x14ac:dyDescent="0.15"/>
    <row r="8219" customFormat="1" x14ac:dyDescent="0.15"/>
    <row r="8220" customFormat="1" x14ac:dyDescent="0.15"/>
    <row r="8221" customFormat="1" x14ac:dyDescent="0.15"/>
    <row r="8222" customFormat="1" x14ac:dyDescent="0.15"/>
    <row r="8223" customFormat="1" x14ac:dyDescent="0.15"/>
    <row r="8224" customFormat="1" x14ac:dyDescent="0.15"/>
    <row r="8225" customFormat="1" x14ac:dyDescent="0.15"/>
    <row r="8226" customFormat="1" x14ac:dyDescent="0.15"/>
    <row r="8227" customFormat="1" x14ac:dyDescent="0.15"/>
    <row r="8228" customFormat="1" x14ac:dyDescent="0.15"/>
    <row r="8229" customFormat="1" x14ac:dyDescent="0.15"/>
    <row r="8230" customFormat="1" x14ac:dyDescent="0.15"/>
    <row r="8231" customFormat="1" x14ac:dyDescent="0.15"/>
    <row r="8232" customFormat="1" x14ac:dyDescent="0.15"/>
    <row r="8233" customFormat="1" x14ac:dyDescent="0.15"/>
    <row r="8234" customFormat="1" x14ac:dyDescent="0.15"/>
    <row r="8235" customFormat="1" x14ac:dyDescent="0.15"/>
    <row r="8236" customFormat="1" x14ac:dyDescent="0.15"/>
    <row r="8237" customFormat="1" x14ac:dyDescent="0.15"/>
    <row r="8238" customFormat="1" x14ac:dyDescent="0.15"/>
    <row r="8239" customFormat="1" x14ac:dyDescent="0.15"/>
    <row r="8240" customFormat="1" x14ac:dyDescent="0.15"/>
    <row r="8241" customFormat="1" x14ac:dyDescent="0.15"/>
    <row r="8242" customFormat="1" x14ac:dyDescent="0.15"/>
    <row r="8243" customFormat="1" x14ac:dyDescent="0.15"/>
    <row r="8244" customFormat="1" x14ac:dyDescent="0.15"/>
    <row r="8245" customFormat="1" x14ac:dyDescent="0.15"/>
    <row r="8246" customFormat="1" x14ac:dyDescent="0.15"/>
    <row r="8247" customFormat="1" x14ac:dyDescent="0.15"/>
    <row r="8248" customFormat="1" x14ac:dyDescent="0.15"/>
    <row r="8249" customFormat="1" x14ac:dyDescent="0.15"/>
    <row r="8250" customFormat="1" x14ac:dyDescent="0.15"/>
    <row r="8251" customFormat="1" x14ac:dyDescent="0.15"/>
    <row r="8252" customFormat="1" x14ac:dyDescent="0.15"/>
    <row r="8253" customFormat="1" x14ac:dyDescent="0.15"/>
    <row r="8254" customFormat="1" x14ac:dyDescent="0.15"/>
    <row r="8255" customFormat="1" x14ac:dyDescent="0.15"/>
    <row r="8256" customFormat="1" x14ac:dyDescent="0.15"/>
    <row r="8257" customFormat="1" x14ac:dyDescent="0.15"/>
    <row r="8258" customFormat="1" x14ac:dyDescent="0.15"/>
    <row r="8259" customFormat="1" x14ac:dyDescent="0.15"/>
    <row r="8260" customFormat="1" x14ac:dyDescent="0.15"/>
    <row r="8261" customFormat="1" x14ac:dyDescent="0.15"/>
    <row r="8262" customFormat="1" x14ac:dyDescent="0.15"/>
    <row r="8263" customFormat="1" x14ac:dyDescent="0.15"/>
    <row r="8264" customFormat="1" x14ac:dyDescent="0.15"/>
    <row r="8265" customFormat="1" x14ac:dyDescent="0.15"/>
    <row r="8266" customFormat="1" x14ac:dyDescent="0.15"/>
    <row r="8267" customFormat="1" x14ac:dyDescent="0.15"/>
    <row r="8268" customFormat="1" x14ac:dyDescent="0.15"/>
    <row r="8269" customFormat="1" x14ac:dyDescent="0.15"/>
    <row r="8270" customFormat="1" x14ac:dyDescent="0.15"/>
    <row r="8271" customFormat="1" x14ac:dyDescent="0.15"/>
    <row r="8272" customFormat="1" x14ac:dyDescent="0.15"/>
    <row r="8273" customFormat="1" x14ac:dyDescent="0.15"/>
    <row r="8274" customFormat="1" x14ac:dyDescent="0.15"/>
    <row r="8275" customFormat="1" x14ac:dyDescent="0.15"/>
    <row r="8276" customFormat="1" x14ac:dyDescent="0.15"/>
    <row r="8277" customFormat="1" x14ac:dyDescent="0.15"/>
    <row r="8278" customFormat="1" x14ac:dyDescent="0.15"/>
    <row r="8279" customFormat="1" x14ac:dyDescent="0.15"/>
    <row r="8280" customFormat="1" x14ac:dyDescent="0.15"/>
    <row r="8281" customFormat="1" x14ac:dyDescent="0.15"/>
    <row r="8282" customFormat="1" x14ac:dyDescent="0.15"/>
    <row r="8283" customFormat="1" x14ac:dyDescent="0.15"/>
    <row r="8284" customFormat="1" x14ac:dyDescent="0.15"/>
    <row r="8285" customFormat="1" x14ac:dyDescent="0.15"/>
    <row r="8286" customFormat="1" x14ac:dyDescent="0.15"/>
    <row r="8287" customFormat="1" x14ac:dyDescent="0.15"/>
    <row r="8288" customFormat="1" x14ac:dyDescent="0.15"/>
    <row r="8289" customFormat="1" x14ac:dyDescent="0.15"/>
    <row r="8290" customFormat="1" x14ac:dyDescent="0.15"/>
    <row r="8291" customFormat="1" x14ac:dyDescent="0.15"/>
    <row r="8292" customFormat="1" x14ac:dyDescent="0.15"/>
    <row r="8293" customFormat="1" x14ac:dyDescent="0.15"/>
    <row r="8294" customFormat="1" x14ac:dyDescent="0.15"/>
    <row r="8295" customFormat="1" x14ac:dyDescent="0.15"/>
    <row r="8296" customFormat="1" x14ac:dyDescent="0.15"/>
    <row r="8297" customFormat="1" x14ac:dyDescent="0.15"/>
    <row r="8298" customFormat="1" x14ac:dyDescent="0.15"/>
    <row r="8299" customFormat="1" x14ac:dyDescent="0.15"/>
    <row r="8300" customFormat="1" x14ac:dyDescent="0.15"/>
    <row r="8301" customFormat="1" x14ac:dyDescent="0.15"/>
    <row r="8302" customFormat="1" x14ac:dyDescent="0.15"/>
    <row r="8303" customFormat="1" x14ac:dyDescent="0.15"/>
    <row r="8304" customFormat="1" x14ac:dyDescent="0.15"/>
    <row r="8305" customFormat="1" x14ac:dyDescent="0.15"/>
    <row r="8306" customFormat="1" x14ac:dyDescent="0.15"/>
    <row r="8307" customFormat="1" x14ac:dyDescent="0.15"/>
    <row r="8308" customFormat="1" x14ac:dyDescent="0.15"/>
    <row r="8309" customFormat="1" x14ac:dyDescent="0.15"/>
    <row r="8310" customFormat="1" x14ac:dyDescent="0.15"/>
    <row r="8311" customFormat="1" x14ac:dyDescent="0.15"/>
    <row r="8312" customFormat="1" x14ac:dyDescent="0.15"/>
    <row r="8313" customFormat="1" x14ac:dyDescent="0.15"/>
    <row r="8314" customFormat="1" x14ac:dyDescent="0.15"/>
    <row r="8315" customFormat="1" x14ac:dyDescent="0.15"/>
    <row r="8316" customFormat="1" x14ac:dyDescent="0.15"/>
    <row r="8317" customFormat="1" x14ac:dyDescent="0.15"/>
    <row r="8318" customFormat="1" x14ac:dyDescent="0.15"/>
    <row r="8319" customFormat="1" x14ac:dyDescent="0.15"/>
    <row r="8320" customFormat="1" x14ac:dyDescent="0.15"/>
    <row r="8321" customFormat="1" x14ac:dyDescent="0.15"/>
    <row r="8322" customFormat="1" x14ac:dyDescent="0.15"/>
    <row r="8323" customFormat="1" x14ac:dyDescent="0.15"/>
    <row r="8324" customFormat="1" x14ac:dyDescent="0.15"/>
    <row r="8325" customFormat="1" x14ac:dyDescent="0.15"/>
    <row r="8326" customFormat="1" x14ac:dyDescent="0.15"/>
    <row r="8327" customFormat="1" x14ac:dyDescent="0.15"/>
    <row r="8328" customFormat="1" x14ac:dyDescent="0.15"/>
    <row r="8329" customFormat="1" x14ac:dyDescent="0.15"/>
    <row r="8330" customFormat="1" x14ac:dyDescent="0.15"/>
    <row r="8331" customFormat="1" x14ac:dyDescent="0.15"/>
    <row r="8332" customFormat="1" x14ac:dyDescent="0.15"/>
    <row r="8333" customFormat="1" x14ac:dyDescent="0.15"/>
    <row r="8334" customFormat="1" x14ac:dyDescent="0.15"/>
    <row r="8335" customFormat="1" x14ac:dyDescent="0.15"/>
    <row r="8336" customFormat="1" x14ac:dyDescent="0.15"/>
    <row r="8337" customFormat="1" x14ac:dyDescent="0.15"/>
    <row r="8338" customFormat="1" x14ac:dyDescent="0.15"/>
    <row r="8339" customFormat="1" x14ac:dyDescent="0.15"/>
    <row r="8340" customFormat="1" x14ac:dyDescent="0.15"/>
    <row r="8341" customFormat="1" x14ac:dyDescent="0.15"/>
    <row r="8342" customFormat="1" x14ac:dyDescent="0.15"/>
    <row r="8343" customFormat="1" x14ac:dyDescent="0.15"/>
    <row r="8344" customFormat="1" x14ac:dyDescent="0.15"/>
    <row r="8345" customFormat="1" x14ac:dyDescent="0.15"/>
    <row r="8346" customFormat="1" x14ac:dyDescent="0.15"/>
    <row r="8347" customFormat="1" x14ac:dyDescent="0.15"/>
    <row r="8348" customFormat="1" x14ac:dyDescent="0.15"/>
    <row r="8349" customFormat="1" x14ac:dyDescent="0.15"/>
    <row r="8350" customFormat="1" x14ac:dyDescent="0.15"/>
    <row r="8351" customFormat="1" x14ac:dyDescent="0.15"/>
    <row r="8352" customFormat="1" x14ac:dyDescent="0.15"/>
    <row r="8353" customFormat="1" x14ac:dyDescent="0.15"/>
    <row r="8354" customFormat="1" x14ac:dyDescent="0.15"/>
    <row r="8355" customFormat="1" x14ac:dyDescent="0.15"/>
    <row r="8356" customFormat="1" x14ac:dyDescent="0.15"/>
    <row r="8357" customFormat="1" x14ac:dyDescent="0.15"/>
    <row r="8358" customFormat="1" x14ac:dyDescent="0.15"/>
    <row r="8359" customFormat="1" x14ac:dyDescent="0.15"/>
    <row r="8360" customFormat="1" x14ac:dyDescent="0.15"/>
    <row r="8361" customFormat="1" x14ac:dyDescent="0.15"/>
    <row r="8362" customFormat="1" x14ac:dyDescent="0.15"/>
    <row r="8363" customFormat="1" x14ac:dyDescent="0.15"/>
    <row r="8364" customFormat="1" x14ac:dyDescent="0.15"/>
    <row r="8365" customFormat="1" x14ac:dyDescent="0.15"/>
    <row r="8366" customFormat="1" x14ac:dyDescent="0.15"/>
    <row r="8367" customFormat="1" x14ac:dyDescent="0.15"/>
    <row r="8368" customFormat="1" x14ac:dyDescent="0.15"/>
    <row r="8369" customFormat="1" x14ac:dyDescent="0.15"/>
    <row r="8370" customFormat="1" x14ac:dyDescent="0.15"/>
    <row r="8371" customFormat="1" x14ac:dyDescent="0.15"/>
    <row r="8372" customFormat="1" x14ac:dyDescent="0.15"/>
    <row r="8373" customFormat="1" x14ac:dyDescent="0.15"/>
    <row r="8374" customFormat="1" x14ac:dyDescent="0.15"/>
    <row r="8375" customFormat="1" x14ac:dyDescent="0.15"/>
    <row r="8376" customFormat="1" x14ac:dyDescent="0.15"/>
    <row r="8377" customFormat="1" x14ac:dyDescent="0.15"/>
    <row r="8378" customFormat="1" x14ac:dyDescent="0.15"/>
    <row r="8379" customFormat="1" x14ac:dyDescent="0.15"/>
    <row r="8380" customFormat="1" x14ac:dyDescent="0.15"/>
    <row r="8381" customFormat="1" x14ac:dyDescent="0.15"/>
    <row r="8382" customFormat="1" x14ac:dyDescent="0.15"/>
    <row r="8383" customFormat="1" x14ac:dyDescent="0.15"/>
    <row r="8384" customFormat="1" x14ac:dyDescent="0.15"/>
    <row r="8385" customFormat="1" x14ac:dyDescent="0.15"/>
    <row r="8386" customFormat="1" x14ac:dyDescent="0.15"/>
    <row r="8387" customFormat="1" x14ac:dyDescent="0.15"/>
    <row r="8388" customFormat="1" x14ac:dyDescent="0.15"/>
    <row r="8389" customFormat="1" x14ac:dyDescent="0.15"/>
    <row r="8390" customFormat="1" x14ac:dyDescent="0.15"/>
    <row r="8391" customFormat="1" x14ac:dyDescent="0.15"/>
    <row r="8392" customFormat="1" x14ac:dyDescent="0.15"/>
    <row r="8393" customFormat="1" x14ac:dyDescent="0.15"/>
    <row r="8394" customFormat="1" x14ac:dyDescent="0.15"/>
    <row r="8395" customFormat="1" x14ac:dyDescent="0.15"/>
    <row r="8396" customFormat="1" x14ac:dyDescent="0.15"/>
    <row r="8397" customFormat="1" x14ac:dyDescent="0.15"/>
    <row r="8398" customFormat="1" x14ac:dyDescent="0.15"/>
    <row r="8399" customFormat="1" x14ac:dyDescent="0.15"/>
    <row r="8400" customFormat="1" x14ac:dyDescent="0.15"/>
    <row r="8401" customFormat="1" x14ac:dyDescent="0.15"/>
    <row r="8402" customFormat="1" x14ac:dyDescent="0.15"/>
    <row r="8403" customFormat="1" x14ac:dyDescent="0.15"/>
    <row r="8404" customFormat="1" x14ac:dyDescent="0.15"/>
    <row r="8405" customFormat="1" x14ac:dyDescent="0.15"/>
    <row r="8406" customFormat="1" x14ac:dyDescent="0.15"/>
    <row r="8407" customFormat="1" x14ac:dyDescent="0.15"/>
    <row r="8408" customFormat="1" x14ac:dyDescent="0.15"/>
    <row r="8409" customFormat="1" x14ac:dyDescent="0.15"/>
    <row r="8410" customFormat="1" x14ac:dyDescent="0.15"/>
    <row r="8411" customFormat="1" x14ac:dyDescent="0.15"/>
    <row r="8412" customFormat="1" x14ac:dyDescent="0.15"/>
    <row r="8413" customFormat="1" x14ac:dyDescent="0.15"/>
    <row r="8414" customFormat="1" x14ac:dyDescent="0.15"/>
    <row r="8415" customFormat="1" x14ac:dyDescent="0.15"/>
    <row r="8416" customFormat="1" x14ac:dyDescent="0.15"/>
    <row r="8417" customFormat="1" x14ac:dyDescent="0.15"/>
    <row r="8418" customFormat="1" x14ac:dyDescent="0.15"/>
    <row r="8419" customFormat="1" x14ac:dyDescent="0.15"/>
    <row r="8420" customFormat="1" x14ac:dyDescent="0.15"/>
    <row r="8421" customFormat="1" x14ac:dyDescent="0.15"/>
    <row r="8422" customFormat="1" x14ac:dyDescent="0.15"/>
    <row r="8423" customFormat="1" x14ac:dyDescent="0.15"/>
    <row r="8424" customFormat="1" x14ac:dyDescent="0.15"/>
    <row r="8425" customFormat="1" x14ac:dyDescent="0.15"/>
    <row r="8426" customFormat="1" x14ac:dyDescent="0.15"/>
    <row r="8427" customFormat="1" x14ac:dyDescent="0.15"/>
    <row r="8428" customFormat="1" x14ac:dyDescent="0.15"/>
    <row r="8429" customFormat="1" x14ac:dyDescent="0.15"/>
    <row r="8430" customFormat="1" x14ac:dyDescent="0.15"/>
    <row r="8431" customFormat="1" x14ac:dyDescent="0.15"/>
    <row r="8432" customFormat="1" x14ac:dyDescent="0.15"/>
    <row r="8433" customFormat="1" x14ac:dyDescent="0.15"/>
    <row r="8434" customFormat="1" x14ac:dyDescent="0.15"/>
    <row r="8435" customFormat="1" x14ac:dyDescent="0.15"/>
    <row r="8436" customFormat="1" x14ac:dyDescent="0.15"/>
    <row r="8437" customFormat="1" x14ac:dyDescent="0.15"/>
    <row r="8438" customFormat="1" x14ac:dyDescent="0.15"/>
    <row r="8439" customFormat="1" x14ac:dyDescent="0.15"/>
    <row r="8440" customFormat="1" x14ac:dyDescent="0.15"/>
    <row r="8441" customFormat="1" x14ac:dyDescent="0.15"/>
    <row r="8442" customFormat="1" x14ac:dyDescent="0.15"/>
    <row r="8443" customFormat="1" x14ac:dyDescent="0.15"/>
    <row r="8444" customFormat="1" x14ac:dyDescent="0.15"/>
    <row r="8445" customFormat="1" x14ac:dyDescent="0.15"/>
    <row r="8446" customFormat="1" x14ac:dyDescent="0.15"/>
    <row r="8447" customFormat="1" x14ac:dyDescent="0.15"/>
    <row r="8448" customFormat="1" x14ac:dyDescent="0.15"/>
    <row r="8449" customFormat="1" x14ac:dyDescent="0.15"/>
    <row r="8450" customFormat="1" x14ac:dyDescent="0.15"/>
    <row r="8451" customFormat="1" x14ac:dyDescent="0.15"/>
    <row r="8452" customFormat="1" x14ac:dyDescent="0.15"/>
    <row r="8453" customFormat="1" x14ac:dyDescent="0.15"/>
    <row r="8454" customFormat="1" x14ac:dyDescent="0.15"/>
    <row r="8455" customFormat="1" x14ac:dyDescent="0.15"/>
    <row r="8456" customFormat="1" x14ac:dyDescent="0.15"/>
    <row r="8457" customFormat="1" x14ac:dyDescent="0.15"/>
    <row r="8458" customFormat="1" x14ac:dyDescent="0.15"/>
    <row r="8459" customFormat="1" x14ac:dyDescent="0.15"/>
    <row r="8460" customFormat="1" x14ac:dyDescent="0.15"/>
    <row r="8461" customFormat="1" x14ac:dyDescent="0.15"/>
    <row r="8462" customFormat="1" x14ac:dyDescent="0.15"/>
    <row r="8463" customFormat="1" x14ac:dyDescent="0.15"/>
    <row r="8464" customFormat="1" x14ac:dyDescent="0.15"/>
    <row r="8465" customFormat="1" x14ac:dyDescent="0.15"/>
    <row r="8466" customFormat="1" x14ac:dyDescent="0.15"/>
    <row r="8467" customFormat="1" x14ac:dyDescent="0.15"/>
    <row r="8468" customFormat="1" x14ac:dyDescent="0.15"/>
    <row r="8469" customFormat="1" x14ac:dyDescent="0.15"/>
    <row r="8470" customFormat="1" x14ac:dyDescent="0.15"/>
    <row r="8471" customFormat="1" x14ac:dyDescent="0.15"/>
    <row r="8472" customFormat="1" x14ac:dyDescent="0.15"/>
    <row r="8473" customFormat="1" x14ac:dyDescent="0.15"/>
    <row r="8474" customFormat="1" x14ac:dyDescent="0.15"/>
    <row r="8475" customFormat="1" x14ac:dyDescent="0.15"/>
    <row r="8476" customFormat="1" x14ac:dyDescent="0.15"/>
    <row r="8477" customFormat="1" x14ac:dyDescent="0.15"/>
    <row r="8478" customFormat="1" x14ac:dyDescent="0.15"/>
    <row r="8479" customFormat="1" x14ac:dyDescent="0.15"/>
    <row r="8480" customFormat="1" x14ac:dyDescent="0.15"/>
    <row r="8481" customFormat="1" x14ac:dyDescent="0.15"/>
    <row r="8482" customFormat="1" x14ac:dyDescent="0.15"/>
    <row r="8483" customFormat="1" x14ac:dyDescent="0.15"/>
    <row r="8484" customFormat="1" x14ac:dyDescent="0.15"/>
    <row r="8485" customFormat="1" x14ac:dyDescent="0.15"/>
    <row r="8486" customFormat="1" x14ac:dyDescent="0.15"/>
    <row r="8487" customFormat="1" x14ac:dyDescent="0.15"/>
    <row r="8488" customFormat="1" x14ac:dyDescent="0.15"/>
    <row r="8489" customFormat="1" x14ac:dyDescent="0.15"/>
    <row r="8490" customFormat="1" x14ac:dyDescent="0.15"/>
    <row r="8491" customFormat="1" x14ac:dyDescent="0.15"/>
    <row r="8492" customFormat="1" x14ac:dyDescent="0.15"/>
    <row r="8493" customFormat="1" x14ac:dyDescent="0.15"/>
    <row r="8494" customFormat="1" x14ac:dyDescent="0.15"/>
    <row r="8495" customFormat="1" x14ac:dyDescent="0.15"/>
    <row r="8496" customFormat="1" x14ac:dyDescent="0.15"/>
    <row r="8497" customFormat="1" x14ac:dyDescent="0.15"/>
    <row r="8498" customFormat="1" x14ac:dyDescent="0.15"/>
    <row r="8499" customFormat="1" x14ac:dyDescent="0.15"/>
    <row r="8500" customFormat="1" x14ac:dyDescent="0.15"/>
    <row r="8501" customFormat="1" x14ac:dyDescent="0.15"/>
    <row r="8502" customFormat="1" x14ac:dyDescent="0.15"/>
    <row r="8503" customFormat="1" x14ac:dyDescent="0.15"/>
    <row r="8504" customFormat="1" x14ac:dyDescent="0.15"/>
    <row r="8505" customFormat="1" x14ac:dyDescent="0.15"/>
    <row r="8506" customFormat="1" x14ac:dyDescent="0.15"/>
    <row r="8507" customFormat="1" x14ac:dyDescent="0.15"/>
    <row r="8508" customFormat="1" x14ac:dyDescent="0.15"/>
    <row r="8509" customFormat="1" x14ac:dyDescent="0.15"/>
    <row r="8510" customFormat="1" x14ac:dyDescent="0.15"/>
    <row r="8511" customFormat="1" x14ac:dyDescent="0.15"/>
    <row r="8512" customFormat="1" x14ac:dyDescent="0.15"/>
    <row r="8513" customFormat="1" x14ac:dyDescent="0.15"/>
    <row r="8514" customFormat="1" x14ac:dyDescent="0.15"/>
    <row r="8515" customFormat="1" x14ac:dyDescent="0.15"/>
    <row r="8516" customFormat="1" x14ac:dyDescent="0.15"/>
    <row r="8517" customFormat="1" x14ac:dyDescent="0.15"/>
    <row r="8518" customFormat="1" x14ac:dyDescent="0.15"/>
    <row r="8519" customFormat="1" x14ac:dyDescent="0.15"/>
    <row r="8520" customFormat="1" x14ac:dyDescent="0.15"/>
    <row r="8521" customFormat="1" x14ac:dyDescent="0.15"/>
    <row r="8522" customFormat="1" x14ac:dyDescent="0.15"/>
    <row r="8523" customFormat="1" x14ac:dyDescent="0.15"/>
    <row r="8524" customFormat="1" x14ac:dyDescent="0.15"/>
    <row r="8525" customFormat="1" x14ac:dyDescent="0.15"/>
    <row r="8526" customFormat="1" x14ac:dyDescent="0.15"/>
    <row r="8527" customFormat="1" x14ac:dyDescent="0.15"/>
    <row r="8528" customFormat="1" x14ac:dyDescent="0.15"/>
    <row r="8529" customFormat="1" x14ac:dyDescent="0.15"/>
    <row r="8530" customFormat="1" x14ac:dyDescent="0.15"/>
    <row r="8531" customFormat="1" x14ac:dyDescent="0.15"/>
    <row r="8532" customFormat="1" x14ac:dyDescent="0.15"/>
    <row r="8533" customFormat="1" x14ac:dyDescent="0.15"/>
    <row r="8534" customFormat="1" x14ac:dyDescent="0.15"/>
    <row r="8535" customFormat="1" x14ac:dyDescent="0.15"/>
    <row r="8536" customFormat="1" x14ac:dyDescent="0.15"/>
    <row r="8537" customFormat="1" x14ac:dyDescent="0.15"/>
    <row r="8538" customFormat="1" x14ac:dyDescent="0.15"/>
    <row r="8539" customFormat="1" x14ac:dyDescent="0.15"/>
    <row r="8540" customFormat="1" x14ac:dyDescent="0.15"/>
    <row r="8541" customFormat="1" x14ac:dyDescent="0.15"/>
    <row r="8542" customFormat="1" x14ac:dyDescent="0.15"/>
    <row r="8543" customFormat="1" x14ac:dyDescent="0.15"/>
    <row r="8544" customFormat="1" x14ac:dyDescent="0.15"/>
    <row r="8545" customFormat="1" x14ac:dyDescent="0.15"/>
    <row r="8546" customFormat="1" x14ac:dyDescent="0.15"/>
    <row r="8547" customFormat="1" x14ac:dyDescent="0.15"/>
    <row r="8548" customFormat="1" x14ac:dyDescent="0.15"/>
    <row r="8549" customFormat="1" x14ac:dyDescent="0.15"/>
    <row r="8550" customFormat="1" x14ac:dyDescent="0.15"/>
    <row r="8551" customFormat="1" x14ac:dyDescent="0.15"/>
    <row r="8552" customFormat="1" x14ac:dyDescent="0.15"/>
    <row r="8553" customFormat="1" x14ac:dyDescent="0.15"/>
    <row r="8554" customFormat="1" x14ac:dyDescent="0.15"/>
    <row r="8555" customFormat="1" x14ac:dyDescent="0.15"/>
    <row r="8556" customFormat="1" x14ac:dyDescent="0.15"/>
    <row r="8557" customFormat="1" x14ac:dyDescent="0.15"/>
    <row r="8558" customFormat="1" x14ac:dyDescent="0.15"/>
    <row r="8559" customFormat="1" x14ac:dyDescent="0.15"/>
    <row r="8560" customFormat="1" x14ac:dyDescent="0.15"/>
    <row r="8561" customFormat="1" x14ac:dyDescent="0.15"/>
    <row r="8562" customFormat="1" x14ac:dyDescent="0.15"/>
    <row r="8563" customFormat="1" x14ac:dyDescent="0.15"/>
    <row r="8564" customFormat="1" x14ac:dyDescent="0.15"/>
    <row r="8565" customFormat="1" x14ac:dyDescent="0.15"/>
    <row r="8566" customFormat="1" x14ac:dyDescent="0.15"/>
    <row r="8567" customFormat="1" x14ac:dyDescent="0.15"/>
    <row r="8568" customFormat="1" x14ac:dyDescent="0.15"/>
    <row r="8569" customFormat="1" x14ac:dyDescent="0.15"/>
    <row r="8570" customFormat="1" x14ac:dyDescent="0.15"/>
    <row r="8571" customFormat="1" x14ac:dyDescent="0.15"/>
    <row r="8572" customFormat="1" x14ac:dyDescent="0.15"/>
    <row r="8573" customFormat="1" x14ac:dyDescent="0.15"/>
    <row r="8574" customFormat="1" x14ac:dyDescent="0.15"/>
    <row r="8575" customFormat="1" x14ac:dyDescent="0.15"/>
    <row r="8576" customFormat="1" x14ac:dyDescent="0.15"/>
    <row r="8577" customFormat="1" x14ac:dyDescent="0.15"/>
    <row r="8578" customFormat="1" x14ac:dyDescent="0.15"/>
    <row r="8579" customFormat="1" x14ac:dyDescent="0.15"/>
    <row r="8580" customFormat="1" x14ac:dyDescent="0.15"/>
    <row r="8581" customFormat="1" x14ac:dyDescent="0.15"/>
    <row r="8582" customFormat="1" x14ac:dyDescent="0.15"/>
    <row r="8583" customFormat="1" x14ac:dyDescent="0.15"/>
    <row r="8584" customFormat="1" x14ac:dyDescent="0.15"/>
    <row r="8585" customFormat="1" x14ac:dyDescent="0.15"/>
    <row r="8586" customFormat="1" x14ac:dyDescent="0.15"/>
    <row r="8587" customFormat="1" x14ac:dyDescent="0.15"/>
    <row r="8588" customFormat="1" x14ac:dyDescent="0.15"/>
    <row r="8589" customFormat="1" x14ac:dyDescent="0.15"/>
    <row r="8590" customFormat="1" x14ac:dyDescent="0.15"/>
    <row r="8591" customFormat="1" x14ac:dyDescent="0.15"/>
    <row r="8592" customFormat="1" x14ac:dyDescent="0.15"/>
    <row r="8593" customFormat="1" x14ac:dyDescent="0.15"/>
    <row r="8594" customFormat="1" x14ac:dyDescent="0.15"/>
    <row r="8595" customFormat="1" x14ac:dyDescent="0.15"/>
    <row r="8596" customFormat="1" x14ac:dyDescent="0.15"/>
    <row r="8597" customFormat="1" x14ac:dyDescent="0.15"/>
    <row r="8598" customFormat="1" x14ac:dyDescent="0.15"/>
    <row r="8599" customFormat="1" x14ac:dyDescent="0.15"/>
    <row r="8600" customFormat="1" x14ac:dyDescent="0.15"/>
    <row r="8601" customFormat="1" x14ac:dyDescent="0.15"/>
    <row r="8602" customFormat="1" x14ac:dyDescent="0.15"/>
    <row r="8603" customFormat="1" x14ac:dyDescent="0.15"/>
    <row r="8604" customFormat="1" x14ac:dyDescent="0.15"/>
    <row r="8605" customFormat="1" x14ac:dyDescent="0.15"/>
    <row r="8606" customFormat="1" x14ac:dyDescent="0.15"/>
    <row r="8607" customFormat="1" x14ac:dyDescent="0.15"/>
    <row r="8608" customFormat="1" x14ac:dyDescent="0.15"/>
    <row r="8609" customFormat="1" x14ac:dyDescent="0.15"/>
    <row r="8610" customFormat="1" x14ac:dyDescent="0.15"/>
    <row r="8611" customFormat="1" x14ac:dyDescent="0.15"/>
    <row r="8612" customFormat="1" x14ac:dyDescent="0.15"/>
    <row r="8613" customFormat="1" x14ac:dyDescent="0.15"/>
    <row r="8614" customFormat="1" x14ac:dyDescent="0.15"/>
    <row r="8615" customFormat="1" x14ac:dyDescent="0.15"/>
    <row r="8616" customFormat="1" x14ac:dyDescent="0.15"/>
    <row r="8617" customFormat="1" x14ac:dyDescent="0.15"/>
    <row r="8618" customFormat="1" x14ac:dyDescent="0.15"/>
    <row r="8619" customFormat="1" x14ac:dyDescent="0.15"/>
    <row r="8620" customFormat="1" x14ac:dyDescent="0.15"/>
    <row r="8621" customFormat="1" x14ac:dyDescent="0.15"/>
    <row r="8622" customFormat="1" x14ac:dyDescent="0.15"/>
    <row r="8623" customFormat="1" x14ac:dyDescent="0.15"/>
    <row r="8624" customFormat="1" x14ac:dyDescent="0.15"/>
    <row r="8625" customFormat="1" x14ac:dyDescent="0.15"/>
    <row r="8626" customFormat="1" x14ac:dyDescent="0.15"/>
    <row r="8627" customFormat="1" x14ac:dyDescent="0.15"/>
    <row r="8628" customFormat="1" x14ac:dyDescent="0.15"/>
    <row r="8629" customFormat="1" x14ac:dyDescent="0.15"/>
    <row r="8630" customFormat="1" x14ac:dyDescent="0.15"/>
    <row r="8631" customFormat="1" x14ac:dyDescent="0.15"/>
    <row r="8632" customFormat="1" x14ac:dyDescent="0.15"/>
    <row r="8633" customFormat="1" x14ac:dyDescent="0.15"/>
    <row r="8634" customFormat="1" x14ac:dyDescent="0.15"/>
    <row r="8635" customFormat="1" x14ac:dyDescent="0.15"/>
    <row r="8636" customFormat="1" x14ac:dyDescent="0.15"/>
    <row r="8637" customFormat="1" x14ac:dyDescent="0.15"/>
    <row r="8638" customFormat="1" x14ac:dyDescent="0.15"/>
    <row r="8639" customFormat="1" x14ac:dyDescent="0.15"/>
    <row r="8640" customFormat="1" x14ac:dyDescent="0.15"/>
    <row r="8641" customFormat="1" x14ac:dyDescent="0.15"/>
    <row r="8642" customFormat="1" x14ac:dyDescent="0.15"/>
    <row r="8643" customFormat="1" x14ac:dyDescent="0.15"/>
    <row r="8644" customFormat="1" x14ac:dyDescent="0.15"/>
    <row r="8645" customFormat="1" x14ac:dyDescent="0.15"/>
    <row r="8646" customFormat="1" x14ac:dyDescent="0.15"/>
    <row r="8647" customFormat="1" x14ac:dyDescent="0.15"/>
    <row r="8648" customFormat="1" x14ac:dyDescent="0.15"/>
    <row r="8649" customFormat="1" x14ac:dyDescent="0.15"/>
    <row r="8650" customFormat="1" x14ac:dyDescent="0.15"/>
    <row r="8651" customFormat="1" x14ac:dyDescent="0.15"/>
    <row r="8652" customFormat="1" x14ac:dyDescent="0.15"/>
    <row r="8653" customFormat="1" x14ac:dyDescent="0.15"/>
    <row r="8654" customFormat="1" x14ac:dyDescent="0.15"/>
    <row r="8655" customFormat="1" x14ac:dyDescent="0.15"/>
    <row r="8656" customFormat="1" x14ac:dyDescent="0.15"/>
    <row r="8657" customFormat="1" x14ac:dyDescent="0.15"/>
    <row r="8658" customFormat="1" x14ac:dyDescent="0.15"/>
    <row r="8659" customFormat="1" x14ac:dyDescent="0.15"/>
    <row r="8660" customFormat="1" x14ac:dyDescent="0.15"/>
    <row r="8661" customFormat="1" x14ac:dyDescent="0.15"/>
    <row r="8662" customFormat="1" x14ac:dyDescent="0.15"/>
    <row r="8663" customFormat="1" x14ac:dyDescent="0.15"/>
    <row r="8664" customFormat="1" x14ac:dyDescent="0.15"/>
    <row r="8665" customFormat="1" x14ac:dyDescent="0.15"/>
    <row r="8666" customFormat="1" x14ac:dyDescent="0.15"/>
    <row r="8667" customFormat="1" x14ac:dyDescent="0.15"/>
    <row r="8668" customFormat="1" x14ac:dyDescent="0.15"/>
    <row r="8669" customFormat="1" x14ac:dyDescent="0.15"/>
    <row r="8670" customFormat="1" x14ac:dyDescent="0.15"/>
    <row r="8671" customFormat="1" x14ac:dyDescent="0.15"/>
    <row r="8672" customFormat="1" x14ac:dyDescent="0.15"/>
    <row r="8673" customFormat="1" x14ac:dyDescent="0.15"/>
    <row r="8674" customFormat="1" x14ac:dyDescent="0.15"/>
    <row r="8675" customFormat="1" x14ac:dyDescent="0.15"/>
    <row r="8676" customFormat="1" x14ac:dyDescent="0.15"/>
    <row r="8677" customFormat="1" x14ac:dyDescent="0.15"/>
    <row r="8678" customFormat="1" x14ac:dyDescent="0.15"/>
    <row r="8679" customFormat="1" x14ac:dyDescent="0.15"/>
    <row r="8680" customFormat="1" x14ac:dyDescent="0.15"/>
    <row r="8681" customFormat="1" x14ac:dyDescent="0.15"/>
    <row r="8682" customFormat="1" x14ac:dyDescent="0.15"/>
    <row r="8683" customFormat="1" x14ac:dyDescent="0.15"/>
    <row r="8684" customFormat="1" x14ac:dyDescent="0.15"/>
    <row r="8685" customFormat="1" x14ac:dyDescent="0.15"/>
    <row r="8686" customFormat="1" x14ac:dyDescent="0.15"/>
    <row r="8687" customFormat="1" x14ac:dyDescent="0.15"/>
    <row r="8688" customFormat="1" x14ac:dyDescent="0.15"/>
    <row r="8689" customFormat="1" x14ac:dyDescent="0.15"/>
    <row r="8690" customFormat="1" x14ac:dyDescent="0.15"/>
    <row r="8691" customFormat="1" x14ac:dyDescent="0.15"/>
    <row r="8692" customFormat="1" x14ac:dyDescent="0.15"/>
    <row r="8693" customFormat="1" x14ac:dyDescent="0.15"/>
    <row r="8694" customFormat="1" x14ac:dyDescent="0.15"/>
    <row r="8695" customFormat="1" x14ac:dyDescent="0.15"/>
    <row r="8696" customFormat="1" x14ac:dyDescent="0.15"/>
    <row r="8697" customFormat="1" x14ac:dyDescent="0.15"/>
    <row r="8698" customFormat="1" x14ac:dyDescent="0.15"/>
    <row r="8699" customFormat="1" x14ac:dyDescent="0.15"/>
    <row r="8700" customFormat="1" x14ac:dyDescent="0.15"/>
    <row r="8701" customFormat="1" x14ac:dyDescent="0.15"/>
    <row r="8702" customFormat="1" x14ac:dyDescent="0.15"/>
    <row r="8703" customFormat="1" x14ac:dyDescent="0.15"/>
    <row r="8704" customFormat="1" x14ac:dyDescent="0.15"/>
    <row r="8705" customFormat="1" x14ac:dyDescent="0.15"/>
    <row r="8706" customFormat="1" x14ac:dyDescent="0.15"/>
    <row r="8707" customFormat="1" x14ac:dyDescent="0.15"/>
    <row r="8708" customFormat="1" x14ac:dyDescent="0.15"/>
    <row r="8709" customFormat="1" x14ac:dyDescent="0.15"/>
    <row r="8710" customFormat="1" x14ac:dyDescent="0.15"/>
    <row r="8711" customFormat="1" x14ac:dyDescent="0.15"/>
    <row r="8712" customFormat="1" x14ac:dyDescent="0.15"/>
    <row r="8713" customFormat="1" x14ac:dyDescent="0.15"/>
    <row r="8714" customFormat="1" x14ac:dyDescent="0.15"/>
    <row r="8715" customFormat="1" x14ac:dyDescent="0.15"/>
    <row r="8716" customFormat="1" x14ac:dyDescent="0.15"/>
    <row r="8717" customFormat="1" x14ac:dyDescent="0.15"/>
    <row r="8718" customFormat="1" x14ac:dyDescent="0.15"/>
    <row r="8719" customFormat="1" x14ac:dyDescent="0.15"/>
    <row r="8720" customFormat="1" x14ac:dyDescent="0.15"/>
    <row r="8721" customFormat="1" x14ac:dyDescent="0.15"/>
    <row r="8722" customFormat="1" x14ac:dyDescent="0.15"/>
    <row r="8723" customFormat="1" x14ac:dyDescent="0.15"/>
    <row r="8724" customFormat="1" x14ac:dyDescent="0.15"/>
    <row r="8725" customFormat="1" x14ac:dyDescent="0.15"/>
    <row r="8726" customFormat="1" x14ac:dyDescent="0.15"/>
    <row r="8727" customFormat="1" x14ac:dyDescent="0.15"/>
    <row r="8728" customFormat="1" x14ac:dyDescent="0.15"/>
    <row r="8729" customFormat="1" x14ac:dyDescent="0.15"/>
    <row r="8730" customFormat="1" x14ac:dyDescent="0.15"/>
    <row r="8731" customFormat="1" x14ac:dyDescent="0.15"/>
    <row r="8732" customFormat="1" x14ac:dyDescent="0.15"/>
    <row r="8733" customFormat="1" x14ac:dyDescent="0.15"/>
    <row r="8734" customFormat="1" x14ac:dyDescent="0.15"/>
    <row r="8735" customFormat="1" x14ac:dyDescent="0.15"/>
    <row r="8736" customFormat="1" x14ac:dyDescent="0.15"/>
    <row r="8737" customFormat="1" x14ac:dyDescent="0.15"/>
    <row r="8738" customFormat="1" x14ac:dyDescent="0.15"/>
    <row r="8739" customFormat="1" x14ac:dyDescent="0.15"/>
    <row r="8740" customFormat="1" x14ac:dyDescent="0.15"/>
    <row r="8741" customFormat="1" x14ac:dyDescent="0.15"/>
    <row r="8742" customFormat="1" x14ac:dyDescent="0.15"/>
    <row r="8743" customFormat="1" x14ac:dyDescent="0.15"/>
    <row r="8744" customFormat="1" x14ac:dyDescent="0.15"/>
    <row r="8745" customFormat="1" x14ac:dyDescent="0.15"/>
    <row r="8746" customFormat="1" x14ac:dyDescent="0.15"/>
    <row r="8747" customFormat="1" x14ac:dyDescent="0.15"/>
    <row r="8748" customFormat="1" x14ac:dyDescent="0.15"/>
    <row r="8749" customFormat="1" x14ac:dyDescent="0.15"/>
    <row r="8750" customFormat="1" x14ac:dyDescent="0.15"/>
    <row r="8751" customFormat="1" x14ac:dyDescent="0.15"/>
    <row r="8752" customFormat="1" x14ac:dyDescent="0.15"/>
    <row r="8753" customFormat="1" x14ac:dyDescent="0.15"/>
    <row r="8754" customFormat="1" x14ac:dyDescent="0.15"/>
    <row r="8755" customFormat="1" x14ac:dyDescent="0.15"/>
    <row r="8756" customFormat="1" x14ac:dyDescent="0.15"/>
    <row r="8757" customFormat="1" x14ac:dyDescent="0.15"/>
    <row r="8758" customFormat="1" x14ac:dyDescent="0.15"/>
    <row r="8759" customFormat="1" x14ac:dyDescent="0.15"/>
    <row r="8760" customFormat="1" x14ac:dyDescent="0.15"/>
    <row r="8761" customFormat="1" x14ac:dyDescent="0.15"/>
    <row r="8762" customFormat="1" x14ac:dyDescent="0.15"/>
    <row r="8763" customFormat="1" x14ac:dyDescent="0.15"/>
    <row r="8764" customFormat="1" x14ac:dyDescent="0.15"/>
    <row r="8765" customFormat="1" x14ac:dyDescent="0.15"/>
    <row r="8766" customFormat="1" x14ac:dyDescent="0.15"/>
    <row r="8767" customFormat="1" x14ac:dyDescent="0.15"/>
    <row r="8768" customFormat="1" x14ac:dyDescent="0.15"/>
    <row r="8769" customFormat="1" x14ac:dyDescent="0.15"/>
    <row r="8770" customFormat="1" x14ac:dyDescent="0.15"/>
    <row r="8771" customFormat="1" x14ac:dyDescent="0.15"/>
    <row r="8772" customFormat="1" x14ac:dyDescent="0.15"/>
    <row r="8773" customFormat="1" x14ac:dyDescent="0.15"/>
    <row r="8774" customFormat="1" x14ac:dyDescent="0.15"/>
    <row r="8775" customFormat="1" x14ac:dyDescent="0.15"/>
    <row r="8776" customFormat="1" x14ac:dyDescent="0.15"/>
    <row r="8777" customFormat="1" x14ac:dyDescent="0.15"/>
    <row r="8778" customFormat="1" x14ac:dyDescent="0.15"/>
    <row r="8779" customFormat="1" x14ac:dyDescent="0.15"/>
    <row r="8780" customFormat="1" x14ac:dyDescent="0.15"/>
    <row r="8781" customFormat="1" x14ac:dyDescent="0.15"/>
    <row r="8782" customFormat="1" x14ac:dyDescent="0.15"/>
    <row r="8783" customFormat="1" x14ac:dyDescent="0.15"/>
    <row r="8784" customFormat="1" x14ac:dyDescent="0.15"/>
    <row r="8785" customFormat="1" x14ac:dyDescent="0.15"/>
    <row r="8786" customFormat="1" x14ac:dyDescent="0.15"/>
    <row r="8787" customFormat="1" x14ac:dyDescent="0.15"/>
    <row r="8788" customFormat="1" x14ac:dyDescent="0.15"/>
    <row r="8789" customFormat="1" x14ac:dyDescent="0.15"/>
    <row r="8790" customFormat="1" x14ac:dyDescent="0.15"/>
    <row r="8791" customFormat="1" x14ac:dyDescent="0.15"/>
    <row r="8792" customFormat="1" x14ac:dyDescent="0.15"/>
    <row r="8793" customFormat="1" x14ac:dyDescent="0.15"/>
    <row r="8794" customFormat="1" x14ac:dyDescent="0.15"/>
    <row r="8795" customFormat="1" x14ac:dyDescent="0.15"/>
    <row r="8796" customFormat="1" x14ac:dyDescent="0.15"/>
    <row r="8797" customFormat="1" x14ac:dyDescent="0.15"/>
    <row r="8798" customFormat="1" x14ac:dyDescent="0.15"/>
    <row r="8799" customFormat="1" x14ac:dyDescent="0.15"/>
    <row r="8800" customFormat="1" x14ac:dyDescent="0.15"/>
    <row r="8801" customFormat="1" x14ac:dyDescent="0.15"/>
    <row r="8802" customFormat="1" x14ac:dyDescent="0.15"/>
    <row r="8803" customFormat="1" x14ac:dyDescent="0.15"/>
    <row r="8804" customFormat="1" x14ac:dyDescent="0.15"/>
    <row r="8805" customFormat="1" x14ac:dyDescent="0.15"/>
    <row r="8806" customFormat="1" x14ac:dyDescent="0.15"/>
    <row r="8807" customFormat="1" x14ac:dyDescent="0.15"/>
    <row r="8808" customFormat="1" x14ac:dyDescent="0.15"/>
    <row r="8809" customFormat="1" x14ac:dyDescent="0.15"/>
    <row r="8810" customFormat="1" x14ac:dyDescent="0.15"/>
    <row r="8811" customFormat="1" x14ac:dyDescent="0.15"/>
    <row r="8812" customFormat="1" x14ac:dyDescent="0.15"/>
    <row r="8813" customFormat="1" x14ac:dyDescent="0.15"/>
    <row r="8814" customFormat="1" x14ac:dyDescent="0.15"/>
    <row r="8815" customFormat="1" x14ac:dyDescent="0.15"/>
    <row r="8816" customFormat="1" x14ac:dyDescent="0.15"/>
    <row r="8817" customFormat="1" x14ac:dyDescent="0.15"/>
    <row r="8818" customFormat="1" x14ac:dyDescent="0.15"/>
    <row r="8819" customFormat="1" x14ac:dyDescent="0.15"/>
    <row r="8820" customFormat="1" x14ac:dyDescent="0.15"/>
    <row r="8821" customFormat="1" x14ac:dyDescent="0.15"/>
    <row r="8822" customFormat="1" x14ac:dyDescent="0.15"/>
    <row r="8823" customFormat="1" x14ac:dyDescent="0.15"/>
    <row r="8824" customFormat="1" x14ac:dyDescent="0.15"/>
    <row r="8825" customFormat="1" x14ac:dyDescent="0.15"/>
    <row r="8826" customFormat="1" x14ac:dyDescent="0.15"/>
    <row r="8827" customFormat="1" x14ac:dyDescent="0.15"/>
    <row r="8828" customFormat="1" x14ac:dyDescent="0.15"/>
    <row r="8829" customFormat="1" x14ac:dyDescent="0.15"/>
    <row r="8830" customFormat="1" x14ac:dyDescent="0.15"/>
    <row r="8831" customFormat="1" x14ac:dyDescent="0.15"/>
    <row r="8832" customFormat="1" x14ac:dyDescent="0.15"/>
    <row r="8833" customFormat="1" x14ac:dyDescent="0.15"/>
    <row r="8834" customFormat="1" x14ac:dyDescent="0.15"/>
    <row r="8835" customFormat="1" x14ac:dyDescent="0.15"/>
    <row r="8836" customFormat="1" x14ac:dyDescent="0.15"/>
    <row r="8837" customFormat="1" x14ac:dyDescent="0.15"/>
    <row r="8838" customFormat="1" x14ac:dyDescent="0.15"/>
    <row r="8839" customFormat="1" x14ac:dyDescent="0.15"/>
    <row r="8840" customFormat="1" x14ac:dyDescent="0.15"/>
    <row r="8841" customFormat="1" x14ac:dyDescent="0.15"/>
    <row r="8842" customFormat="1" x14ac:dyDescent="0.15"/>
    <row r="8843" customFormat="1" x14ac:dyDescent="0.15"/>
    <row r="8844" customFormat="1" x14ac:dyDescent="0.15"/>
    <row r="8845" customFormat="1" x14ac:dyDescent="0.15"/>
    <row r="8846" customFormat="1" x14ac:dyDescent="0.15"/>
    <row r="8847" customFormat="1" x14ac:dyDescent="0.15"/>
    <row r="8848" customFormat="1" x14ac:dyDescent="0.15"/>
    <row r="8849" customFormat="1" x14ac:dyDescent="0.15"/>
    <row r="8850" customFormat="1" x14ac:dyDescent="0.15"/>
    <row r="8851" customFormat="1" x14ac:dyDescent="0.15"/>
    <row r="8852" customFormat="1" x14ac:dyDescent="0.15"/>
    <row r="8853" customFormat="1" x14ac:dyDescent="0.15"/>
    <row r="8854" customFormat="1" x14ac:dyDescent="0.15"/>
    <row r="8855" customFormat="1" x14ac:dyDescent="0.15"/>
    <row r="8856" customFormat="1" x14ac:dyDescent="0.15"/>
    <row r="8857" customFormat="1" x14ac:dyDescent="0.15"/>
    <row r="8858" customFormat="1" x14ac:dyDescent="0.15"/>
    <row r="8859" customFormat="1" x14ac:dyDescent="0.15"/>
    <row r="8860" customFormat="1" x14ac:dyDescent="0.15"/>
    <row r="8861" customFormat="1" x14ac:dyDescent="0.15"/>
    <row r="8862" customFormat="1" x14ac:dyDescent="0.15"/>
    <row r="8863" customFormat="1" x14ac:dyDescent="0.15"/>
    <row r="8864" customFormat="1" x14ac:dyDescent="0.15"/>
    <row r="8865" customFormat="1" x14ac:dyDescent="0.15"/>
    <row r="8866" customFormat="1" x14ac:dyDescent="0.15"/>
    <row r="8867" customFormat="1" x14ac:dyDescent="0.15"/>
    <row r="8868" customFormat="1" x14ac:dyDescent="0.15"/>
    <row r="8869" customFormat="1" x14ac:dyDescent="0.15"/>
    <row r="8870" customFormat="1" x14ac:dyDescent="0.15"/>
    <row r="8871" customFormat="1" x14ac:dyDescent="0.15"/>
    <row r="8872" customFormat="1" x14ac:dyDescent="0.15"/>
    <row r="8873" customFormat="1" x14ac:dyDescent="0.15"/>
    <row r="8874" customFormat="1" x14ac:dyDescent="0.15"/>
    <row r="8875" customFormat="1" x14ac:dyDescent="0.15"/>
    <row r="8876" customFormat="1" x14ac:dyDescent="0.15"/>
    <row r="8877" customFormat="1" x14ac:dyDescent="0.15"/>
    <row r="8878" customFormat="1" x14ac:dyDescent="0.15"/>
    <row r="8879" customFormat="1" x14ac:dyDescent="0.15"/>
    <row r="8880" customFormat="1" x14ac:dyDescent="0.15"/>
    <row r="8881" customFormat="1" x14ac:dyDescent="0.15"/>
    <row r="8882" customFormat="1" x14ac:dyDescent="0.15"/>
    <row r="8883" customFormat="1" x14ac:dyDescent="0.15"/>
    <row r="8884" customFormat="1" x14ac:dyDescent="0.15"/>
    <row r="8885" customFormat="1" x14ac:dyDescent="0.15"/>
    <row r="8886" customFormat="1" x14ac:dyDescent="0.15"/>
    <row r="8887" customFormat="1" x14ac:dyDescent="0.15"/>
    <row r="8888" customFormat="1" x14ac:dyDescent="0.15"/>
    <row r="8889" customFormat="1" x14ac:dyDescent="0.15"/>
    <row r="8890" customFormat="1" x14ac:dyDescent="0.15"/>
    <row r="8891" customFormat="1" x14ac:dyDescent="0.15"/>
    <row r="8892" customFormat="1" x14ac:dyDescent="0.15"/>
    <row r="8893" customFormat="1" x14ac:dyDescent="0.15"/>
    <row r="8894" customFormat="1" x14ac:dyDescent="0.15"/>
    <row r="8895" customFormat="1" x14ac:dyDescent="0.15"/>
    <row r="8896" customFormat="1" x14ac:dyDescent="0.15"/>
    <row r="8897" customFormat="1" x14ac:dyDescent="0.15"/>
    <row r="8898" customFormat="1" x14ac:dyDescent="0.15"/>
    <row r="8899" customFormat="1" x14ac:dyDescent="0.15"/>
    <row r="8900" customFormat="1" x14ac:dyDescent="0.15"/>
    <row r="8901" customFormat="1" x14ac:dyDescent="0.15"/>
    <row r="8902" customFormat="1" x14ac:dyDescent="0.15"/>
    <row r="8903" customFormat="1" x14ac:dyDescent="0.15"/>
    <row r="8904" customFormat="1" x14ac:dyDescent="0.15"/>
    <row r="8905" customFormat="1" x14ac:dyDescent="0.15"/>
    <row r="8906" customFormat="1" x14ac:dyDescent="0.15"/>
    <row r="8907" customFormat="1" x14ac:dyDescent="0.15"/>
    <row r="8908" customFormat="1" x14ac:dyDescent="0.15"/>
    <row r="8909" customFormat="1" x14ac:dyDescent="0.15"/>
    <row r="8910" customFormat="1" x14ac:dyDescent="0.15"/>
    <row r="8911" customFormat="1" x14ac:dyDescent="0.15"/>
    <row r="8912" customFormat="1" x14ac:dyDescent="0.15"/>
    <row r="8913" customFormat="1" x14ac:dyDescent="0.15"/>
    <row r="8914" customFormat="1" x14ac:dyDescent="0.15"/>
    <row r="8915" customFormat="1" x14ac:dyDescent="0.15"/>
    <row r="8916" customFormat="1" x14ac:dyDescent="0.15"/>
    <row r="8917" customFormat="1" x14ac:dyDescent="0.15"/>
    <row r="8918" customFormat="1" x14ac:dyDescent="0.15"/>
    <row r="8919" customFormat="1" x14ac:dyDescent="0.15"/>
    <row r="8920" customFormat="1" x14ac:dyDescent="0.15"/>
    <row r="8921" customFormat="1" x14ac:dyDescent="0.15"/>
    <row r="8922" customFormat="1" x14ac:dyDescent="0.15"/>
    <row r="8923" customFormat="1" x14ac:dyDescent="0.15"/>
    <row r="8924" customFormat="1" x14ac:dyDescent="0.15"/>
    <row r="8925" customFormat="1" x14ac:dyDescent="0.15"/>
    <row r="8926" customFormat="1" x14ac:dyDescent="0.15"/>
    <row r="8927" customFormat="1" x14ac:dyDescent="0.15"/>
    <row r="8928" customFormat="1" x14ac:dyDescent="0.15"/>
    <row r="8929" customFormat="1" x14ac:dyDescent="0.15"/>
    <row r="8930" customFormat="1" x14ac:dyDescent="0.15"/>
    <row r="8931" customFormat="1" x14ac:dyDescent="0.15"/>
    <row r="8932" customFormat="1" x14ac:dyDescent="0.15"/>
    <row r="8933" customFormat="1" x14ac:dyDescent="0.15"/>
    <row r="8934" customFormat="1" x14ac:dyDescent="0.15"/>
    <row r="8935" customFormat="1" x14ac:dyDescent="0.15"/>
    <row r="8936" customFormat="1" x14ac:dyDescent="0.15"/>
    <row r="8937" customFormat="1" x14ac:dyDescent="0.15"/>
    <row r="8938" customFormat="1" x14ac:dyDescent="0.15"/>
    <row r="8939" customFormat="1" x14ac:dyDescent="0.15"/>
    <row r="8940" customFormat="1" x14ac:dyDescent="0.15"/>
    <row r="8941" customFormat="1" x14ac:dyDescent="0.15"/>
    <row r="8942" customFormat="1" x14ac:dyDescent="0.15"/>
    <row r="8943" customFormat="1" x14ac:dyDescent="0.15"/>
    <row r="8944" customFormat="1" x14ac:dyDescent="0.15"/>
    <row r="8945" customFormat="1" x14ac:dyDescent="0.15"/>
    <row r="8946" customFormat="1" x14ac:dyDescent="0.15"/>
    <row r="8947" customFormat="1" x14ac:dyDescent="0.15"/>
    <row r="8948" customFormat="1" x14ac:dyDescent="0.15"/>
    <row r="8949" customFormat="1" x14ac:dyDescent="0.15"/>
    <row r="8950" customFormat="1" x14ac:dyDescent="0.15"/>
    <row r="8951" customFormat="1" x14ac:dyDescent="0.15"/>
    <row r="8952" customFormat="1" x14ac:dyDescent="0.15"/>
    <row r="8953" customFormat="1" x14ac:dyDescent="0.15"/>
    <row r="8954" customFormat="1" x14ac:dyDescent="0.15"/>
    <row r="8955" customFormat="1" x14ac:dyDescent="0.15"/>
    <row r="8956" customFormat="1" x14ac:dyDescent="0.15"/>
    <row r="8957" customFormat="1" x14ac:dyDescent="0.15"/>
    <row r="8958" customFormat="1" x14ac:dyDescent="0.15"/>
    <row r="8959" customFormat="1" x14ac:dyDescent="0.15"/>
    <row r="8960" customFormat="1" x14ac:dyDescent="0.15"/>
    <row r="8961" customFormat="1" x14ac:dyDescent="0.15"/>
    <row r="8962" customFormat="1" x14ac:dyDescent="0.15"/>
    <row r="8963" customFormat="1" x14ac:dyDescent="0.15"/>
    <row r="8964" customFormat="1" x14ac:dyDescent="0.15"/>
    <row r="8965" customFormat="1" x14ac:dyDescent="0.15"/>
    <row r="8966" customFormat="1" x14ac:dyDescent="0.15"/>
    <row r="8967" customFormat="1" x14ac:dyDescent="0.15"/>
    <row r="8968" customFormat="1" x14ac:dyDescent="0.15"/>
    <row r="8969" customFormat="1" x14ac:dyDescent="0.15"/>
    <row r="8970" customFormat="1" x14ac:dyDescent="0.15"/>
    <row r="8971" customFormat="1" x14ac:dyDescent="0.15"/>
    <row r="8972" customFormat="1" x14ac:dyDescent="0.15"/>
    <row r="8973" customFormat="1" x14ac:dyDescent="0.15"/>
    <row r="8974" customFormat="1" x14ac:dyDescent="0.15"/>
    <row r="8975" customFormat="1" x14ac:dyDescent="0.15"/>
    <row r="8976" customFormat="1" x14ac:dyDescent="0.15"/>
    <row r="8977" customFormat="1" x14ac:dyDescent="0.15"/>
    <row r="8978" customFormat="1" x14ac:dyDescent="0.15"/>
    <row r="8979" customFormat="1" x14ac:dyDescent="0.15"/>
    <row r="8980" customFormat="1" x14ac:dyDescent="0.15"/>
    <row r="8981" customFormat="1" x14ac:dyDescent="0.15"/>
    <row r="8982" customFormat="1" x14ac:dyDescent="0.15"/>
    <row r="8983" customFormat="1" x14ac:dyDescent="0.15"/>
    <row r="8984" customFormat="1" x14ac:dyDescent="0.15"/>
    <row r="8985" customFormat="1" x14ac:dyDescent="0.15"/>
    <row r="8986" customFormat="1" x14ac:dyDescent="0.15"/>
    <row r="8987" customFormat="1" x14ac:dyDescent="0.15"/>
    <row r="8988" customFormat="1" x14ac:dyDescent="0.15"/>
    <row r="8989" customFormat="1" x14ac:dyDescent="0.15"/>
    <row r="8990" customFormat="1" x14ac:dyDescent="0.15"/>
    <row r="8991" customFormat="1" x14ac:dyDescent="0.15"/>
    <row r="8992" customFormat="1" x14ac:dyDescent="0.15"/>
    <row r="8993" customFormat="1" x14ac:dyDescent="0.15"/>
    <row r="8994" customFormat="1" x14ac:dyDescent="0.15"/>
    <row r="8995" customFormat="1" x14ac:dyDescent="0.15"/>
    <row r="8996" customFormat="1" x14ac:dyDescent="0.15"/>
    <row r="8997" customFormat="1" x14ac:dyDescent="0.15"/>
    <row r="8998" customFormat="1" x14ac:dyDescent="0.15"/>
    <row r="8999" customFormat="1" x14ac:dyDescent="0.15"/>
    <row r="9000" customFormat="1" x14ac:dyDescent="0.15"/>
    <row r="9001" customFormat="1" x14ac:dyDescent="0.15"/>
    <row r="9002" customFormat="1" x14ac:dyDescent="0.15"/>
    <row r="9003" customFormat="1" x14ac:dyDescent="0.15"/>
    <row r="9004" customFormat="1" x14ac:dyDescent="0.15"/>
    <row r="9005" customFormat="1" x14ac:dyDescent="0.15"/>
    <row r="9006" customFormat="1" x14ac:dyDescent="0.15"/>
    <row r="9007" customFormat="1" x14ac:dyDescent="0.15"/>
    <row r="9008" customFormat="1" x14ac:dyDescent="0.15"/>
    <row r="9009" customFormat="1" x14ac:dyDescent="0.15"/>
    <row r="9010" customFormat="1" x14ac:dyDescent="0.15"/>
    <row r="9011" customFormat="1" x14ac:dyDescent="0.15"/>
    <row r="9012" customFormat="1" x14ac:dyDescent="0.15"/>
    <row r="9013" customFormat="1" x14ac:dyDescent="0.15"/>
    <row r="9014" customFormat="1" x14ac:dyDescent="0.15"/>
    <row r="9015" customFormat="1" x14ac:dyDescent="0.15"/>
    <row r="9016" customFormat="1" x14ac:dyDescent="0.15"/>
    <row r="9017" customFormat="1" x14ac:dyDescent="0.15"/>
    <row r="9018" customFormat="1" x14ac:dyDescent="0.15"/>
    <row r="9019" customFormat="1" x14ac:dyDescent="0.15"/>
    <row r="9020" customFormat="1" x14ac:dyDescent="0.15"/>
    <row r="9021" customFormat="1" x14ac:dyDescent="0.15"/>
    <row r="9022" customFormat="1" x14ac:dyDescent="0.15"/>
    <row r="9023" customFormat="1" x14ac:dyDescent="0.15"/>
    <row r="9024" customFormat="1" x14ac:dyDescent="0.15"/>
    <row r="9025" customFormat="1" x14ac:dyDescent="0.15"/>
    <row r="9026" customFormat="1" x14ac:dyDescent="0.15"/>
    <row r="9027" customFormat="1" x14ac:dyDescent="0.15"/>
    <row r="9028" customFormat="1" x14ac:dyDescent="0.15"/>
    <row r="9029" customFormat="1" x14ac:dyDescent="0.15"/>
    <row r="9030" customFormat="1" x14ac:dyDescent="0.15"/>
    <row r="9031" customFormat="1" x14ac:dyDescent="0.15"/>
    <row r="9032" customFormat="1" x14ac:dyDescent="0.15"/>
    <row r="9033" customFormat="1" x14ac:dyDescent="0.15"/>
    <row r="9034" customFormat="1" x14ac:dyDescent="0.15"/>
    <row r="9035" customFormat="1" x14ac:dyDescent="0.15"/>
    <row r="9036" customFormat="1" x14ac:dyDescent="0.15"/>
    <row r="9037" customFormat="1" x14ac:dyDescent="0.15"/>
    <row r="9038" customFormat="1" x14ac:dyDescent="0.15"/>
    <row r="9039" customFormat="1" x14ac:dyDescent="0.15"/>
    <row r="9040" customFormat="1" x14ac:dyDescent="0.15"/>
    <row r="9041" customFormat="1" x14ac:dyDescent="0.15"/>
    <row r="9042" customFormat="1" x14ac:dyDescent="0.15"/>
    <row r="9043" customFormat="1" x14ac:dyDescent="0.15"/>
    <row r="9044" customFormat="1" x14ac:dyDescent="0.15"/>
    <row r="9045" customFormat="1" x14ac:dyDescent="0.15"/>
    <row r="9046" customFormat="1" x14ac:dyDescent="0.15"/>
    <row r="9047" customFormat="1" x14ac:dyDescent="0.15"/>
    <row r="9048" customFormat="1" x14ac:dyDescent="0.15"/>
    <row r="9049" customFormat="1" x14ac:dyDescent="0.15"/>
    <row r="9050" customFormat="1" x14ac:dyDescent="0.15"/>
    <row r="9051" customFormat="1" x14ac:dyDescent="0.15"/>
    <row r="9052" customFormat="1" x14ac:dyDescent="0.15"/>
    <row r="9053" customFormat="1" x14ac:dyDescent="0.15"/>
    <row r="9054" customFormat="1" x14ac:dyDescent="0.15"/>
    <row r="9055" customFormat="1" x14ac:dyDescent="0.15"/>
    <row r="9056" customFormat="1" x14ac:dyDescent="0.15"/>
    <row r="9057" customFormat="1" x14ac:dyDescent="0.15"/>
    <row r="9058" customFormat="1" x14ac:dyDescent="0.15"/>
    <row r="9059" customFormat="1" x14ac:dyDescent="0.15"/>
    <row r="9060" customFormat="1" x14ac:dyDescent="0.15"/>
    <row r="9061" customFormat="1" x14ac:dyDescent="0.15"/>
    <row r="9062" customFormat="1" x14ac:dyDescent="0.15"/>
    <row r="9063" customFormat="1" x14ac:dyDescent="0.15"/>
    <row r="9064" customFormat="1" x14ac:dyDescent="0.15"/>
    <row r="9065" customFormat="1" x14ac:dyDescent="0.15"/>
    <row r="9066" customFormat="1" x14ac:dyDescent="0.15"/>
    <row r="9067" customFormat="1" x14ac:dyDescent="0.15"/>
    <row r="9068" customFormat="1" x14ac:dyDescent="0.15"/>
    <row r="9069" customFormat="1" x14ac:dyDescent="0.15"/>
    <row r="9070" customFormat="1" x14ac:dyDescent="0.15"/>
    <row r="9071" customFormat="1" x14ac:dyDescent="0.15"/>
    <row r="9072" customFormat="1" x14ac:dyDescent="0.15"/>
    <row r="9073" customFormat="1" x14ac:dyDescent="0.15"/>
    <row r="9074" customFormat="1" x14ac:dyDescent="0.15"/>
    <row r="9075" customFormat="1" x14ac:dyDescent="0.15"/>
    <row r="9076" customFormat="1" x14ac:dyDescent="0.15"/>
    <row r="9077" customFormat="1" x14ac:dyDescent="0.15"/>
    <row r="9078" customFormat="1" x14ac:dyDescent="0.15"/>
    <row r="9079" customFormat="1" x14ac:dyDescent="0.15"/>
    <row r="9080" customFormat="1" x14ac:dyDescent="0.15"/>
    <row r="9081" customFormat="1" x14ac:dyDescent="0.15"/>
    <row r="9082" customFormat="1" x14ac:dyDescent="0.15"/>
    <row r="9083" customFormat="1" x14ac:dyDescent="0.15"/>
    <row r="9084" customFormat="1" x14ac:dyDescent="0.15"/>
    <row r="9085" customFormat="1" x14ac:dyDescent="0.15"/>
    <row r="9086" customFormat="1" x14ac:dyDescent="0.15"/>
    <row r="9087" customFormat="1" x14ac:dyDescent="0.15"/>
    <row r="9088" customFormat="1" x14ac:dyDescent="0.15"/>
    <row r="9089" customFormat="1" x14ac:dyDescent="0.15"/>
    <row r="9090" customFormat="1" x14ac:dyDescent="0.15"/>
    <row r="9091" customFormat="1" x14ac:dyDescent="0.15"/>
    <row r="9092" customFormat="1" x14ac:dyDescent="0.15"/>
    <row r="9093" customFormat="1" x14ac:dyDescent="0.15"/>
    <row r="9094" customFormat="1" x14ac:dyDescent="0.15"/>
    <row r="9095" customFormat="1" x14ac:dyDescent="0.15"/>
    <row r="9096" customFormat="1" x14ac:dyDescent="0.15"/>
    <row r="9097" customFormat="1" x14ac:dyDescent="0.15"/>
    <row r="9098" customFormat="1" x14ac:dyDescent="0.15"/>
    <row r="9099" customFormat="1" x14ac:dyDescent="0.15"/>
    <row r="9100" customFormat="1" x14ac:dyDescent="0.15"/>
    <row r="9101" customFormat="1" x14ac:dyDescent="0.15"/>
    <row r="9102" customFormat="1" x14ac:dyDescent="0.15"/>
    <row r="9103" customFormat="1" x14ac:dyDescent="0.15"/>
    <row r="9104" customFormat="1" x14ac:dyDescent="0.15"/>
    <row r="9105" customFormat="1" x14ac:dyDescent="0.15"/>
    <row r="9106" customFormat="1" x14ac:dyDescent="0.15"/>
    <row r="9107" customFormat="1" x14ac:dyDescent="0.15"/>
    <row r="9108" customFormat="1" x14ac:dyDescent="0.15"/>
    <row r="9109" customFormat="1" x14ac:dyDescent="0.15"/>
    <row r="9110" customFormat="1" x14ac:dyDescent="0.15"/>
    <row r="9111" customFormat="1" x14ac:dyDescent="0.15"/>
    <row r="9112" customFormat="1" x14ac:dyDescent="0.15"/>
    <row r="9113" customFormat="1" x14ac:dyDescent="0.15"/>
    <row r="9114" customFormat="1" x14ac:dyDescent="0.15"/>
    <row r="9115" customFormat="1" x14ac:dyDescent="0.15"/>
    <row r="9116" customFormat="1" x14ac:dyDescent="0.15"/>
    <row r="9117" customFormat="1" x14ac:dyDescent="0.15"/>
    <row r="9118" customFormat="1" x14ac:dyDescent="0.15"/>
    <row r="9119" customFormat="1" x14ac:dyDescent="0.15"/>
    <row r="9120" customFormat="1" x14ac:dyDescent="0.15"/>
    <row r="9121" customFormat="1" x14ac:dyDescent="0.15"/>
    <row r="9122" customFormat="1" x14ac:dyDescent="0.15"/>
    <row r="9123" customFormat="1" x14ac:dyDescent="0.15"/>
    <row r="9124" customFormat="1" x14ac:dyDescent="0.15"/>
    <row r="9125" customFormat="1" x14ac:dyDescent="0.15"/>
    <row r="9126" customFormat="1" x14ac:dyDescent="0.15"/>
    <row r="9127" customFormat="1" x14ac:dyDescent="0.15"/>
    <row r="9128" customFormat="1" x14ac:dyDescent="0.15"/>
    <row r="9129" customFormat="1" x14ac:dyDescent="0.15"/>
    <row r="9130" customFormat="1" x14ac:dyDescent="0.15"/>
    <row r="9131" customFormat="1" x14ac:dyDescent="0.15"/>
    <row r="9132" customFormat="1" x14ac:dyDescent="0.15"/>
    <row r="9133" customFormat="1" x14ac:dyDescent="0.15"/>
    <row r="9134" customFormat="1" x14ac:dyDescent="0.15"/>
    <row r="9135" customFormat="1" x14ac:dyDescent="0.15"/>
    <row r="9136" customFormat="1" x14ac:dyDescent="0.15"/>
    <row r="9137" customFormat="1" x14ac:dyDescent="0.15"/>
    <row r="9138" customFormat="1" x14ac:dyDescent="0.15"/>
    <row r="9139" customFormat="1" x14ac:dyDescent="0.15"/>
    <row r="9140" customFormat="1" x14ac:dyDescent="0.15"/>
    <row r="9141" customFormat="1" x14ac:dyDescent="0.15"/>
    <row r="9142" customFormat="1" x14ac:dyDescent="0.15"/>
    <row r="9143" customFormat="1" x14ac:dyDescent="0.15"/>
    <row r="9144" customFormat="1" x14ac:dyDescent="0.15"/>
    <row r="9145" customFormat="1" x14ac:dyDescent="0.15"/>
    <row r="9146" customFormat="1" x14ac:dyDescent="0.15"/>
    <row r="9147" customFormat="1" x14ac:dyDescent="0.15"/>
    <row r="9148" customFormat="1" x14ac:dyDescent="0.15"/>
    <row r="9149" customFormat="1" x14ac:dyDescent="0.15"/>
    <row r="9150" customFormat="1" x14ac:dyDescent="0.15"/>
    <row r="9151" customFormat="1" x14ac:dyDescent="0.15"/>
    <row r="9152" customFormat="1" x14ac:dyDescent="0.15"/>
    <row r="9153" customFormat="1" x14ac:dyDescent="0.15"/>
    <row r="9154" customFormat="1" x14ac:dyDescent="0.15"/>
    <row r="9155" customFormat="1" x14ac:dyDescent="0.15"/>
    <row r="9156" customFormat="1" x14ac:dyDescent="0.15"/>
    <row r="9157" customFormat="1" x14ac:dyDescent="0.15"/>
    <row r="9158" customFormat="1" x14ac:dyDescent="0.15"/>
    <row r="9159" customFormat="1" x14ac:dyDescent="0.15"/>
    <row r="9160" customFormat="1" x14ac:dyDescent="0.15"/>
    <row r="9161" customFormat="1" x14ac:dyDescent="0.15"/>
    <row r="9162" customFormat="1" x14ac:dyDescent="0.15"/>
    <row r="9163" customFormat="1" x14ac:dyDescent="0.15"/>
    <row r="9164" customFormat="1" x14ac:dyDescent="0.15"/>
    <row r="9165" customFormat="1" x14ac:dyDescent="0.15"/>
    <row r="9166" customFormat="1" x14ac:dyDescent="0.15"/>
    <row r="9167" customFormat="1" x14ac:dyDescent="0.15"/>
    <row r="9168" customFormat="1" x14ac:dyDescent="0.15"/>
    <row r="9169" customFormat="1" x14ac:dyDescent="0.15"/>
    <row r="9170" customFormat="1" x14ac:dyDescent="0.15"/>
    <row r="9171" customFormat="1" x14ac:dyDescent="0.15"/>
    <row r="9172" customFormat="1" x14ac:dyDescent="0.15"/>
    <row r="9173" customFormat="1" x14ac:dyDescent="0.15"/>
    <row r="9174" customFormat="1" x14ac:dyDescent="0.15"/>
    <row r="9175" customFormat="1" x14ac:dyDescent="0.15"/>
    <row r="9176" customFormat="1" x14ac:dyDescent="0.15"/>
    <row r="9177" customFormat="1" x14ac:dyDescent="0.15"/>
    <row r="9178" customFormat="1" x14ac:dyDescent="0.15"/>
    <row r="9179" customFormat="1" x14ac:dyDescent="0.15"/>
    <row r="9180" customFormat="1" x14ac:dyDescent="0.15"/>
    <row r="9181" customFormat="1" x14ac:dyDescent="0.15"/>
    <row r="9182" customFormat="1" x14ac:dyDescent="0.15"/>
    <row r="9183" customFormat="1" x14ac:dyDescent="0.15"/>
    <row r="9184" customFormat="1" x14ac:dyDescent="0.15"/>
    <row r="9185" customFormat="1" x14ac:dyDescent="0.15"/>
    <row r="9186" customFormat="1" x14ac:dyDescent="0.15"/>
    <row r="9187" customFormat="1" x14ac:dyDescent="0.15"/>
    <row r="9188" customFormat="1" x14ac:dyDescent="0.15"/>
    <row r="9189" customFormat="1" x14ac:dyDescent="0.15"/>
    <row r="9190" customFormat="1" x14ac:dyDescent="0.15"/>
    <row r="9191" customFormat="1" x14ac:dyDescent="0.15"/>
    <row r="9192" customFormat="1" x14ac:dyDescent="0.15"/>
    <row r="9193" customFormat="1" x14ac:dyDescent="0.15"/>
    <row r="9194" customFormat="1" x14ac:dyDescent="0.15"/>
    <row r="9195" customFormat="1" x14ac:dyDescent="0.15"/>
    <row r="9196" customFormat="1" x14ac:dyDescent="0.15"/>
    <row r="9197" customFormat="1" x14ac:dyDescent="0.15"/>
    <row r="9198" customFormat="1" x14ac:dyDescent="0.15"/>
    <row r="9199" customFormat="1" x14ac:dyDescent="0.15"/>
    <row r="9200" customFormat="1" x14ac:dyDescent="0.15"/>
    <row r="9201" customFormat="1" x14ac:dyDescent="0.15"/>
    <row r="9202" customFormat="1" x14ac:dyDescent="0.15"/>
    <row r="9203" customFormat="1" x14ac:dyDescent="0.15"/>
    <row r="9204" customFormat="1" x14ac:dyDescent="0.15"/>
    <row r="9205" customFormat="1" x14ac:dyDescent="0.15"/>
    <row r="9206" customFormat="1" x14ac:dyDescent="0.15"/>
    <row r="9207" customFormat="1" x14ac:dyDescent="0.15"/>
    <row r="9208" customFormat="1" x14ac:dyDescent="0.15"/>
    <row r="9209" customFormat="1" x14ac:dyDescent="0.15"/>
    <row r="9210" customFormat="1" x14ac:dyDescent="0.15"/>
    <row r="9211" customFormat="1" x14ac:dyDescent="0.15"/>
    <row r="9212" customFormat="1" x14ac:dyDescent="0.15"/>
    <row r="9213" customFormat="1" x14ac:dyDescent="0.15"/>
    <row r="9214" customFormat="1" x14ac:dyDescent="0.15"/>
    <row r="9215" customFormat="1" x14ac:dyDescent="0.15"/>
    <row r="9216" customFormat="1" x14ac:dyDescent="0.15"/>
    <row r="9217" customFormat="1" x14ac:dyDescent="0.15"/>
    <row r="9218" customFormat="1" x14ac:dyDescent="0.15"/>
    <row r="9219" customFormat="1" x14ac:dyDescent="0.15"/>
    <row r="9220" customFormat="1" x14ac:dyDescent="0.15"/>
    <row r="9221" customFormat="1" x14ac:dyDescent="0.15"/>
    <row r="9222" customFormat="1" x14ac:dyDescent="0.15"/>
    <row r="9223" customFormat="1" x14ac:dyDescent="0.15"/>
    <row r="9224" customFormat="1" x14ac:dyDescent="0.15"/>
    <row r="9225" customFormat="1" x14ac:dyDescent="0.15"/>
    <row r="9226" customFormat="1" x14ac:dyDescent="0.15"/>
    <row r="9227" customFormat="1" x14ac:dyDescent="0.15"/>
    <row r="9228" customFormat="1" x14ac:dyDescent="0.15"/>
    <row r="9229" customFormat="1" x14ac:dyDescent="0.15"/>
    <row r="9230" customFormat="1" x14ac:dyDescent="0.15"/>
    <row r="9231" customFormat="1" x14ac:dyDescent="0.15"/>
    <row r="9232" customFormat="1" x14ac:dyDescent="0.15"/>
    <row r="9233" customFormat="1" x14ac:dyDescent="0.15"/>
    <row r="9234" customFormat="1" x14ac:dyDescent="0.15"/>
    <row r="9235" customFormat="1" x14ac:dyDescent="0.15"/>
    <row r="9236" customFormat="1" x14ac:dyDescent="0.15"/>
    <row r="9237" customFormat="1" x14ac:dyDescent="0.15"/>
    <row r="9238" customFormat="1" x14ac:dyDescent="0.15"/>
    <row r="9239" customFormat="1" x14ac:dyDescent="0.15"/>
    <row r="9240" customFormat="1" x14ac:dyDescent="0.15"/>
    <row r="9241" customFormat="1" x14ac:dyDescent="0.15"/>
    <row r="9242" customFormat="1" x14ac:dyDescent="0.15"/>
    <row r="9243" customFormat="1" x14ac:dyDescent="0.15"/>
    <row r="9244" customFormat="1" x14ac:dyDescent="0.15"/>
    <row r="9245" customFormat="1" x14ac:dyDescent="0.15"/>
    <row r="9246" customFormat="1" x14ac:dyDescent="0.15"/>
    <row r="9247" customFormat="1" x14ac:dyDescent="0.15"/>
    <row r="9248" customFormat="1" x14ac:dyDescent="0.15"/>
    <row r="9249" customFormat="1" x14ac:dyDescent="0.15"/>
    <row r="9250" customFormat="1" x14ac:dyDescent="0.15"/>
    <row r="9251" customFormat="1" x14ac:dyDescent="0.15"/>
    <row r="9252" customFormat="1" x14ac:dyDescent="0.15"/>
    <row r="9253" customFormat="1" x14ac:dyDescent="0.15"/>
    <row r="9254" customFormat="1" x14ac:dyDescent="0.15"/>
    <row r="9255" customFormat="1" x14ac:dyDescent="0.15"/>
    <row r="9256" customFormat="1" x14ac:dyDescent="0.15"/>
    <row r="9257" customFormat="1" x14ac:dyDescent="0.15"/>
    <row r="9258" customFormat="1" x14ac:dyDescent="0.15"/>
    <row r="9259" customFormat="1" x14ac:dyDescent="0.15"/>
    <row r="9260" customFormat="1" x14ac:dyDescent="0.15"/>
    <row r="9261" customFormat="1" x14ac:dyDescent="0.15"/>
    <row r="9262" customFormat="1" x14ac:dyDescent="0.15"/>
    <row r="9263" customFormat="1" x14ac:dyDescent="0.15"/>
    <row r="9264" customFormat="1" x14ac:dyDescent="0.15"/>
    <row r="9265" customFormat="1" x14ac:dyDescent="0.15"/>
    <row r="9266" customFormat="1" x14ac:dyDescent="0.15"/>
    <row r="9267" customFormat="1" x14ac:dyDescent="0.15"/>
    <row r="9268" customFormat="1" x14ac:dyDescent="0.15"/>
    <row r="9269" customFormat="1" x14ac:dyDescent="0.15"/>
    <row r="9270" customFormat="1" x14ac:dyDescent="0.15"/>
    <row r="9271" customFormat="1" x14ac:dyDescent="0.15"/>
    <row r="9272" customFormat="1" x14ac:dyDescent="0.15"/>
    <row r="9273" customFormat="1" x14ac:dyDescent="0.15"/>
    <row r="9274" customFormat="1" x14ac:dyDescent="0.15"/>
    <row r="9275" customFormat="1" x14ac:dyDescent="0.15"/>
    <row r="9276" customFormat="1" x14ac:dyDescent="0.15"/>
    <row r="9277" customFormat="1" x14ac:dyDescent="0.15"/>
    <row r="9278" customFormat="1" x14ac:dyDescent="0.15"/>
    <row r="9279" customFormat="1" x14ac:dyDescent="0.15"/>
    <row r="9280" customFormat="1" x14ac:dyDescent="0.15"/>
    <row r="9281" customFormat="1" x14ac:dyDescent="0.15"/>
    <row r="9282" customFormat="1" x14ac:dyDescent="0.15"/>
    <row r="9283" customFormat="1" x14ac:dyDescent="0.15"/>
    <row r="9284" customFormat="1" x14ac:dyDescent="0.15"/>
    <row r="9285" customFormat="1" x14ac:dyDescent="0.15"/>
    <row r="9286" customFormat="1" x14ac:dyDescent="0.15"/>
    <row r="9287" customFormat="1" x14ac:dyDescent="0.15"/>
    <row r="9288" customFormat="1" x14ac:dyDescent="0.15"/>
    <row r="9289" customFormat="1" x14ac:dyDescent="0.15"/>
    <row r="9290" customFormat="1" x14ac:dyDescent="0.15"/>
    <row r="9291" customFormat="1" x14ac:dyDescent="0.15"/>
    <row r="9292" customFormat="1" x14ac:dyDescent="0.15"/>
    <row r="9293" customFormat="1" x14ac:dyDescent="0.15"/>
    <row r="9294" customFormat="1" x14ac:dyDescent="0.15"/>
    <row r="9295" customFormat="1" x14ac:dyDescent="0.15"/>
    <row r="9296" customFormat="1" x14ac:dyDescent="0.15"/>
    <row r="9297" customFormat="1" x14ac:dyDescent="0.15"/>
    <row r="9298" customFormat="1" x14ac:dyDescent="0.15"/>
    <row r="9299" customFormat="1" x14ac:dyDescent="0.15"/>
    <row r="9300" customFormat="1" x14ac:dyDescent="0.15"/>
    <row r="9301" customFormat="1" x14ac:dyDescent="0.15"/>
    <row r="9302" customFormat="1" x14ac:dyDescent="0.15"/>
    <row r="9303" customFormat="1" x14ac:dyDescent="0.15"/>
    <row r="9304" customFormat="1" x14ac:dyDescent="0.15"/>
    <row r="9305" customFormat="1" x14ac:dyDescent="0.15"/>
    <row r="9306" customFormat="1" x14ac:dyDescent="0.15"/>
    <row r="9307" customFormat="1" x14ac:dyDescent="0.15"/>
    <row r="9308" customFormat="1" x14ac:dyDescent="0.15"/>
    <row r="9309" customFormat="1" x14ac:dyDescent="0.15"/>
    <row r="9310" customFormat="1" x14ac:dyDescent="0.15"/>
    <row r="9311" customFormat="1" x14ac:dyDescent="0.15"/>
    <row r="9312" customFormat="1" x14ac:dyDescent="0.15"/>
    <row r="9313" customFormat="1" x14ac:dyDescent="0.15"/>
    <row r="9314" customFormat="1" x14ac:dyDescent="0.15"/>
    <row r="9315" customFormat="1" x14ac:dyDescent="0.15"/>
    <row r="9316" customFormat="1" x14ac:dyDescent="0.15"/>
    <row r="9317" customFormat="1" x14ac:dyDescent="0.15"/>
    <row r="9318" customFormat="1" x14ac:dyDescent="0.15"/>
    <row r="9319" customFormat="1" x14ac:dyDescent="0.15"/>
    <row r="9320" customFormat="1" x14ac:dyDescent="0.15"/>
    <row r="9321" customFormat="1" x14ac:dyDescent="0.15"/>
    <row r="9322" customFormat="1" x14ac:dyDescent="0.15"/>
    <row r="9323" customFormat="1" x14ac:dyDescent="0.15"/>
    <row r="9324" customFormat="1" x14ac:dyDescent="0.15"/>
    <row r="9325" customFormat="1" x14ac:dyDescent="0.15"/>
    <row r="9326" customFormat="1" x14ac:dyDescent="0.15"/>
    <row r="9327" customFormat="1" x14ac:dyDescent="0.15"/>
    <row r="9328" customFormat="1" x14ac:dyDescent="0.15"/>
    <row r="9329" customFormat="1" x14ac:dyDescent="0.15"/>
    <row r="9330" customFormat="1" x14ac:dyDescent="0.15"/>
    <row r="9331" customFormat="1" x14ac:dyDescent="0.15"/>
    <row r="9332" customFormat="1" x14ac:dyDescent="0.15"/>
    <row r="9333" customFormat="1" x14ac:dyDescent="0.15"/>
    <row r="9334" customFormat="1" x14ac:dyDescent="0.15"/>
    <row r="9335" customFormat="1" x14ac:dyDescent="0.15"/>
    <row r="9336" customFormat="1" x14ac:dyDescent="0.15"/>
    <row r="9337" customFormat="1" x14ac:dyDescent="0.15"/>
    <row r="9338" customFormat="1" x14ac:dyDescent="0.15"/>
    <row r="9339" customFormat="1" x14ac:dyDescent="0.15"/>
    <row r="9340" customFormat="1" x14ac:dyDescent="0.15"/>
    <row r="9341" customFormat="1" x14ac:dyDescent="0.15"/>
    <row r="9342" customFormat="1" x14ac:dyDescent="0.15"/>
    <row r="9343" customFormat="1" x14ac:dyDescent="0.15"/>
    <row r="9344" customFormat="1" x14ac:dyDescent="0.15"/>
    <row r="9345" customFormat="1" x14ac:dyDescent="0.15"/>
    <row r="9346" customFormat="1" x14ac:dyDescent="0.15"/>
    <row r="9347" customFormat="1" x14ac:dyDescent="0.15"/>
    <row r="9348" customFormat="1" x14ac:dyDescent="0.15"/>
    <row r="9349" customFormat="1" x14ac:dyDescent="0.15"/>
    <row r="9350" customFormat="1" x14ac:dyDescent="0.15"/>
    <row r="9351" customFormat="1" x14ac:dyDescent="0.15"/>
    <row r="9352" customFormat="1" x14ac:dyDescent="0.15"/>
    <row r="9353" customFormat="1" x14ac:dyDescent="0.15"/>
    <row r="9354" customFormat="1" x14ac:dyDescent="0.15"/>
    <row r="9355" customFormat="1" x14ac:dyDescent="0.15"/>
    <row r="9356" customFormat="1" x14ac:dyDescent="0.15"/>
    <row r="9357" customFormat="1" x14ac:dyDescent="0.15"/>
    <row r="9358" customFormat="1" x14ac:dyDescent="0.15"/>
    <row r="9359" customFormat="1" x14ac:dyDescent="0.15"/>
    <row r="9360" customFormat="1" x14ac:dyDescent="0.15"/>
    <row r="9361" customFormat="1" x14ac:dyDescent="0.15"/>
    <row r="9362" customFormat="1" x14ac:dyDescent="0.15"/>
    <row r="9363" customFormat="1" x14ac:dyDescent="0.15"/>
    <row r="9364" customFormat="1" x14ac:dyDescent="0.15"/>
    <row r="9365" customFormat="1" x14ac:dyDescent="0.15"/>
    <row r="9366" customFormat="1" x14ac:dyDescent="0.15"/>
    <row r="9367" customFormat="1" x14ac:dyDescent="0.15"/>
    <row r="9368" customFormat="1" x14ac:dyDescent="0.15"/>
    <row r="9369" customFormat="1" x14ac:dyDescent="0.15"/>
    <row r="9370" customFormat="1" x14ac:dyDescent="0.15"/>
    <row r="9371" customFormat="1" x14ac:dyDescent="0.15"/>
    <row r="9372" customFormat="1" x14ac:dyDescent="0.15"/>
    <row r="9373" customFormat="1" x14ac:dyDescent="0.15"/>
    <row r="9374" customFormat="1" x14ac:dyDescent="0.15"/>
    <row r="9375" customFormat="1" x14ac:dyDescent="0.15"/>
    <row r="9376" customFormat="1" x14ac:dyDescent="0.15"/>
    <row r="9377" customFormat="1" x14ac:dyDescent="0.15"/>
    <row r="9378" customFormat="1" x14ac:dyDescent="0.15"/>
    <row r="9379" customFormat="1" x14ac:dyDescent="0.15"/>
    <row r="9380" customFormat="1" x14ac:dyDescent="0.15"/>
    <row r="9381" customFormat="1" x14ac:dyDescent="0.15"/>
    <row r="9382" customFormat="1" x14ac:dyDescent="0.15"/>
    <row r="9383" customFormat="1" x14ac:dyDescent="0.15"/>
    <row r="9384" customFormat="1" x14ac:dyDescent="0.15"/>
    <row r="9385" customFormat="1" x14ac:dyDescent="0.15"/>
    <row r="9386" customFormat="1" x14ac:dyDescent="0.15"/>
    <row r="9387" customFormat="1" x14ac:dyDescent="0.15"/>
    <row r="9388" customFormat="1" x14ac:dyDescent="0.15"/>
    <row r="9389" customFormat="1" x14ac:dyDescent="0.15"/>
    <row r="9390" customFormat="1" x14ac:dyDescent="0.15"/>
    <row r="9391" customFormat="1" x14ac:dyDescent="0.15"/>
    <row r="9392" customFormat="1" x14ac:dyDescent="0.15"/>
    <row r="9393" customFormat="1" x14ac:dyDescent="0.15"/>
    <row r="9394" customFormat="1" x14ac:dyDescent="0.15"/>
    <row r="9395" customFormat="1" x14ac:dyDescent="0.15"/>
    <row r="9396" customFormat="1" x14ac:dyDescent="0.15"/>
    <row r="9397" customFormat="1" x14ac:dyDescent="0.15"/>
    <row r="9398" customFormat="1" x14ac:dyDescent="0.15"/>
    <row r="9399" customFormat="1" x14ac:dyDescent="0.15"/>
    <row r="9400" customFormat="1" x14ac:dyDescent="0.15"/>
    <row r="9401" customFormat="1" x14ac:dyDescent="0.15"/>
    <row r="9402" customFormat="1" x14ac:dyDescent="0.15"/>
    <row r="9403" customFormat="1" x14ac:dyDescent="0.15"/>
    <row r="9404" customFormat="1" x14ac:dyDescent="0.15"/>
    <row r="9405" customFormat="1" x14ac:dyDescent="0.15"/>
    <row r="9406" customFormat="1" x14ac:dyDescent="0.15"/>
    <row r="9407" customFormat="1" x14ac:dyDescent="0.15"/>
    <row r="9408" customFormat="1" x14ac:dyDescent="0.15"/>
    <row r="9409" customFormat="1" x14ac:dyDescent="0.15"/>
    <row r="9410" customFormat="1" x14ac:dyDescent="0.15"/>
    <row r="9411" customFormat="1" x14ac:dyDescent="0.15"/>
    <row r="9412" customFormat="1" x14ac:dyDescent="0.15"/>
    <row r="9413" customFormat="1" x14ac:dyDescent="0.15"/>
    <row r="9414" customFormat="1" x14ac:dyDescent="0.15"/>
    <row r="9415" customFormat="1" x14ac:dyDescent="0.15"/>
    <row r="9416" customFormat="1" x14ac:dyDescent="0.15"/>
    <row r="9417" customFormat="1" x14ac:dyDescent="0.15"/>
    <row r="9418" customFormat="1" x14ac:dyDescent="0.15"/>
    <row r="9419" customFormat="1" x14ac:dyDescent="0.15"/>
    <row r="9420" customFormat="1" x14ac:dyDescent="0.15"/>
    <row r="9421" customFormat="1" x14ac:dyDescent="0.15"/>
    <row r="9422" customFormat="1" x14ac:dyDescent="0.15"/>
    <row r="9423" customFormat="1" x14ac:dyDescent="0.15"/>
    <row r="9424" customFormat="1" x14ac:dyDescent="0.15"/>
    <row r="9425" customFormat="1" x14ac:dyDescent="0.15"/>
    <row r="9426" customFormat="1" x14ac:dyDescent="0.15"/>
    <row r="9427" customFormat="1" x14ac:dyDescent="0.15"/>
    <row r="9428" customFormat="1" x14ac:dyDescent="0.15"/>
    <row r="9429" customFormat="1" x14ac:dyDescent="0.15"/>
    <row r="9430" customFormat="1" x14ac:dyDescent="0.15"/>
    <row r="9431" customFormat="1" x14ac:dyDescent="0.15"/>
    <row r="9432" customFormat="1" x14ac:dyDescent="0.15"/>
    <row r="9433" customFormat="1" x14ac:dyDescent="0.15"/>
    <row r="9434" customFormat="1" x14ac:dyDescent="0.15"/>
    <row r="9435" customFormat="1" x14ac:dyDescent="0.15"/>
    <row r="9436" customFormat="1" x14ac:dyDescent="0.15"/>
    <row r="9437" customFormat="1" x14ac:dyDescent="0.15"/>
    <row r="9438" customFormat="1" x14ac:dyDescent="0.15"/>
    <row r="9439" customFormat="1" x14ac:dyDescent="0.15"/>
    <row r="9440" customFormat="1" x14ac:dyDescent="0.15"/>
    <row r="9441" customFormat="1" x14ac:dyDescent="0.15"/>
    <row r="9442" customFormat="1" x14ac:dyDescent="0.15"/>
    <row r="9443" customFormat="1" x14ac:dyDescent="0.15"/>
    <row r="9444" customFormat="1" x14ac:dyDescent="0.15"/>
  </sheetData>
  <sheetProtection algorithmName="SHA-512" hashValue="B7k6R+ZXcxMvAC+/51ObEo+FO5I83GJhRT4DtvHRAewYwyynerLn6PkduB0XvG85yCd6VEGTeSUwzqJoqe80VA==" saltValue="y/+B5AfpHRCntXa6D8udug==" spinCount="100000" sheet="1" objects="1" scenarios="1"/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1:K21"/>
  <sheetViews>
    <sheetView zoomScale="150" workbookViewId="0">
      <selection activeCell="E14" sqref="E14:F1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42</v>
      </c>
    </row>
    <row r="2" spans="1:11" x14ac:dyDescent="0.15">
      <c r="A2" s="47"/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1" x14ac:dyDescent="0.15">
      <c r="A3" s="5" t="s">
        <v>101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278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126</v>
      </c>
      <c r="F6" s="15" t="s">
        <v>147</v>
      </c>
    </row>
    <row r="7" spans="1:11" x14ac:dyDescent="0.15">
      <c r="A7" s="20" t="s">
        <v>96</v>
      </c>
      <c r="D7" s="8"/>
      <c r="E7" s="18">
        <v>2</v>
      </c>
      <c r="F7" s="18">
        <v>0</v>
      </c>
    </row>
    <row r="8" spans="1:11" x14ac:dyDescent="0.15">
      <c r="A8" s="20" t="s">
        <v>37</v>
      </c>
      <c r="D8" s="8"/>
      <c r="E8" s="18">
        <v>4</v>
      </c>
      <c r="F8" s="18">
        <v>0</v>
      </c>
    </row>
    <row r="9" spans="1:11" x14ac:dyDescent="0.15">
      <c r="A9" s="16" t="s">
        <v>214</v>
      </c>
      <c r="B9" s="16"/>
      <c r="C9" s="16"/>
      <c r="D9" s="17"/>
      <c r="E9" s="16">
        <v>4000</v>
      </c>
      <c r="F9" s="16">
        <v>0</v>
      </c>
    </row>
    <row r="10" spans="1:11" x14ac:dyDescent="0.15">
      <c r="A10" t="s">
        <v>216</v>
      </c>
      <c r="D10" s="8"/>
      <c r="E10">
        <v>1.5466</v>
      </c>
      <c r="F10">
        <v>2.2780999999999998</v>
      </c>
    </row>
    <row r="11" spans="1:11" x14ac:dyDescent="0.15">
      <c r="A11" t="s">
        <v>180</v>
      </c>
      <c r="D11" s="8"/>
      <c r="E11">
        <v>1.7116</v>
      </c>
      <c r="F11">
        <v>0</v>
      </c>
    </row>
    <row r="12" spans="1:11" x14ac:dyDescent="0.15">
      <c r="A12" t="s">
        <v>63</v>
      </c>
      <c r="D12" s="8"/>
      <c r="E12">
        <v>1.4585999999999999</v>
      </c>
      <c r="F12">
        <v>0</v>
      </c>
    </row>
    <row r="13" spans="1:11" x14ac:dyDescent="0.15">
      <c r="A13" t="s">
        <v>273</v>
      </c>
      <c r="D13" s="8"/>
      <c r="E13">
        <v>1.5795999999999999</v>
      </c>
      <c r="F13">
        <v>0</v>
      </c>
    </row>
    <row r="14" spans="1:11" x14ac:dyDescent="0.15">
      <c r="A14" t="s">
        <v>55</v>
      </c>
      <c r="D14" s="8"/>
      <c r="E14">
        <v>46.673000000000002</v>
      </c>
      <c r="F14">
        <v>52.854999999999997</v>
      </c>
    </row>
    <row r="15" spans="1:11" x14ac:dyDescent="0.15">
      <c r="D15" s="8"/>
    </row>
    <row r="16" spans="1:11" x14ac:dyDescent="0.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x14ac:dyDescent="0.15">
      <c r="A17" s="14" t="s">
        <v>111</v>
      </c>
    </row>
    <row r="18" spans="1:11" x14ac:dyDescent="0.15">
      <c r="A18" s="19" t="s">
        <v>217</v>
      </c>
      <c r="B18" t="s">
        <v>172</v>
      </c>
    </row>
    <row r="19" spans="1:11" x14ac:dyDescent="0.15">
      <c r="A19" s="19" t="s">
        <v>87</v>
      </c>
      <c r="B19" t="s">
        <v>165</v>
      </c>
    </row>
    <row r="21" spans="1:11" x14ac:dyDescent="0.15">
      <c r="A21" s="47"/>
      <c r="B21" s="46"/>
      <c r="C21" s="46"/>
      <c r="D21" s="46"/>
      <c r="E21" s="46"/>
      <c r="F21" s="46"/>
      <c r="G21" s="46"/>
      <c r="H21" s="46"/>
      <c r="I21" s="46"/>
      <c r="J21" s="46"/>
      <c r="K21" s="46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/>
  <dimension ref="A1:K18"/>
  <sheetViews>
    <sheetView zoomScale="150" workbookViewId="0">
      <selection activeCell="E16" sqref="E1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3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5" t="s">
        <v>222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176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133</v>
      </c>
    </row>
    <row r="7" spans="1:11" x14ac:dyDescent="0.15">
      <c r="A7" t="s">
        <v>214</v>
      </c>
      <c r="D7" s="8"/>
      <c r="E7">
        <v>2500</v>
      </c>
    </row>
    <row r="8" spans="1:11" x14ac:dyDescent="0.15">
      <c r="A8" t="s">
        <v>119</v>
      </c>
      <c r="D8" s="8"/>
      <c r="E8">
        <v>5500</v>
      </c>
    </row>
    <row r="9" spans="1:11" x14ac:dyDescent="0.15">
      <c r="A9" t="s">
        <v>207</v>
      </c>
      <c r="D9" s="8"/>
      <c r="E9">
        <v>17000</v>
      </c>
    </row>
    <row r="10" spans="1:11" x14ac:dyDescent="0.15">
      <c r="A10" s="16" t="s">
        <v>57</v>
      </c>
      <c r="B10" s="16"/>
      <c r="C10" s="16"/>
      <c r="D10" s="17"/>
      <c r="E10" s="16">
        <v>167000</v>
      </c>
    </row>
    <row r="11" spans="1:11" x14ac:dyDescent="0.15">
      <c r="A11" t="s">
        <v>181</v>
      </c>
      <c r="D11" s="8"/>
      <c r="E11">
        <v>2.7401</v>
      </c>
    </row>
    <row r="12" spans="1:11" x14ac:dyDescent="0.15">
      <c r="A12" t="s">
        <v>182</v>
      </c>
      <c r="D12" s="8"/>
      <c r="E12">
        <v>1.6489</v>
      </c>
    </row>
    <row r="13" spans="1:11" x14ac:dyDescent="0.15">
      <c r="A13" t="s">
        <v>97</v>
      </c>
      <c r="D13" s="8"/>
      <c r="E13">
        <v>1.6257999999999999</v>
      </c>
    </row>
    <row r="14" spans="1:11" x14ac:dyDescent="0.15">
      <c r="A14" t="s">
        <v>117</v>
      </c>
      <c r="D14" s="8"/>
      <c r="E14">
        <v>1.6114999999999999</v>
      </c>
    </row>
    <row r="15" spans="1:11" x14ac:dyDescent="0.15">
      <c r="A15" t="s">
        <v>233</v>
      </c>
      <c r="D15" s="8"/>
      <c r="E15">
        <v>1.5224</v>
      </c>
    </row>
    <row r="16" spans="1:11" x14ac:dyDescent="0.15">
      <c r="A16" t="s">
        <v>55</v>
      </c>
      <c r="D16" s="8"/>
      <c r="E16">
        <v>47.497999999999998</v>
      </c>
    </row>
    <row r="17" spans="1:11" x14ac:dyDescent="0.15">
      <c r="D17" s="8"/>
    </row>
    <row r="18" spans="1:11" x14ac:dyDescent="0.1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/>
  <dimension ref="A1:K19"/>
  <sheetViews>
    <sheetView zoomScale="150" workbookViewId="0">
      <selection activeCell="E8" sqref="E8:J8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3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5" t="s">
        <v>113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176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56</v>
      </c>
      <c r="F6" s="19" t="s">
        <v>102</v>
      </c>
      <c r="G6" s="19" t="s">
        <v>173</v>
      </c>
      <c r="H6" s="19" t="s">
        <v>145</v>
      </c>
      <c r="I6" s="19" t="s">
        <v>131</v>
      </c>
      <c r="J6" s="19" t="s">
        <v>85</v>
      </c>
    </row>
    <row r="7" spans="1:11" x14ac:dyDescent="0.15">
      <c r="A7" t="s">
        <v>110</v>
      </c>
      <c r="D7" s="8"/>
      <c r="E7">
        <v>1.9510000000000001</v>
      </c>
      <c r="F7">
        <v>1.9430000000000001</v>
      </c>
      <c r="G7">
        <v>1.9430000000000001</v>
      </c>
      <c r="H7">
        <v>2.0470000000000002</v>
      </c>
      <c r="I7">
        <v>1.696</v>
      </c>
      <c r="J7">
        <v>3.0169999999999999</v>
      </c>
    </row>
    <row r="8" spans="1:11" x14ac:dyDescent="0.15">
      <c r="A8" t="s">
        <v>55</v>
      </c>
      <c r="D8" s="8"/>
      <c r="E8">
        <v>57.277000000000001</v>
      </c>
      <c r="F8">
        <v>61.402000000000001</v>
      </c>
      <c r="G8">
        <v>61.402000000000001</v>
      </c>
      <c r="H8">
        <v>66.682000000000002</v>
      </c>
      <c r="I8">
        <v>70.95</v>
      </c>
      <c r="J8">
        <v>50.720999999999997</v>
      </c>
    </row>
    <row r="9" spans="1:11" x14ac:dyDescent="0.15">
      <c r="D9" s="8"/>
    </row>
    <row r="10" spans="1:11" x14ac:dyDescent="0.1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x14ac:dyDescent="0.15">
      <c r="A11" s="14" t="s">
        <v>111</v>
      </c>
    </row>
    <row r="12" spans="1:11" x14ac:dyDescent="0.15">
      <c r="A12" s="19" t="s">
        <v>231</v>
      </c>
      <c r="B12" t="s">
        <v>232</v>
      </c>
    </row>
    <row r="13" spans="1:11" x14ac:dyDescent="0.15">
      <c r="A13" s="19" t="s">
        <v>112</v>
      </c>
      <c r="B13" t="s">
        <v>60</v>
      </c>
    </row>
    <row r="14" spans="1:11" x14ac:dyDescent="0.15">
      <c r="A14" s="19" t="s">
        <v>209</v>
      </c>
      <c r="B14" t="s">
        <v>61</v>
      </c>
    </row>
    <row r="15" spans="1:11" x14ac:dyDescent="0.15">
      <c r="A15" s="19" t="s">
        <v>210</v>
      </c>
      <c r="B15" t="s">
        <v>103</v>
      </c>
    </row>
    <row r="16" spans="1:11" x14ac:dyDescent="0.15">
      <c r="A16" s="19" t="s">
        <v>206</v>
      </c>
      <c r="B16" t="s">
        <v>89</v>
      </c>
    </row>
    <row r="17" spans="1:11" x14ac:dyDescent="0.15">
      <c r="A17" s="19" t="s">
        <v>230</v>
      </c>
      <c r="B17" t="s">
        <v>64</v>
      </c>
    </row>
    <row r="19" spans="1:11" x14ac:dyDescent="0.1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/>
  <dimension ref="A1:K18"/>
  <sheetViews>
    <sheetView zoomScale="150" workbookViewId="0">
      <selection activeCell="E10" sqref="E10:G1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3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5" t="s">
        <v>100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176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274</v>
      </c>
      <c r="F6" s="15" t="s">
        <v>11</v>
      </c>
      <c r="G6" s="15" t="s">
        <v>54</v>
      </c>
    </row>
    <row r="7" spans="1:11" x14ac:dyDescent="0.15">
      <c r="A7" s="16" t="s">
        <v>214</v>
      </c>
      <c r="B7" s="16"/>
      <c r="C7" s="16"/>
      <c r="D7" s="17"/>
      <c r="E7" s="16">
        <v>3615</v>
      </c>
      <c r="F7" s="16">
        <v>2960</v>
      </c>
      <c r="G7" s="16">
        <v>0</v>
      </c>
    </row>
    <row r="8" spans="1:11" x14ac:dyDescent="0.15">
      <c r="A8" t="s">
        <v>216</v>
      </c>
      <c r="D8" s="8"/>
      <c r="E8">
        <v>2.4552</v>
      </c>
      <c r="F8">
        <v>1.8491</v>
      </c>
      <c r="G8">
        <v>1.9855</v>
      </c>
    </row>
    <row r="9" spans="1:11" x14ac:dyDescent="0.15">
      <c r="A9" t="s">
        <v>180</v>
      </c>
      <c r="D9" s="8"/>
      <c r="E9">
        <v>1.8227</v>
      </c>
      <c r="F9">
        <v>1.8458000000000001</v>
      </c>
      <c r="G9">
        <v>0</v>
      </c>
    </row>
    <row r="10" spans="1:11" x14ac:dyDescent="0.15">
      <c r="A10" t="s">
        <v>55</v>
      </c>
      <c r="D10" s="8"/>
      <c r="E10">
        <v>43.350999999999999</v>
      </c>
      <c r="F10">
        <v>66.858000000000004</v>
      </c>
      <c r="G10">
        <v>56.98</v>
      </c>
    </row>
    <row r="11" spans="1:11" x14ac:dyDescent="0.15">
      <c r="D11" s="8"/>
    </row>
    <row r="12" spans="1:11" x14ac:dyDescent="0.1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</row>
    <row r="13" spans="1:11" x14ac:dyDescent="0.15">
      <c r="A13" s="14" t="s">
        <v>111</v>
      </c>
    </row>
    <row r="14" spans="1:11" x14ac:dyDescent="0.15">
      <c r="A14" s="19" t="s">
        <v>82</v>
      </c>
      <c r="B14" t="s">
        <v>105</v>
      </c>
    </row>
    <row r="15" spans="1:11" x14ac:dyDescent="0.15">
      <c r="A15" s="19" t="s">
        <v>190</v>
      </c>
      <c r="B15" t="s">
        <v>104</v>
      </c>
    </row>
    <row r="16" spans="1:11" x14ac:dyDescent="0.15">
      <c r="A16" s="19" t="s">
        <v>157</v>
      </c>
      <c r="B16" t="s">
        <v>3</v>
      </c>
    </row>
    <row r="18" spans="1:11" x14ac:dyDescent="0.1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/>
  <dimension ref="A1:K21"/>
  <sheetViews>
    <sheetView zoomScale="150" workbookViewId="0">
      <selection activeCell="E14" sqref="E14:F1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3"/>
      <c r="B2" s="4"/>
      <c r="C2" s="4"/>
      <c r="D2" s="4"/>
      <c r="E2" s="4"/>
      <c r="F2" s="4"/>
      <c r="G2" s="4"/>
      <c r="H2" s="4"/>
      <c r="I2" s="4"/>
      <c r="J2" s="4"/>
      <c r="K2" s="4"/>
    </row>
    <row r="3" spans="1:11" x14ac:dyDescent="0.15">
      <c r="A3" s="5" t="s">
        <v>101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176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138</v>
      </c>
      <c r="F6" s="15" t="s">
        <v>109</v>
      </c>
    </row>
    <row r="7" spans="1:11" x14ac:dyDescent="0.15">
      <c r="A7" s="20" t="s">
        <v>96</v>
      </c>
      <c r="D7" s="8"/>
      <c r="E7" s="18">
        <v>2</v>
      </c>
      <c r="F7" s="18">
        <v>0</v>
      </c>
    </row>
    <row r="8" spans="1:11" x14ac:dyDescent="0.15">
      <c r="A8" s="20" t="s">
        <v>37</v>
      </c>
      <c r="D8" s="8"/>
      <c r="E8" s="18">
        <v>4</v>
      </c>
      <c r="F8" s="18">
        <v>0</v>
      </c>
    </row>
    <row r="9" spans="1:11" x14ac:dyDescent="0.15">
      <c r="A9" s="16" t="s">
        <v>214</v>
      </c>
      <c r="B9" s="16"/>
      <c r="C9" s="16"/>
      <c r="D9" s="17"/>
      <c r="E9" s="16">
        <v>4000</v>
      </c>
      <c r="F9" s="16">
        <v>0</v>
      </c>
    </row>
    <row r="10" spans="1:11" x14ac:dyDescent="0.15">
      <c r="A10" t="s">
        <v>216</v>
      </c>
      <c r="D10" s="8"/>
      <c r="E10">
        <v>1.3222</v>
      </c>
      <c r="F10">
        <v>2.0394000000000001</v>
      </c>
    </row>
    <row r="11" spans="1:11" x14ac:dyDescent="0.15">
      <c r="A11" t="s">
        <v>180</v>
      </c>
      <c r="D11" s="8"/>
      <c r="E11">
        <v>1.4795</v>
      </c>
      <c r="F11">
        <v>0</v>
      </c>
    </row>
    <row r="12" spans="1:11" x14ac:dyDescent="0.15">
      <c r="A12" t="s">
        <v>63</v>
      </c>
      <c r="D12" s="8"/>
      <c r="E12">
        <v>1.2375</v>
      </c>
      <c r="F12">
        <v>0</v>
      </c>
    </row>
    <row r="13" spans="1:11" x14ac:dyDescent="0.15">
      <c r="A13" t="s">
        <v>273</v>
      </c>
      <c r="D13" s="8"/>
      <c r="E13">
        <v>1.3541000000000001</v>
      </c>
      <c r="F13">
        <v>0</v>
      </c>
    </row>
    <row r="14" spans="1:11" x14ac:dyDescent="0.15">
      <c r="A14" t="s">
        <v>55</v>
      </c>
      <c r="D14" s="8"/>
      <c r="E14">
        <v>44.594000000000001</v>
      </c>
      <c r="F14">
        <v>50.951999999999998</v>
      </c>
    </row>
    <row r="15" spans="1:11" x14ac:dyDescent="0.15">
      <c r="D15" s="8"/>
    </row>
    <row r="16" spans="1:11" x14ac:dyDescent="0.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x14ac:dyDescent="0.15">
      <c r="A17" s="14" t="s">
        <v>111</v>
      </c>
    </row>
    <row r="18" spans="1:11" x14ac:dyDescent="0.15">
      <c r="A18" s="19" t="s">
        <v>217</v>
      </c>
      <c r="B18" t="s">
        <v>172</v>
      </c>
    </row>
    <row r="19" spans="1:11" x14ac:dyDescent="0.15">
      <c r="A19" s="19" t="s">
        <v>87</v>
      </c>
      <c r="B19" t="s">
        <v>165</v>
      </c>
    </row>
    <row r="21" spans="1:11" x14ac:dyDescent="0.15">
      <c r="A21" s="3"/>
      <c r="B21" s="4"/>
      <c r="C21" s="4"/>
      <c r="D21" s="4"/>
      <c r="E21" s="4"/>
      <c r="F21" s="4"/>
      <c r="G21" s="4"/>
      <c r="H21" s="4"/>
      <c r="I21" s="4"/>
      <c r="J21" s="4"/>
      <c r="K21" s="4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K27"/>
  <sheetViews>
    <sheetView zoomScale="150" workbookViewId="0">
      <selection activeCell="E16" sqref="E1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15">
      <c r="A3" s="5" t="s">
        <v>228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164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133</v>
      </c>
    </row>
    <row r="7" spans="1:11" x14ac:dyDescent="0.15">
      <c r="A7" t="s">
        <v>214</v>
      </c>
      <c r="D7" s="8"/>
      <c r="E7">
        <v>2500</v>
      </c>
      <c r="G7" s="18"/>
    </row>
    <row r="8" spans="1:11" x14ac:dyDescent="0.15">
      <c r="A8" t="s">
        <v>119</v>
      </c>
      <c r="D8" s="8"/>
      <c r="E8">
        <v>5500</v>
      </c>
      <c r="G8" s="18"/>
    </row>
    <row r="9" spans="1:11" x14ac:dyDescent="0.15">
      <c r="A9" t="s">
        <v>207</v>
      </c>
      <c r="D9" s="8"/>
      <c r="E9">
        <v>17000</v>
      </c>
      <c r="G9" s="18"/>
    </row>
    <row r="10" spans="1:11" x14ac:dyDescent="0.15">
      <c r="A10" s="16" t="s">
        <v>57</v>
      </c>
      <c r="B10" s="16"/>
      <c r="C10" s="16"/>
      <c r="D10" s="17"/>
      <c r="E10" s="16">
        <v>167000</v>
      </c>
      <c r="G10" s="18"/>
      <c r="I10" s="18"/>
    </row>
    <row r="11" spans="1:11" x14ac:dyDescent="0.15">
      <c r="A11" t="s">
        <v>181</v>
      </c>
      <c r="D11" s="8"/>
      <c r="E11">
        <v>1.9492</v>
      </c>
    </row>
    <row r="12" spans="1:11" x14ac:dyDescent="0.15">
      <c r="A12" t="s">
        <v>182</v>
      </c>
      <c r="D12" s="8"/>
      <c r="E12">
        <v>1.8667</v>
      </c>
    </row>
    <row r="13" spans="1:11" x14ac:dyDescent="0.15">
      <c r="A13" t="s">
        <v>97</v>
      </c>
      <c r="D13" s="8"/>
      <c r="E13">
        <v>1.804</v>
      </c>
    </row>
    <row r="14" spans="1:11" x14ac:dyDescent="0.15">
      <c r="A14" t="s">
        <v>117</v>
      </c>
      <c r="D14" s="8"/>
      <c r="E14">
        <v>1.7479</v>
      </c>
    </row>
    <row r="15" spans="1:11" x14ac:dyDescent="0.15">
      <c r="A15" t="s">
        <v>233</v>
      </c>
      <c r="D15" s="8"/>
      <c r="E15">
        <v>1.738</v>
      </c>
    </row>
    <row r="16" spans="1:11" x14ac:dyDescent="0.15">
      <c r="A16" t="s">
        <v>55</v>
      </c>
      <c r="D16" s="8"/>
      <c r="E16">
        <v>57.408999999999999</v>
      </c>
    </row>
    <row r="17" spans="1:11" x14ac:dyDescent="0.15">
      <c r="D17" s="8"/>
    </row>
    <row r="18" spans="1:11" x14ac:dyDescent="0.15">
      <c r="A18" s="10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27" spans="1:11" x14ac:dyDescent="0.15">
      <c r="J27" s="21"/>
    </row>
  </sheetData>
  <sheetProtection password="93B4" sheet="1" objects="1" scenarios="1"/>
  <phoneticPr fontId="6" type="noConversion"/>
  <pageMargins left="0.75" right="0.75" top="1" bottom="1" header="0.5" footer="0.5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/>
  <dimension ref="A1:K19"/>
  <sheetViews>
    <sheetView zoomScale="150" workbookViewId="0">
      <selection activeCell="E8" sqref="E8:J8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15">
      <c r="A3" s="5" t="s">
        <v>113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164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56</v>
      </c>
      <c r="F6" s="19" t="s">
        <v>102</v>
      </c>
      <c r="G6" s="19" t="s">
        <v>173</v>
      </c>
      <c r="H6" s="19" t="s">
        <v>145</v>
      </c>
      <c r="I6" s="19" t="s">
        <v>131</v>
      </c>
      <c r="J6" s="19" t="s">
        <v>85</v>
      </c>
    </row>
    <row r="7" spans="1:11" x14ac:dyDescent="0.15">
      <c r="A7" t="s">
        <v>110</v>
      </c>
      <c r="D7" s="8"/>
      <c r="E7">
        <v>1.8620000000000001</v>
      </c>
      <c r="F7">
        <v>1.8540000000000001</v>
      </c>
      <c r="G7">
        <v>1.8540000000000001</v>
      </c>
      <c r="H7">
        <v>1.954</v>
      </c>
      <c r="I7">
        <v>1.619</v>
      </c>
      <c r="J7">
        <v>2.88</v>
      </c>
    </row>
    <row r="8" spans="1:11" x14ac:dyDescent="0.15">
      <c r="A8" t="s">
        <v>55</v>
      </c>
      <c r="D8" s="8"/>
      <c r="E8">
        <v>54.656999999999996</v>
      </c>
      <c r="F8">
        <v>58.591999999999999</v>
      </c>
      <c r="G8">
        <v>58.591999999999999</v>
      </c>
      <c r="H8">
        <v>63.634</v>
      </c>
      <c r="I8">
        <v>67.704999999999998</v>
      </c>
      <c r="J8">
        <v>48.4</v>
      </c>
    </row>
    <row r="9" spans="1:11" x14ac:dyDescent="0.15">
      <c r="D9" s="8"/>
    </row>
    <row r="10" spans="1:11" x14ac:dyDescent="0.1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x14ac:dyDescent="0.15">
      <c r="A11" s="14" t="s">
        <v>111</v>
      </c>
    </row>
    <row r="12" spans="1:11" x14ac:dyDescent="0.15">
      <c r="A12" s="19" t="s">
        <v>231</v>
      </c>
      <c r="B12" t="s">
        <v>232</v>
      </c>
    </row>
    <row r="13" spans="1:11" x14ac:dyDescent="0.15">
      <c r="A13" s="19" t="s">
        <v>112</v>
      </c>
      <c r="B13" t="s">
        <v>60</v>
      </c>
    </row>
    <row r="14" spans="1:11" x14ac:dyDescent="0.15">
      <c r="A14" s="19" t="s">
        <v>209</v>
      </c>
      <c r="B14" t="s">
        <v>61</v>
      </c>
    </row>
    <row r="15" spans="1:11" x14ac:dyDescent="0.15">
      <c r="A15" s="19" t="s">
        <v>210</v>
      </c>
      <c r="B15" t="s">
        <v>103</v>
      </c>
    </row>
    <row r="16" spans="1:11" x14ac:dyDescent="0.15">
      <c r="A16" s="19" t="s">
        <v>206</v>
      </c>
      <c r="B16" t="s">
        <v>89</v>
      </c>
    </row>
    <row r="17" spans="1:11" x14ac:dyDescent="0.15">
      <c r="A17" s="19" t="s">
        <v>230</v>
      </c>
      <c r="B17" t="s">
        <v>58</v>
      </c>
    </row>
    <row r="19" spans="1:11" x14ac:dyDescent="0.15">
      <c r="A19" s="10"/>
      <c r="B19" s="11"/>
      <c r="C19" s="11"/>
      <c r="D19" s="11"/>
      <c r="E19" s="11"/>
      <c r="F19" s="11"/>
      <c r="G19" s="11"/>
      <c r="H19" s="11"/>
      <c r="I19" s="11"/>
      <c r="J19" s="11"/>
      <c r="K19" s="11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/>
  <dimension ref="A1:K18"/>
  <sheetViews>
    <sheetView zoomScale="150" workbookViewId="0">
      <selection activeCell="E10" sqref="E10:G1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15">
      <c r="A3" s="5" t="s">
        <v>279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164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212</v>
      </c>
      <c r="F6" s="15" t="s">
        <v>1</v>
      </c>
      <c r="G6" s="15" t="s">
        <v>80</v>
      </c>
    </row>
    <row r="7" spans="1:11" x14ac:dyDescent="0.15">
      <c r="A7" s="16" t="s">
        <v>214</v>
      </c>
      <c r="B7" s="16"/>
      <c r="C7" s="16"/>
      <c r="D7" s="17"/>
      <c r="E7" s="16">
        <v>3615</v>
      </c>
      <c r="F7" s="16">
        <v>2960</v>
      </c>
      <c r="G7" s="16">
        <v>0</v>
      </c>
    </row>
    <row r="8" spans="1:11" x14ac:dyDescent="0.15">
      <c r="A8" t="s">
        <v>216</v>
      </c>
      <c r="D8" s="8"/>
      <c r="E8">
        <v>1.9107000000000001</v>
      </c>
      <c r="F8">
        <v>1.6093</v>
      </c>
      <c r="G8">
        <v>1.9613</v>
      </c>
    </row>
    <row r="9" spans="1:11" x14ac:dyDescent="0.15">
      <c r="A9" t="s">
        <v>180</v>
      </c>
      <c r="D9" s="8"/>
      <c r="E9">
        <v>1.7743</v>
      </c>
      <c r="F9">
        <v>1.7467999999999999</v>
      </c>
      <c r="G9">
        <v>0</v>
      </c>
    </row>
    <row r="10" spans="1:11" x14ac:dyDescent="0.15">
      <c r="A10" t="s">
        <v>55</v>
      </c>
      <c r="D10" s="8"/>
      <c r="E10">
        <v>58.828000000000003</v>
      </c>
      <c r="F10">
        <v>64.316999999999993</v>
      </c>
      <c r="G10">
        <v>52.942999999999998</v>
      </c>
    </row>
    <row r="11" spans="1:11" x14ac:dyDescent="0.15">
      <c r="D11" s="8"/>
    </row>
    <row r="12" spans="1:11" x14ac:dyDescent="0.1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</row>
    <row r="13" spans="1:11" x14ac:dyDescent="0.15">
      <c r="A13" s="14" t="s">
        <v>111</v>
      </c>
    </row>
    <row r="14" spans="1:11" x14ac:dyDescent="0.15">
      <c r="A14" s="19" t="s">
        <v>82</v>
      </c>
      <c r="B14" t="s">
        <v>2</v>
      </c>
    </row>
    <row r="15" spans="1:11" x14ac:dyDescent="0.15">
      <c r="A15" s="19" t="s">
        <v>190</v>
      </c>
    </row>
    <row r="16" spans="1:11" x14ac:dyDescent="0.15">
      <c r="A16" s="19" t="s">
        <v>157</v>
      </c>
    </row>
    <row r="18" spans="1:11" x14ac:dyDescent="0.1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/>
  <dimension ref="A1:K21"/>
  <sheetViews>
    <sheetView zoomScale="150" workbookViewId="0">
      <selection activeCell="E14" sqref="E14:F1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15">
      <c r="A3" s="5" t="s">
        <v>101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164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138</v>
      </c>
      <c r="F6" s="15" t="s">
        <v>109</v>
      </c>
    </row>
    <row r="7" spans="1:11" x14ac:dyDescent="0.15">
      <c r="A7" s="20" t="s">
        <v>96</v>
      </c>
      <c r="D7" s="8"/>
      <c r="E7" s="18">
        <v>2</v>
      </c>
      <c r="F7" s="18">
        <v>0</v>
      </c>
    </row>
    <row r="8" spans="1:11" x14ac:dyDescent="0.15">
      <c r="A8" s="20" t="s">
        <v>37</v>
      </c>
      <c r="D8" s="8"/>
      <c r="E8" s="18">
        <v>4</v>
      </c>
      <c r="F8" s="18">
        <v>0</v>
      </c>
    </row>
    <row r="9" spans="1:11" x14ac:dyDescent="0.15">
      <c r="A9" s="16" t="s">
        <v>214</v>
      </c>
      <c r="B9" s="16"/>
      <c r="C9" s="16"/>
      <c r="D9" s="17"/>
      <c r="E9" s="16">
        <v>4000</v>
      </c>
      <c r="F9" s="16">
        <v>0</v>
      </c>
    </row>
    <row r="10" spans="1:11" x14ac:dyDescent="0.15">
      <c r="A10" t="s">
        <v>216</v>
      </c>
      <c r="D10" s="8"/>
      <c r="E10">
        <v>1.2492700000000001</v>
      </c>
      <c r="F10">
        <v>1.9779100000000001</v>
      </c>
    </row>
    <row r="11" spans="1:11" x14ac:dyDescent="0.15">
      <c r="A11" t="s">
        <v>180</v>
      </c>
      <c r="D11" s="8"/>
      <c r="E11">
        <v>1.4418800000000001</v>
      </c>
      <c r="F11">
        <v>0</v>
      </c>
    </row>
    <row r="12" spans="1:11" x14ac:dyDescent="0.15">
      <c r="A12" t="s">
        <v>63</v>
      </c>
      <c r="D12" s="8"/>
      <c r="E12">
        <v>1.16919</v>
      </c>
      <c r="F12">
        <v>0</v>
      </c>
    </row>
    <row r="13" spans="1:11" x14ac:dyDescent="0.15">
      <c r="A13" t="s">
        <v>273</v>
      </c>
      <c r="D13" s="8"/>
      <c r="E13">
        <v>1.3204400000000001</v>
      </c>
      <c r="F13">
        <v>0</v>
      </c>
    </row>
    <row r="14" spans="1:11" x14ac:dyDescent="0.15">
      <c r="A14" t="s">
        <v>55</v>
      </c>
      <c r="D14" s="8"/>
      <c r="E14">
        <v>42.085999999999999</v>
      </c>
      <c r="F14">
        <v>49.39</v>
      </c>
    </row>
    <row r="15" spans="1:11" x14ac:dyDescent="0.15">
      <c r="D15" s="8"/>
    </row>
    <row r="16" spans="1:11" x14ac:dyDescent="0.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x14ac:dyDescent="0.15">
      <c r="A17" s="14" t="s">
        <v>111</v>
      </c>
    </row>
    <row r="18" spans="1:11" x14ac:dyDescent="0.15">
      <c r="A18" s="19" t="s">
        <v>217</v>
      </c>
      <c r="B18" t="s">
        <v>172</v>
      </c>
    </row>
    <row r="19" spans="1:11" x14ac:dyDescent="0.15">
      <c r="A19" s="19" t="s">
        <v>87</v>
      </c>
      <c r="B19" t="s">
        <v>165</v>
      </c>
    </row>
    <row r="21" spans="1:11" x14ac:dyDescent="0.15">
      <c r="A21" s="10"/>
      <c r="B21" s="11"/>
      <c r="C21" s="11"/>
      <c r="D21" s="11"/>
      <c r="E21" s="11"/>
      <c r="F21" s="11"/>
      <c r="G21" s="11"/>
      <c r="H21" s="11"/>
      <c r="I21" s="11"/>
      <c r="J21" s="11"/>
      <c r="K21" s="11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/>
  <dimension ref="A1:K12"/>
  <sheetViews>
    <sheetView zoomScale="150" workbookViewId="0">
      <selection activeCell="E10" sqref="E1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15">
      <c r="A3" s="5" t="s">
        <v>222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84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133</v>
      </c>
    </row>
    <row r="7" spans="1:11" x14ac:dyDescent="0.15">
      <c r="A7" s="16" t="s">
        <v>214</v>
      </c>
      <c r="B7" s="16"/>
      <c r="C7" s="16"/>
      <c r="D7" s="17"/>
      <c r="E7" s="22">
        <v>3700</v>
      </c>
    </row>
    <row r="8" spans="1:11" x14ac:dyDescent="0.15">
      <c r="A8" t="s">
        <v>216</v>
      </c>
      <c r="D8" s="8"/>
      <c r="E8">
        <v>1.8491</v>
      </c>
    </row>
    <row r="9" spans="1:11" x14ac:dyDescent="0.15">
      <c r="A9" t="s">
        <v>180</v>
      </c>
      <c r="D9" s="8"/>
      <c r="E9">
        <v>1.7324999999999999</v>
      </c>
    </row>
    <row r="10" spans="1:11" x14ac:dyDescent="0.15">
      <c r="A10" t="s">
        <v>55</v>
      </c>
      <c r="D10" s="8"/>
      <c r="E10">
        <v>53.042000000000002</v>
      </c>
    </row>
    <row r="11" spans="1:11" x14ac:dyDescent="0.15">
      <c r="D11" s="8"/>
    </row>
    <row r="12" spans="1:11" x14ac:dyDescent="0.15">
      <c r="A12" s="12"/>
      <c r="B12" s="13"/>
      <c r="C12" s="13"/>
      <c r="D12" s="13"/>
      <c r="E12" s="13"/>
      <c r="F12" s="13"/>
      <c r="G12" s="13"/>
      <c r="H12" s="13"/>
      <c r="I12" s="13"/>
      <c r="J12" s="13"/>
      <c r="K12" s="13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86E6E-20D4-8B4D-8EA4-6853B6FF7ECE}">
  <sheetPr codeName="Sheet2"/>
  <dimension ref="A1:W46"/>
  <sheetViews>
    <sheetView zoomScaleNormal="100" workbookViewId="0">
      <selection activeCell="C6" sqref="C6"/>
    </sheetView>
  </sheetViews>
  <sheetFormatPr baseColWidth="10" defaultRowHeight="13" x14ac:dyDescent="0.15"/>
  <cols>
    <col min="1" max="1" width="20.5" style="208" customWidth="1"/>
    <col min="2" max="2" width="30.83203125" style="208" bestFit="1" customWidth="1"/>
    <col min="3" max="3" width="12.5" style="208" customWidth="1"/>
    <col min="4" max="11" width="12.1640625" style="208" customWidth="1"/>
    <col min="12" max="12" width="12.1640625" style="208" hidden="1" customWidth="1"/>
    <col min="13" max="17" width="12.1640625" style="208" customWidth="1"/>
    <col min="18" max="19" width="10.6640625" style="208" customWidth="1"/>
    <col min="20" max="23" width="12.1640625" style="208" customWidth="1"/>
    <col min="24" max="16384" width="10.83203125" style="208"/>
  </cols>
  <sheetData>
    <row r="1" spans="1:23" ht="14" x14ac:dyDescent="0.15">
      <c r="A1" s="207" t="s">
        <v>321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</row>
    <row r="2" spans="1:23" ht="14" x14ac:dyDescent="0.15">
      <c r="A2" s="209" t="s">
        <v>198</v>
      </c>
      <c r="B2" s="209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</row>
    <row r="3" spans="1:23" ht="15" thickBot="1" x14ac:dyDescent="0.2">
      <c r="A3" s="207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3" ht="14" x14ac:dyDescent="0.15">
      <c r="A4" s="137" t="s">
        <v>199</v>
      </c>
      <c r="B4" s="138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40"/>
      <c r="N4" s="207"/>
      <c r="O4" s="207"/>
      <c r="P4" s="207"/>
      <c r="Q4" s="207"/>
      <c r="R4" s="207"/>
      <c r="S4" s="207"/>
      <c r="T4" s="207"/>
      <c r="U4" s="207"/>
      <c r="V4" s="207"/>
      <c r="W4" s="207"/>
    </row>
    <row r="5" spans="1:23" ht="14" x14ac:dyDescent="0.15">
      <c r="A5" s="141" t="s">
        <v>378</v>
      </c>
      <c r="B5" s="67"/>
      <c r="C5" s="155">
        <v>4000</v>
      </c>
      <c r="D5" s="24"/>
      <c r="E5" s="67"/>
      <c r="F5" s="67"/>
      <c r="G5" s="67"/>
      <c r="H5" s="67"/>
      <c r="I5" s="67"/>
      <c r="J5" s="67"/>
      <c r="K5" s="67"/>
      <c r="L5" s="67"/>
      <c r="M5" s="142"/>
      <c r="N5" s="207"/>
      <c r="O5" s="207"/>
      <c r="P5" s="207"/>
      <c r="Q5" s="207"/>
      <c r="R5" s="207"/>
      <c r="S5" s="207"/>
      <c r="T5" s="207"/>
      <c r="U5" s="207"/>
      <c r="V5" s="207"/>
      <c r="W5" s="207"/>
    </row>
    <row r="6" spans="1:23" ht="14" x14ac:dyDescent="0.15">
      <c r="A6" s="141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142"/>
      <c r="N6" s="207"/>
      <c r="O6" s="207"/>
      <c r="P6" s="207"/>
      <c r="Q6" s="207"/>
      <c r="R6" s="207"/>
      <c r="S6" s="207"/>
      <c r="T6" s="207"/>
      <c r="U6" s="207"/>
      <c r="V6" s="207"/>
      <c r="W6" s="207"/>
    </row>
    <row r="7" spans="1:23" ht="30" x14ac:dyDescent="0.15">
      <c r="A7" s="224" t="s">
        <v>239</v>
      </c>
      <c r="B7" s="225" t="s">
        <v>200</v>
      </c>
      <c r="C7" s="225" t="s">
        <v>192</v>
      </c>
      <c r="D7" s="225" t="s">
        <v>196</v>
      </c>
      <c r="E7" s="225" t="s">
        <v>201</v>
      </c>
      <c r="F7" s="225" t="s">
        <v>202</v>
      </c>
      <c r="G7" s="225" t="s">
        <v>193</v>
      </c>
      <c r="H7" s="225" t="s">
        <v>194</v>
      </c>
      <c r="I7" s="225" t="s">
        <v>195</v>
      </c>
      <c r="J7" s="225" t="s">
        <v>203</v>
      </c>
      <c r="K7" s="225" t="s">
        <v>51</v>
      </c>
      <c r="L7" s="228" t="s">
        <v>197</v>
      </c>
      <c r="M7" s="227" t="s">
        <v>324</v>
      </c>
      <c r="N7" s="207"/>
      <c r="O7" s="207"/>
      <c r="P7" s="207"/>
      <c r="Q7" s="207"/>
      <c r="R7" s="207"/>
      <c r="S7" s="207"/>
      <c r="T7" s="207"/>
      <c r="U7" s="207"/>
      <c r="V7" s="207"/>
      <c r="W7" s="207"/>
    </row>
    <row r="8" spans="1:23" ht="25" customHeight="1" x14ac:dyDescent="0.15">
      <c r="A8" s="143" t="str">
        <f>'Tariffs 2020'!F2</f>
        <v>AGL</v>
      </c>
      <c r="B8" s="24" t="str">
        <f>'Tariffs 2020'!D2</f>
        <v>Jemena Coastal Network</v>
      </c>
      <c r="C8" s="144">
        <f>'Tariffs 2020'!E2</f>
        <v>42551</v>
      </c>
      <c r="D8" s="30">
        <f>60*'Tariffs 2020'!H2/100</f>
        <v>39.599999999999994</v>
      </c>
      <c r="E8" s="30">
        <f>IF($C$5&gt;='Tariffs 2020'!J2,('Tariffs 2020'!J2*'Tariffs 2020'!O2/100),($C$5*'Tariffs 2020'!O2/100))</f>
        <v>37.854545454545452</v>
      </c>
      <c r="F8" s="30">
        <f>IF($C$5&lt;'Tariffs 2020'!J2,0,IF(($C$5-'Tariffs 2020'!J2)&lt;='Tariffs 2020'!K2,(($C$5-'Tariffs 2020'!J2)*'Tariffs 2020'!P2/100),(('Tariffs 2020'!K2-'Tariffs 2020'!J2)*'Tariffs 2020'!P2/100)))</f>
        <v>35.781818181818174</v>
      </c>
      <c r="G8" s="30">
        <f>IF($C$5&lt;'Tariffs 2020'!K2,0,IF(($C$5-'Tariffs 2020'!K2)&lt;='Tariffs 2020'!L2,(($C$5-'Tariffs 2020'!K2)*'Tariffs 2020'!Q2/100),(('Tariffs 2020'!L2-'Tariffs 2020'!K2)*'Tariffs 2020'!Q2/100)))</f>
        <v>45.236363636363627</v>
      </c>
      <c r="H8" s="30">
        <f>IF($C$5&lt;'Tariffs 2020'!L2,0,IF(($C$5-'Tariffs 2020'!L2)&lt;='Tariffs 2020'!M2,(($C$5-'Tariffs 2020'!L2)*'Tariffs 2020'!R2/100),(('Tariffs 2020'!M2-'Tariffs 2020'!L2)*'Tariffs 2020'!R2/100)))</f>
        <v>0</v>
      </c>
      <c r="I8" s="30">
        <f>IF($C$5&lt;'Tariffs 2020'!M2,0,IF(($C$5-'Tariffs 2020'!M2)&lt;='Tariffs 2020'!N2,(($C$5-'Tariffs 2020'!M2)*'Tariffs 2020'!S2/100),(('Tariffs 2020'!N2-'Tariffs 2020'!M2)*'Tariffs 2020'!S2/100)))</f>
        <v>0</v>
      </c>
      <c r="J8" s="30">
        <v>0</v>
      </c>
      <c r="K8" s="30">
        <f>SUM(D8:J8)</f>
        <v>158.47272727272724</v>
      </c>
      <c r="L8" s="229">
        <f>K8*6</f>
        <v>950.83636363636344</v>
      </c>
      <c r="M8" s="145">
        <f>L8*1.1</f>
        <v>1045.9199999999998</v>
      </c>
      <c r="N8" s="207"/>
      <c r="O8" s="207"/>
      <c r="P8" s="207"/>
      <c r="Q8" s="207"/>
      <c r="R8" s="207"/>
      <c r="S8" s="207"/>
      <c r="T8" s="207"/>
      <c r="U8" s="207"/>
      <c r="V8" s="207"/>
      <c r="W8" s="207"/>
    </row>
    <row r="9" spans="1:23" ht="25" customHeight="1" x14ac:dyDescent="0.15">
      <c r="A9" s="143" t="str">
        <f>'Tariffs 2020'!F3</f>
        <v>Covau</v>
      </c>
      <c r="B9" s="24" t="str">
        <f>'Tariffs 2020'!D3</f>
        <v>Jemena Coastal Network</v>
      </c>
      <c r="C9" s="144">
        <f>'Tariffs 2020'!E3</f>
        <v>42551</v>
      </c>
      <c r="D9" s="30">
        <f>60*'Tariffs 2020'!H3/100</f>
        <v>47.7</v>
      </c>
      <c r="E9" s="30">
        <f>IF($C$5&gt;='Tariffs 2020'!J3,('Tariffs 2020'!J3*'Tariffs 2020'!O3/100),($C$5*'Tariffs 2020'!O3/100))</f>
        <v>45.599999999999994</v>
      </c>
      <c r="F9" s="30">
        <f>IF($C$5&lt;'Tariffs 2020'!J3,0,IF(($C$5-'Tariffs 2020'!J3)&lt;='Tariffs 2020'!K3,(($C$5-'Tariffs 2020'!J3)*'Tariffs 2020'!P3/100),(('Tariffs 2020'!K3-'Tariffs 2020'!J3)*'Tariffs 2020'!P3/100)))</f>
        <v>28.472727272727269</v>
      </c>
      <c r="G9" s="30">
        <f>IF($C$5&lt;'Tariffs 2020'!K3,0,IF(($C$5-'Tariffs 2020'!K3)&lt;='Tariffs 2020'!L3,(($C$5-'Tariffs 2020'!K3)*'Tariffs 2020'!Q3/100),(('Tariffs 2020'!L3-'Tariffs 2020'!K3)*'Tariffs 2020'!Q3/100)))</f>
        <v>37.381818181818176</v>
      </c>
      <c r="H9" s="30">
        <f>IF($C$5&lt;'Tariffs 2020'!L3,0,IF(($C$5-'Tariffs 2020'!L3)&lt;='Tariffs 2020'!M3,(($C$5-'Tariffs 2020'!L3)*'Tariffs 2020'!R3/100),(('Tariffs 2020'!M3-'Tariffs 2020'!L3)*'Tariffs 2020'!R3/100)))</f>
        <v>0</v>
      </c>
      <c r="I9" s="30">
        <f>IF($C$5&lt;'Tariffs 2020'!M3,0,IF(($C$5-'Tariffs 2020'!M3)&lt;='Tariffs 2020'!N3,(($C$5-'Tariffs 2020'!M3)*'Tariffs 2020'!S3/100),(('Tariffs 2020'!N3-'Tariffs 2020'!M3)*'Tariffs 2020'!S3/100)))</f>
        <v>0</v>
      </c>
      <c r="J9" s="30">
        <f>IF(($C$5&lt;'Tariffs 2020'!N3),(0),($C$5-'Tariffs 2020'!N3)*'Tariffs 2020'!T3/100)</f>
        <v>0</v>
      </c>
      <c r="K9" s="30">
        <f t="shared" ref="K9:K26" si="0">SUM(D9:J9)</f>
        <v>159.15454545454543</v>
      </c>
      <c r="L9" s="229">
        <f t="shared" ref="L9:L26" si="1">K9*6</f>
        <v>954.92727272727257</v>
      </c>
      <c r="M9" s="145">
        <f t="shared" ref="M9:M45" si="2">L9*1.1</f>
        <v>1050.4199999999998</v>
      </c>
      <c r="N9" s="207"/>
      <c r="O9" s="207"/>
      <c r="P9" s="207"/>
      <c r="Q9" s="207"/>
      <c r="R9" s="207"/>
      <c r="S9" s="207"/>
      <c r="T9" s="207"/>
      <c r="U9" s="207"/>
      <c r="V9" s="207"/>
      <c r="W9" s="207"/>
    </row>
    <row r="10" spans="1:23" ht="25" customHeight="1" x14ac:dyDescent="0.15">
      <c r="A10" s="143" t="str">
        <f>'Tariffs 2020'!F4</f>
        <v>Alinta Energy</v>
      </c>
      <c r="B10" s="24" t="str">
        <f>'Tariffs 2020'!D4</f>
        <v>Jemena Coastal Network</v>
      </c>
      <c r="C10" s="144">
        <f>'Tariffs 2020'!E4</f>
        <v>42369</v>
      </c>
      <c r="D10" s="30">
        <f>60*'Tariffs 2020'!H4/100</f>
        <v>35.46</v>
      </c>
      <c r="E10" s="30">
        <f>IF($C$5&gt;='Tariffs 2020'!J4,('Tariffs 2020'!J4*'Tariffs 2020'!O4/100),($C$5*'Tariffs 2020'!O4/100))</f>
        <v>48.11999999999999</v>
      </c>
      <c r="F10" s="30">
        <f>IF($C$5&lt;'Tariffs 2020'!J4,0,IF(($C$5-'Tariffs 2020'!J4)&lt;='Tariffs 2020'!K4,(($C$5-'Tariffs 2020'!J4)*'Tariffs 2020'!P4/100),(('Tariffs 2020'!K4-'Tariffs 2020'!J4)*'Tariffs 2020'!P4/100)))</f>
        <v>31.8</v>
      </c>
      <c r="G10" s="30">
        <f>IF($C$5&lt;'Tariffs 2020'!K4,0,IF(($C$5-'Tariffs 2020'!K4)&lt;='Tariffs 2020'!L4,(($C$5-'Tariffs 2020'!K4)*'Tariffs 2020'!Q4/100),(('Tariffs 2020'!L4-'Tariffs 2020'!K4)*'Tariffs 2020'!Q4/100)))</f>
        <v>39.839999999999996</v>
      </c>
      <c r="H10" s="30">
        <v>0</v>
      </c>
      <c r="I10" s="30">
        <v>0</v>
      </c>
      <c r="J10" s="30">
        <f>IF(($C$5&lt;'Tariffs 2020'!N4),(0),($C$5-'Tariffs 2020'!N4)*'Tariffs 2020'!R4/100)</f>
        <v>0</v>
      </c>
      <c r="K10" s="30">
        <f t="shared" si="0"/>
        <v>155.21999999999997</v>
      </c>
      <c r="L10" s="229">
        <f t="shared" si="1"/>
        <v>931.31999999999982</v>
      </c>
      <c r="M10" s="145">
        <f t="shared" si="2"/>
        <v>1024.452</v>
      </c>
      <c r="N10" s="207"/>
      <c r="O10" s="207"/>
      <c r="P10" s="207"/>
      <c r="Q10" s="207"/>
      <c r="R10" s="207"/>
      <c r="S10" s="207"/>
      <c r="T10" s="207"/>
      <c r="U10" s="207"/>
      <c r="V10" s="207"/>
      <c r="W10" s="207"/>
    </row>
    <row r="11" spans="1:23" ht="25" customHeight="1" x14ac:dyDescent="0.15">
      <c r="A11" s="143" t="str">
        <f>'Tariffs 2020'!F5</f>
        <v>EnergyAustralia</v>
      </c>
      <c r="B11" s="24" t="str">
        <f>'Tariffs 2020'!D5</f>
        <v>Jemena Coastal Network</v>
      </c>
      <c r="C11" s="144">
        <f>'Tariffs 2020'!E5</f>
        <v>42551</v>
      </c>
      <c r="D11" s="30">
        <f>60*'Tariffs 2020'!H5/100</f>
        <v>36.239999999999995</v>
      </c>
      <c r="E11" s="30">
        <f>IF($C$5&gt;='Tariffs 2020'!J5,('Tariffs 2020'!J5*'Tariffs 2020'!O5/100),($C$5*'Tariffs 2020'!O5/100))</f>
        <v>45.381818181818183</v>
      </c>
      <c r="F11" s="30">
        <f>IF($C$5&lt;'Tariffs 2020'!J5,0,IF(($C$5-'Tariffs 2020'!J5)&lt;='Tariffs 2020'!K5,(($C$5-'Tariffs 2020'!J5)*'Tariffs 2020'!P5/100),(('Tariffs 2020'!K5-'Tariffs 2020'!J5)*'Tariffs 2020'!P5/100)))</f>
        <v>31.636363636363637</v>
      </c>
      <c r="G11" s="30">
        <f>IF($C$5&lt;'Tariffs 2020'!K5,0,IF(($C$5-'Tariffs 2020'!K5)&lt;='Tariffs 2020'!L5,(($C$5-'Tariffs 2020'!K5)*'Tariffs 2020'!Q5/100),(('Tariffs 2020'!L5-'Tariffs 2020'!K5)*'Tariffs 2020'!Q5/100)))</f>
        <v>40.290909090909089</v>
      </c>
      <c r="H11" s="30">
        <v>0</v>
      </c>
      <c r="I11" s="30">
        <v>0</v>
      </c>
      <c r="J11" s="30">
        <f>IF(($C$5&lt;'Tariffs 2020'!N5),(0),($C$5-'Tariffs 2020'!N5)*'Tariffs 2020'!R5/100)</f>
        <v>0</v>
      </c>
      <c r="K11" s="30">
        <f t="shared" si="0"/>
        <v>153.54909090909092</v>
      </c>
      <c r="L11" s="229">
        <f t="shared" si="1"/>
        <v>921.29454545454553</v>
      </c>
      <c r="M11" s="145">
        <f t="shared" si="2"/>
        <v>1013.4240000000002</v>
      </c>
      <c r="N11" s="207"/>
      <c r="O11" s="207"/>
      <c r="P11" s="207"/>
      <c r="Q11" s="207"/>
      <c r="R11" s="207"/>
      <c r="S11" s="207"/>
      <c r="T11" s="207"/>
      <c r="U11" s="207"/>
      <c r="V11" s="207"/>
      <c r="W11" s="207"/>
    </row>
    <row r="12" spans="1:23" ht="25" customHeight="1" x14ac:dyDescent="0.15">
      <c r="A12" s="143" t="str">
        <f>'Tariffs 2020'!F6</f>
        <v>Origin Energy</v>
      </c>
      <c r="B12" s="24" t="str">
        <f>'Tariffs 2020'!D6</f>
        <v>Jemena Coastal Network</v>
      </c>
      <c r="C12" s="144">
        <f>'Tariffs 2020'!E6</f>
        <v>42565</v>
      </c>
      <c r="D12" s="30">
        <f>60*'Tariffs 2020'!H6/100</f>
        <v>35.46</v>
      </c>
      <c r="E12" s="30">
        <f>IF($C$5&gt;='Tariffs 2020'!J6,('Tariffs 2020'!J6*'Tariffs 2020'!O6/100),($C$5*'Tariffs 2020'!O6/100))</f>
        <v>42</v>
      </c>
      <c r="F12" s="30">
        <f>IF($C$5&lt;'Tariffs 2020'!J6,0,IF(($C$5-'Tariffs 2020'!J6)&lt;='Tariffs 2020'!K6,(($C$5-'Tariffs 2020'!J6)*'Tariffs 2020'!P6/100),(('Tariffs 2020'!K6-'Tariffs 2020'!J6)*'Tariffs 2020'!P6/100)))</f>
        <v>58.52</v>
      </c>
      <c r="G12" s="30">
        <f>IF($C$5&lt;'Tariffs 2020'!K6,0,IF(($C$5-'Tariffs 2020'!K6)&lt;='Tariffs 2020'!L6,(($C$5-'Tariffs 2020'!K6)*'Tariffs 2020'!Q6/100),(('Tariffs 2020'!L6-'Tariffs 2020'!K6)*'Tariffs 2020'!Q6/100)))</f>
        <v>0</v>
      </c>
      <c r="H12" s="30">
        <v>0</v>
      </c>
      <c r="I12" s="30">
        <v>0</v>
      </c>
      <c r="J12" s="30">
        <f>IF(($C$5&lt;'Tariffs 2020'!N6),(0),($C$5-'Tariffs 2020'!N6)*'Tariffs 2020'!R6/100)</f>
        <v>0</v>
      </c>
      <c r="K12" s="30">
        <f t="shared" si="0"/>
        <v>135.98000000000002</v>
      </c>
      <c r="L12" s="229">
        <f t="shared" si="1"/>
        <v>815.88000000000011</v>
      </c>
      <c r="M12" s="145">
        <f t="shared" si="2"/>
        <v>897.46800000000019</v>
      </c>
      <c r="N12" s="207"/>
      <c r="O12" s="207"/>
      <c r="P12" s="207"/>
      <c r="Q12" s="207"/>
      <c r="R12" s="207"/>
      <c r="S12" s="207"/>
      <c r="T12" s="207"/>
      <c r="U12" s="207"/>
      <c r="V12" s="207"/>
      <c r="W12" s="207"/>
    </row>
    <row r="13" spans="1:23" ht="25" customHeight="1" x14ac:dyDescent="0.15">
      <c r="A13" s="143" t="str">
        <f>'Tariffs 2020'!F7</f>
        <v>Red Energy</v>
      </c>
      <c r="B13" s="24" t="str">
        <f>'Tariffs 2020'!D7</f>
        <v>Jemena Coastal Network</v>
      </c>
      <c r="C13" s="144">
        <f>'Tariffs 2020'!E7</f>
        <v>42551</v>
      </c>
      <c r="D13" s="30">
        <f>60*'Tariffs 2020'!H7/100</f>
        <v>38.880000000000003</v>
      </c>
      <c r="E13" s="30">
        <f>IF($C$5&gt;='Tariffs 2020'!J7,('Tariffs 2020'!J7*'Tariffs 2020'!O7/100),($C$5*'Tariffs 2020'!O7/100))</f>
        <v>49.854545454545452</v>
      </c>
      <c r="F13" s="30">
        <f>IF($C$5&lt;'Tariffs 2020'!J7,0,IF(($C$5-'Tariffs 2020'!J7)&lt;='Tariffs 2020'!K7,(($C$5-'Tariffs 2020'!J7)*'Tariffs 2020'!P7/100),(('Tariffs 2020'!K7-'Tariffs 2020'!J7)*'Tariffs 2020'!P7/100)))</f>
        <v>34.254545454545458</v>
      </c>
      <c r="G13" s="30">
        <f>IF($C$5&lt;'Tariffs 2020'!K7,0,IF(($C$5-'Tariffs 2020'!K7)&lt;='Tariffs 2020'!L7,(($C$5-'Tariffs 2020'!K7)*'Tariffs 2020'!Q7/100),(('Tariffs 2020'!L7-'Tariffs 2020'!K7)*'Tariffs 2020'!Q7/100)))</f>
        <v>43.2</v>
      </c>
      <c r="H13" s="30">
        <v>0</v>
      </c>
      <c r="I13" s="30">
        <v>0</v>
      </c>
      <c r="J13" s="30">
        <f>IF(($C$5&lt;'Tariffs 2020'!N7),(0),($C$5-'Tariffs 2020'!N7)*'Tariffs 2020'!R7/100)</f>
        <v>0</v>
      </c>
      <c r="K13" s="30">
        <f t="shared" si="0"/>
        <v>166.18909090909091</v>
      </c>
      <c r="L13" s="229">
        <f t="shared" si="1"/>
        <v>997.13454545454545</v>
      </c>
      <c r="M13" s="145">
        <f t="shared" si="2"/>
        <v>1096.8480000000002</v>
      </c>
      <c r="N13" s="207"/>
      <c r="O13" s="207"/>
      <c r="P13" s="207"/>
      <c r="Q13" s="207"/>
      <c r="R13" s="207"/>
      <c r="S13" s="207"/>
      <c r="T13" s="207"/>
      <c r="U13" s="207"/>
      <c r="V13" s="207"/>
      <c r="W13" s="207"/>
    </row>
    <row r="14" spans="1:23" ht="25" customHeight="1" x14ac:dyDescent="0.15">
      <c r="A14" s="143" t="str">
        <f>'Tariffs 2020'!F8</f>
        <v>Amaysim</v>
      </c>
      <c r="B14" s="24" t="str">
        <f>'Tariffs 2020'!D8</f>
        <v>Jemena Coastal Network</v>
      </c>
      <c r="C14" s="144">
        <f>'Tariffs 2020'!E8</f>
        <v>42551</v>
      </c>
      <c r="D14" s="30">
        <f>60*'Tariffs 2020'!H8/100</f>
        <v>25.799999999999997</v>
      </c>
      <c r="E14" s="30">
        <f>IF($C$5&gt;='Tariffs 2020'!J8,('Tariffs 2020'!J8*'Tariffs 2020'!O8/100),($C$5*'Tariffs 2020'!O8/100))</f>
        <v>53.454545454545453</v>
      </c>
      <c r="F14" s="30">
        <f>IF($C$5&lt;'Tariffs 2020'!J8,0,IF(($C$5-'Tariffs 2020'!J8)&lt;='Tariffs 2020'!K8,(($C$5-'Tariffs 2020'!J8)*'Tariffs 2020'!P8/100),(('Tariffs 2020'!K8-'Tariffs 2020'!J8)*'Tariffs 2020'!P8/100)))</f>
        <v>34.799999999999997</v>
      </c>
      <c r="G14" s="30">
        <f>IF($C$5&lt;'Tariffs 2020'!K8,0,IF(($C$5-'Tariffs 2020'!K8)&lt;='Tariffs 2020'!L8,(($C$5-'Tariffs 2020'!K8)*'Tariffs 2020'!Q8/100),(('Tariffs 2020'!L8-'Tariffs 2020'!K8)*'Tariffs 2020'!Q8/100)))</f>
        <v>45.672727272727272</v>
      </c>
      <c r="H14" s="30">
        <v>0</v>
      </c>
      <c r="I14" s="30">
        <v>0</v>
      </c>
      <c r="J14" s="30">
        <f>IF(($C$5&lt;'Tariffs 2020'!N8),(0),($C$5-'Tariffs 2020'!N8)*'Tariffs 2020'!R8/100)</f>
        <v>0</v>
      </c>
      <c r="K14" s="30">
        <f t="shared" si="0"/>
        <v>159.72727272727272</v>
      </c>
      <c r="L14" s="229">
        <f t="shared" si="1"/>
        <v>958.36363636363626</v>
      </c>
      <c r="M14" s="145">
        <f t="shared" si="2"/>
        <v>1054.2</v>
      </c>
      <c r="N14" s="207"/>
      <c r="O14" s="207"/>
      <c r="P14" s="207"/>
      <c r="Q14" s="207"/>
      <c r="R14" s="207"/>
      <c r="S14" s="207"/>
      <c r="T14" s="207"/>
      <c r="U14" s="207"/>
      <c r="V14" s="207"/>
      <c r="W14" s="207"/>
    </row>
    <row r="15" spans="1:23" ht="25" customHeight="1" x14ac:dyDescent="0.15">
      <c r="A15" s="143" t="str">
        <f>'Tariffs 2020'!F9</f>
        <v>Click Energy</v>
      </c>
      <c r="B15" s="24" t="str">
        <f>'Tariffs 2020'!D9</f>
        <v>Jemena Coastal Network</v>
      </c>
      <c r="C15" s="144">
        <f>'Tariffs 2020'!E9</f>
        <v>42551</v>
      </c>
      <c r="D15" s="30">
        <f>60*'Tariffs 2020'!H9/100</f>
        <v>25.799999999999997</v>
      </c>
      <c r="E15" s="30">
        <f>IF($C$5&gt;='Tariffs 2020'!J9,('Tariffs 2020'!J9*'Tariffs 2020'!O9/100),($C$5*'Tariffs 2020'!O9/100))</f>
        <v>53.454545454545453</v>
      </c>
      <c r="F15" s="30">
        <f>IF($C$5&lt;'Tariffs 2020'!J9,0,IF(($C$5-'Tariffs 2020'!J9)&lt;='Tariffs 2020'!K9,(($C$5-'Tariffs 2020'!J9)*'Tariffs 2020'!P9/100),(('Tariffs 2020'!K9-'Tariffs 2020'!J9)*'Tariffs 2020'!P9/100)))</f>
        <v>34.799999999999997</v>
      </c>
      <c r="G15" s="30">
        <f>IF($C$5&lt;'Tariffs 2020'!K9,0,IF(($C$5-'Tariffs 2020'!K9)&lt;='Tariffs 2020'!L9,(($C$5-'Tariffs 2020'!K9)*'Tariffs 2020'!Q9/100),(('Tariffs 2020'!L9-'Tariffs 2020'!K9)*'Tariffs 2020'!Q9/100)))</f>
        <v>45.672727272727272</v>
      </c>
      <c r="H15" s="30">
        <v>0</v>
      </c>
      <c r="I15" s="30">
        <v>0</v>
      </c>
      <c r="J15" s="30">
        <f>IF(($C$5&lt;'Tariffs 2020'!N9),(0),($C$5-'Tariffs 2020'!N9)*'Tariffs 2020'!R9/100)</f>
        <v>0</v>
      </c>
      <c r="K15" s="30">
        <f t="shared" si="0"/>
        <v>159.72727272727272</v>
      </c>
      <c r="L15" s="229">
        <f t="shared" si="1"/>
        <v>958.36363636363626</v>
      </c>
      <c r="M15" s="145">
        <f t="shared" si="2"/>
        <v>1054.2</v>
      </c>
      <c r="N15" s="207"/>
      <c r="O15" s="207"/>
      <c r="P15" s="207"/>
      <c r="Q15" s="207"/>
      <c r="R15" s="207"/>
      <c r="S15" s="207"/>
      <c r="T15" s="207"/>
      <c r="U15" s="207"/>
      <c r="V15" s="207"/>
      <c r="W15" s="207"/>
    </row>
    <row r="16" spans="1:23" ht="25" customHeight="1" x14ac:dyDescent="0.15">
      <c r="A16" s="143" t="str">
        <f>'Tariffs 2020'!F10</f>
        <v>Simply Energy</v>
      </c>
      <c r="B16" s="24" t="str">
        <f>'Tariffs 2020'!D10</f>
        <v>Jemena Coastal Network</v>
      </c>
      <c r="C16" s="144">
        <f>'Tariffs 2020'!E10</f>
        <v>42551</v>
      </c>
      <c r="D16" s="30">
        <f>60*'Tariffs 2020'!H10/100</f>
        <v>31.799999999999997</v>
      </c>
      <c r="E16" s="30">
        <f>IF($C$5&gt;='Tariffs 2020'!J10,('Tariffs 2020'!J10*'Tariffs 2020'!O10/100),($C$5*'Tariffs 2020'!O10/100))</f>
        <v>40.909090909090907</v>
      </c>
      <c r="F16" s="30">
        <f>IF($C$5&lt;'Tariffs 2020'!J10,0,IF(($C$5-'Tariffs 2020'!J10)&lt;='Tariffs 2020'!K10,(($C$5-'Tariffs 2020'!J10)*'Tariffs 2020'!P10/100),(('Tariffs 2020'!K10-'Tariffs 2020'!J10)*'Tariffs 2020'!P10/100)))</f>
        <v>27.27272727272727</v>
      </c>
      <c r="G16" s="30">
        <f>IF($C$5&lt;'Tariffs 2020'!K10,0,IF(($C$5-'Tariffs 2020'!K10)&lt;='Tariffs 2020'!L10,(($C$5-'Tariffs 2020'!K10)*'Tariffs 2020'!Q10/100),(('Tariffs 2020'!L10-'Tariffs 2020'!K10)*'Tariffs 2020'!Q10/100)))</f>
        <v>33.6</v>
      </c>
      <c r="H16" s="30">
        <v>0</v>
      </c>
      <c r="I16" s="30">
        <v>0</v>
      </c>
      <c r="J16" s="30">
        <f>IF(($C$5&lt;'Tariffs 2020'!N10),(0),($C$5-'Tariffs 2020'!N10)*'Tariffs 2020'!R10/100)</f>
        <v>0</v>
      </c>
      <c r="K16" s="30">
        <f t="shared" ref="K16:K20" si="3">SUM(D16:J16)</f>
        <v>133.58181818181816</v>
      </c>
      <c r="L16" s="229">
        <f t="shared" ref="L16:L20" si="4">K16*6</f>
        <v>801.49090909090899</v>
      </c>
      <c r="M16" s="145">
        <f t="shared" ref="M16:M20" si="5">L16*1.1</f>
        <v>881.64</v>
      </c>
      <c r="N16" s="207"/>
      <c r="O16" s="207"/>
      <c r="P16" s="207"/>
      <c r="Q16" s="207"/>
      <c r="R16" s="207"/>
      <c r="S16" s="207"/>
      <c r="T16" s="207"/>
      <c r="U16" s="207"/>
      <c r="V16" s="207"/>
      <c r="W16" s="207"/>
    </row>
    <row r="17" spans="1:23" ht="25" customHeight="1" x14ac:dyDescent="0.15">
      <c r="A17" s="143" t="str">
        <f>'Tariffs 2020'!F11</f>
        <v>Discover Energy</v>
      </c>
      <c r="B17" s="24" t="str">
        <f>'Tariffs 2020'!D11</f>
        <v>Jemena Coastal Network</v>
      </c>
      <c r="C17" s="144">
        <f>'Tariffs 2020'!E11</f>
        <v>42551</v>
      </c>
      <c r="D17" s="30">
        <f>60*'Tariffs 2020'!H11/100</f>
        <v>32.999999999999993</v>
      </c>
      <c r="E17" s="30">
        <f>IF($C$5&gt;='Tariffs 2020'!J11,('Tariffs 2020'!J11*'Tariffs 2020'!O11/100),($C$5*'Tariffs 2020'!O11/100))</f>
        <v>48</v>
      </c>
      <c r="F17" s="30">
        <f>IF($C$5&lt;'Tariffs 2020'!J11,0,IF(($C$5-'Tariffs 2020'!J11)&lt;='Tariffs 2020'!K11,(($C$5-'Tariffs 2020'!J11)*'Tariffs 2020'!P11/100),(('Tariffs 2020'!K11-'Tariffs 2020'!J11)*'Tariffs 2020'!P11/100)))</f>
        <v>33.6</v>
      </c>
      <c r="G17" s="30">
        <f>IF($C$5&lt;'Tariffs 2020'!K11,0,IF(($C$5-'Tariffs 2020'!K11)&lt;='Tariffs 2020'!L11,(($C$5-'Tariffs 2020'!K11)*'Tariffs 2020'!Q11/100),(('Tariffs 2020'!L11-'Tariffs 2020'!K11)*'Tariffs 2020'!Q11/100)))</f>
        <v>42.472727272727269</v>
      </c>
      <c r="H17" s="30">
        <v>0</v>
      </c>
      <c r="I17" s="30">
        <v>0</v>
      </c>
      <c r="J17" s="30">
        <f>IF(($C$5&lt;'Tariffs 2020'!N11),(0),($C$5-'Tariffs 2020'!N11)*'Tariffs 2020'!R11/100)</f>
        <v>0</v>
      </c>
      <c r="K17" s="30">
        <f t="shared" si="3"/>
        <v>157.07272727272726</v>
      </c>
      <c r="L17" s="229">
        <f t="shared" si="4"/>
        <v>942.43636363636358</v>
      </c>
      <c r="M17" s="145">
        <f t="shared" si="5"/>
        <v>1036.68</v>
      </c>
      <c r="N17" s="207"/>
      <c r="O17" s="207"/>
      <c r="P17" s="207"/>
      <c r="Q17" s="207"/>
      <c r="R17" s="207"/>
      <c r="S17" s="207"/>
      <c r="T17" s="207"/>
      <c r="U17" s="207"/>
      <c r="V17" s="207"/>
      <c r="W17" s="207"/>
    </row>
    <row r="18" spans="1:23" ht="25" customHeight="1" x14ac:dyDescent="0.15">
      <c r="A18" s="143" t="str">
        <f>'Tariffs 2020'!F12</f>
        <v>Dodo Power &amp; Gas</v>
      </c>
      <c r="B18" s="24" t="str">
        <f>'Tariffs 2020'!D12</f>
        <v>Jemena Coastal Network</v>
      </c>
      <c r="C18" s="144">
        <f>'Tariffs 2020'!E12</f>
        <v>42551</v>
      </c>
      <c r="D18" s="30">
        <f>60*'Tariffs 2020'!H12/100</f>
        <v>37.952727272727273</v>
      </c>
      <c r="E18" s="30">
        <f>IF($C$5&gt;='Tariffs 2020'!J12,('Tariffs 2020'!J12*'Tariffs 2020'!O12/100),($C$5*'Tariffs 2020'!O12/100))</f>
        <v>58.036363636363632</v>
      </c>
      <c r="F18" s="30">
        <f>IF($C$5&lt;'Tariffs 2020'!J12,0,IF(($C$5-'Tariffs 2020'!J12)&lt;='Tariffs 2020'!K12,(($C$5-'Tariffs 2020'!J12)*'Tariffs 2020'!P12/100),(('Tariffs 2020'!K12-'Tariffs 2020'!J12)*'Tariffs 2020'!P12/100)))</f>
        <v>35.672727272727272</v>
      </c>
      <c r="G18" s="30">
        <f>IF($C$5&lt;'Tariffs 2020'!K12,0,IF(($C$5-'Tariffs 2020'!K12)&lt;='Tariffs 2020'!L12,(($C$5-'Tariffs 2020'!K12)*'Tariffs 2020'!Q12/100),(('Tariffs 2020'!L12-'Tariffs 2020'!K12)*'Tariffs 2020'!Q12/100)))</f>
        <v>46.690909090909088</v>
      </c>
      <c r="H18" s="30">
        <v>0</v>
      </c>
      <c r="I18" s="30">
        <v>0</v>
      </c>
      <c r="J18" s="30">
        <f>IF(($C$5&lt;'Tariffs 2020'!N12),(0),($C$5-'Tariffs 2020'!N12)*'Tariffs 2020'!R12/100)</f>
        <v>0</v>
      </c>
      <c r="K18" s="30">
        <f t="shared" si="3"/>
        <v>178.35272727272726</v>
      </c>
      <c r="L18" s="229">
        <f t="shared" si="4"/>
        <v>1070.1163636363635</v>
      </c>
      <c r="M18" s="145">
        <f t="shared" si="5"/>
        <v>1177.1279999999999</v>
      </c>
      <c r="N18" s="207"/>
      <c r="O18" s="207"/>
      <c r="P18" s="207"/>
      <c r="Q18" s="207"/>
      <c r="R18" s="207"/>
      <c r="S18" s="207"/>
      <c r="T18" s="207"/>
      <c r="U18" s="207"/>
      <c r="V18" s="207"/>
      <c r="W18" s="207"/>
    </row>
    <row r="19" spans="1:23" ht="25" customHeight="1" x14ac:dyDescent="0.15">
      <c r="A19" s="143" t="str">
        <f>'Tariffs 2020'!F13</f>
        <v>Sumo Power</v>
      </c>
      <c r="B19" s="24" t="str">
        <f>'Tariffs 2020'!D13</f>
        <v>Jemena Coastal Network</v>
      </c>
      <c r="C19" s="144">
        <f>'Tariffs 2020'!E13</f>
        <v>42468</v>
      </c>
      <c r="D19" s="30">
        <f>60*'Tariffs 2020'!H13/100</f>
        <v>48</v>
      </c>
      <c r="E19" s="30">
        <f>IF($C$5&gt;='Tariffs 2020'!J13,('Tariffs 2020'!J13*'Tariffs 2020'!O13/100),($C$5*'Tariffs 2020'!O13/100))</f>
        <v>48</v>
      </c>
      <c r="F19" s="30">
        <f>IF($C$5&lt;'Tariffs 2020'!J13,0,IF(($C$5-'Tariffs 2020'!J13)&lt;='Tariffs 2020'!K13,(($C$5-'Tariffs 2020'!J13)*'Tariffs 2020'!P13/100),(('Tariffs 2020'!K13-'Tariffs 2020'!J13)*'Tariffs 2020'!P13/100)))</f>
        <v>33.6</v>
      </c>
      <c r="G19" s="30">
        <f>IF($C$5&lt;'Tariffs 2020'!K13,0,IF(($C$5-'Tariffs 2020'!K13)&lt;='Tariffs 2020'!L13,(($C$5-'Tariffs 2020'!K13)*'Tariffs 2020'!Q13/100),(('Tariffs 2020'!L13-'Tariffs 2020'!K13)*'Tariffs 2020'!Q13/100)))</f>
        <v>41.599999999999994</v>
      </c>
      <c r="H19" s="30">
        <v>0</v>
      </c>
      <c r="I19" s="30">
        <v>0</v>
      </c>
      <c r="J19" s="30">
        <f>IF(($C$5&lt;'Tariffs 2020'!N13),(0),($C$5-'Tariffs 2020'!N13)*'Tariffs 2020'!R13/100)</f>
        <v>0</v>
      </c>
      <c r="K19" s="30">
        <f t="shared" si="3"/>
        <v>171.2</v>
      </c>
      <c r="L19" s="229">
        <f t="shared" si="4"/>
        <v>1027.1999999999998</v>
      </c>
      <c r="M19" s="145">
        <f t="shared" si="5"/>
        <v>1129.9199999999998</v>
      </c>
      <c r="N19" s="207"/>
      <c r="O19" s="207"/>
      <c r="P19" s="207"/>
      <c r="Q19" s="207"/>
      <c r="R19" s="207"/>
      <c r="S19" s="207"/>
      <c r="T19" s="207"/>
      <c r="U19" s="207"/>
      <c r="V19" s="207"/>
      <c r="W19" s="207"/>
    </row>
    <row r="20" spans="1:23" ht="25" customHeight="1" thickBot="1" x14ac:dyDescent="0.2">
      <c r="A20" s="176" t="str">
        <f>'Tariffs 2020'!F14</f>
        <v>GloBird</v>
      </c>
      <c r="B20" s="177" t="str">
        <f>'Tariffs 2020'!D14</f>
        <v>Jemena Coastal Network</v>
      </c>
      <c r="C20" s="178">
        <f>'Tariffs 2020'!E14</f>
        <v>42551</v>
      </c>
      <c r="D20" s="179">
        <f>60*'Tariffs 2020'!H14/100</f>
        <v>43.2</v>
      </c>
      <c r="E20" s="179">
        <f>IF($C$5&gt;='Tariffs 2020'!J14,('Tariffs 2020'!J14*'Tariffs 2020'!O14/100),($C$5*'Tariffs 2020'!O14/100))</f>
        <v>156</v>
      </c>
      <c r="F20" s="179">
        <f>IF($C$5&lt;'Tariffs 2020'!J14,0,IF(($C$5-'Tariffs 2020'!J14)&lt;='Tariffs 2020'!K14,(($C$5-'Tariffs 2020'!J14)*'Tariffs 2020'!P14/100),(('Tariffs 2020'!K14-'Tariffs 2020'!J14)*'Tariffs 2020'!P14/100)))</f>
        <v>0</v>
      </c>
      <c r="G20" s="179">
        <f>IF($C$5&lt;'Tariffs 2020'!K14,0,IF(($C$5-'Tariffs 2020'!K14)&lt;='Tariffs 2020'!L14,(($C$5-'Tariffs 2020'!K14)*'Tariffs 2020'!Q14/100),(('Tariffs 2020'!L14-'Tariffs 2020'!K14)*'Tariffs 2020'!Q14/100)))</f>
        <v>0</v>
      </c>
      <c r="H20" s="179">
        <v>0</v>
      </c>
      <c r="I20" s="179">
        <v>0</v>
      </c>
      <c r="J20" s="179">
        <f>IF(($C$5&lt;'Tariffs 2020'!N14),(0),($C$5-'Tariffs 2020'!N14)*'Tariffs 2020'!R14/100)</f>
        <v>0</v>
      </c>
      <c r="K20" s="179">
        <f t="shared" si="3"/>
        <v>199.2</v>
      </c>
      <c r="L20" s="230">
        <f t="shared" si="4"/>
        <v>1195.1999999999998</v>
      </c>
      <c r="M20" s="181">
        <f t="shared" si="5"/>
        <v>1314.7199999999998</v>
      </c>
      <c r="N20" s="207"/>
      <c r="O20" s="207"/>
      <c r="P20" s="207"/>
      <c r="Q20" s="207"/>
      <c r="R20" s="207"/>
      <c r="S20" s="207"/>
      <c r="T20" s="207"/>
      <c r="U20" s="207"/>
      <c r="V20" s="207"/>
      <c r="W20" s="207"/>
    </row>
    <row r="21" spans="1:23" ht="25" customHeight="1" thickTop="1" x14ac:dyDescent="0.15">
      <c r="A21" s="143" t="str">
        <f>'Tariffs 2020'!F15</f>
        <v>ActewAGL</v>
      </c>
      <c r="B21" s="24" t="str">
        <f>'Tariffs 2020'!D15</f>
        <v>Jemena Capital Region</v>
      </c>
      <c r="C21" s="144">
        <f>'Tariffs 2020'!E15</f>
        <v>42551</v>
      </c>
      <c r="D21" s="30">
        <f>60*'Tariffs 2020'!H15/100</f>
        <v>35.252727272727263</v>
      </c>
      <c r="E21" s="30">
        <f>IF($C$5&gt;='Tariffs 2020'!J15,('Tariffs 2020'!J15*'Tariffs 2020'!O15/100),($C$5*'Tariffs 2020'!O15/100))</f>
        <v>46.690909090909088</v>
      </c>
      <c r="F21" s="30">
        <f>IF($C$5&lt;'Tariffs 2020'!J15,0,IF(($C$5-'Tariffs 2020'!J15)&lt;='Tariffs 2020'!K15,(($C$5-'Tariffs 2020'!J15)*'Tariffs 2020'!P15/100),(('Tariffs 2020'!K15-'Tariffs 2020'!J15)*'Tariffs 2020'!P15/100)))</f>
        <v>30.981818181818181</v>
      </c>
      <c r="G21" s="30">
        <f>IF($C$5&lt;'Tariffs 2020'!K15,0,IF(($C$5-'Tariffs 2020'!K15)&lt;='Tariffs 2020'!L15,(($C$5-'Tariffs 2020'!K15)*'Tariffs 2020'!Q15/100),(('Tariffs 2020'!L15-'Tariffs 2020'!K15)*'Tariffs 2020'!Q15/100)))</f>
        <v>40.72727272727272</v>
      </c>
      <c r="H21" s="30">
        <v>0</v>
      </c>
      <c r="I21" s="30">
        <v>0</v>
      </c>
      <c r="J21" s="30">
        <f>IF(($C$5&lt;'Tariffs 2020'!N15),(0),($C$5-'Tariffs 2020'!N15)*'Tariffs 2020'!R15/100)</f>
        <v>0</v>
      </c>
      <c r="K21" s="30">
        <f t="shared" si="0"/>
        <v>153.65272727272725</v>
      </c>
      <c r="L21" s="229">
        <f t="shared" si="1"/>
        <v>921.91636363636349</v>
      </c>
      <c r="M21" s="145">
        <f t="shared" si="2"/>
        <v>1014.1079999999999</v>
      </c>
      <c r="N21" s="207"/>
      <c r="O21" s="207"/>
      <c r="P21" s="207"/>
      <c r="Q21" s="207"/>
      <c r="R21" s="207"/>
      <c r="S21" s="207"/>
      <c r="T21" s="207"/>
      <c r="U21" s="207"/>
      <c r="V21" s="207"/>
      <c r="W21" s="207"/>
    </row>
    <row r="22" spans="1:23" ht="25" customHeight="1" thickBot="1" x14ac:dyDescent="0.2">
      <c r="A22" s="176" t="str">
        <f>'Tariffs 2020'!F16</f>
        <v>EnergyAustralia</v>
      </c>
      <c r="B22" s="177" t="str">
        <f>'Tariffs 2020'!D16</f>
        <v>Jemena Capital Region</v>
      </c>
      <c r="C22" s="178">
        <f>'Tariffs 2020'!E16</f>
        <v>42551</v>
      </c>
      <c r="D22" s="179">
        <f>60*'Tariffs 2020'!H16/100</f>
        <v>36.179999999999993</v>
      </c>
      <c r="E22" s="179">
        <f>IF($C$5&gt;='Tariffs 2020'!J16,('Tariffs 2020'!J16*'Tariffs 2020'!O16/100),($C$5*'Tariffs 2020'!O16/100))</f>
        <v>49.636363636363633</v>
      </c>
      <c r="F22" s="179">
        <f>IF($C$5&lt;'Tariffs 2020'!J16,0,IF(($C$5-'Tariffs 2020'!J16)&lt;='Tariffs 2020'!K16,(($C$5-'Tariffs 2020'!J16)*'Tariffs 2020'!P16/100),(('Tariffs 2020'!K16-'Tariffs 2020'!J16)*'Tariffs 2020'!P16/100)))</f>
        <v>33.163636363636357</v>
      </c>
      <c r="G22" s="179">
        <f>IF($C$5&lt;'Tariffs 2020'!K16,0,IF(($C$5-'Tariffs 2020'!K16)&lt;='Tariffs 2020'!L16,(($C$5-'Tariffs 2020'!K16)*'Tariffs 2020'!Q16/100),(('Tariffs 2020'!L16-'Tariffs 2020'!K16)*'Tariffs 2020'!Q16/100)))</f>
        <v>42.327272727272728</v>
      </c>
      <c r="H22" s="179">
        <v>0</v>
      </c>
      <c r="I22" s="179">
        <v>0</v>
      </c>
      <c r="J22" s="179">
        <f>IF(($C$5&lt;'Tariffs 2020'!N16),(0),($C$5-'Tariffs 2020'!N16)*'Tariffs 2020'!R16/100)</f>
        <v>0</v>
      </c>
      <c r="K22" s="179">
        <f t="shared" si="0"/>
        <v>161.30727272727273</v>
      </c>
      <c r="L22" s="230">
        <f t="shared" si="1"/>
        <v>967.84363636363639</v>
      </c>
      <c r="M22" s="181">
        <f t="shared" si="2"/>
        <v>1064.6280000000002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7"/>
    </row>
    <row r="23" spans="1:23" ht="25" customHeight="1" thickTop="1" x14ac:dyDescent="0.15">
      <c r="A23" s="143" t="str">
        <f>'Tariffs 2020'!F17</f>
        <v>ActewAGL</v>
      </c>
      <c r="B23" s="24" t="str">
        <f>'Tariffs 2020'!D17</f>
        <v xml:space="preserve">Evoenergy Queanbeyan </v>
      </c>
      <c r="C23" s="144">
        <f>'Tariffs 2020'!E17</f>
        <v>42551</v>
      </c>
      <c r="D23" s="30">
        <f>60*'Tariffs 2020'!H17/100</f>
        <v>48.812727272727273</v>
      </c>
      <c r="E23" s="30">
        <f>IF($C$5&gt;='Tariffs 2020'!J17,('Tariffs 2020'!J17*'Tariffs 2020'!O17/100),($C$5*'Tariffs 2020'!O17/100))</f>
        <v>77.601818181818174</v>
      </c>
      <c r="F23" s="30">
        <f>IF($C$5&lt;'Tariffs 2020'!J17,0,IF(($C$5-'Tariffs 2020'!J17)&lt;='Tariffs 2020'!K17,(($C$5-'Tariffs 2020'!J17)*'Tariffs 2020'!P17/100),(('Tariffs 2020'!K17-'Tariffs 2020'!J17)*'Tariffs 2020'!P17/100)))</f>
        <v>40.459999999999994</v>
      </c>
      <c r="G23" s="30">
        <f>IF($C$5&lt;'Tariffs 2020'!K17,0,IF(($C$5-'Tariffs 2020'!K17)&lt;='Tariffs 2020'!L17,(($C$5-'Tariffs 2020'!K17)*'Tariffs 2020'!Q17/100),(('Tariffs 2020'!L17-'Tariffs 2020'!K17)*'Tariffs 2020'!Q17/100)))</f>
        <v>0</v>
      </c>
      <c r="H23" s="30">
        <v>0</v>
      </c>
      <c r="I23" s="30">
        <v>0</v>
      </c>
      <c r="J23" s="30">
        <f>IF(($C$5&lt;'Tariffs 2020'!N17),(0),($C$5-'Tariffs 2020'!N17)*'Tariffs 2020'!R17/100)</f>
        <v>0</v>
      </c>
      <c r="K23" s="30">
        <f t="shared" si="0"/>
        <v>166.87454545454545</v>
      </c>
      <c r="L23" s="229">
        <f t="shared" si="1"/>
        <v>1001.2472727272727</v>
      </c>
      <c r="M23" s="145">
        <f t="shared" si="2"/>
        <v>1101.3720000000001</v>
      </c>
      <c r="N23" s="207"/>
      <c r="O23" s="207"/>
      <c r="P23" s="207"/>
      <c r="Q23" s="207"/>
      <c r="R23" s="207"/>
      <c r="S23" s="207"/>
      <c r="T23" s="207"/>
      <c r="U23" s="207"/>
      <c r="V23" s="207"/>
      <c r="W23" s="207"/>
    </row>
    <row r="24" spans="1:23" ht="25" customHeight="1" thickBot="1" x14ac:dyDescent="0.2">
      <c r="A24" s="176" t="str">
        <f>'Tariffs 2020'!F18</f>
        <v>EnergyAustralia</v>
      </c>
      <c r="B24" s="177" t="str">
        <f>'Tariffs 2020'!D18</f>
        <v xml:space="preserve">Evoenergy Queanbeyan </v>
      </c>
      <c r="C24" s="178">
        <f>'Tariffs 2020'!E18</f>
        <v>42467</v>
      </c>
      <c r="D24" s="179">
        <f>60*'Tariffs 2020'!H18/100</f>
        <v>43.919999999999987</v>
      </c>
      <c r="E24" s="179">
        <f>IF($C$5&gt;='Tariffs 2020'!J18,('Tariffs 2020'!J18*'Tariffs 2020'!O18/100),($C$5*'Tariffs 2020'!O18/100))</f>
        <v>74.694545454545448</v>
      </c>
      <c r="F24" s="179">
        <f>IF($C$5&lt;'Tariffs 2020'!J18,0,IF(($C$5-'Tariffs 2020'!J18)&lt;='Tariffs 2020'!K18,(($C$5-'Tariffs 2020'!J18)*'Tariffs 2020'!P18/100),(('Tariffs 2020'!K18-'Tariffs 2020'!J18)*'Tariffs 2020'!P18/100)))</f>
        <v>47.599999999999994</v>
      </c>
      <c r="G24" s="179">
        <f>IF($C$5&lt;'Tariffs 2020'!K18,0,IF(($C$5-'Tariffs 2020'!K18)&lt;='Tariffs 2020'!L18,(($C$5-'Tariffs 2020'!K18)*'Tariffs 2020'!Q18/100),(('Tariffs 2020'!L18-'Tariffs 2020'!K18)*'Tariffs 2020'!Q18/100)))</f>
        <v>0</v>
      </c>
      <c r="H24" s="179">
        <v>0</v>
      </c>
      <c r="I24" s="179">
        <v>0</v>
      </c>
      <c r="J24" s="179">
        <f>IF(($C$5&lt;'Tariffs 2020'!N18),(0),($C$5-'Tariffs 2020'!N18)*'Tariffs 2020'!R18/100)</f>
        <v>0</v>
      </c>
      <c r="K24" s="179">
        <f t="shared" si="0"/>
        <v>166.21454545454543</v>
      </c>
      <c r="L24" s="230">
        <f t="shared" si="1"/>
        <v>997.28727272727258</v>
      </c>
      <c r="M24" s="181">
        <f t="shared" si="2"/>
        <v>1097.0159999999998</v>
      </c>
      <c r="N24" s="207"/>
      <c r="O24" s="207"/>
      <c r="P24" s="207"/>
      <c r="Q24" s="207"/>
      <c r="R24" s="207"/>
      <c r="S24" s="207"/>
      <c r="T24" s="207"/>
      <c r="U24" s="207"/>
      <c r="V24" s="207"/>
      <c r="W24" s="207"/>
    </row>
    <row r="25" spans="1:23" ht="25" customHeight="1" thickTop="1" thickBot="1" x14ac:dyDescent="0.2">
      <c r="A25" s="182" t="str">
        <f>'Tariffs 2020'!F19</f>
        <v>ActewAGL</v>
      </c>
      <c r="B25" s="183" t="str">
        <f>'Tariffs 2020'!D19</f>
        <v>Evoenergy Shoalhaven</v>
      </c>
      <c r="C25" s="184">
        <f>'Tariffs 2020'!E19</f>
        <v>42551</v>
      </c>
      <c r="D25" s="185">
        <f>60*'Tariffs 2020'!H19/100</f>
        <v>52.494545454545452</v>
      </c>
      <c r="E25" s="185">
        <f>C5*'Tariffs 2020'!O19/100</f>
        <v>115.63636363636363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  <c r="K25" s="185">
        <f t="shared" si="0"/>
        <v>168.13090909090909</v>
      </c>
      <c r="L25" s="231">
        <f t="shared" si="1"/>
        <v>1008.7854545454545</v>
      </c>
      <c r="M25" s="187">
        <f t="shared" si="2"/>
        <v>1109.664</v>
      </c>
      <c r="N25" s="207"/>
      <c r="O25" s="207"/>
      <c r="P25" s="207"/>
      <c r="Q25" s="207"/>
      <c r="R25" s="207"/>
      <c r="S25" s="207"/>
      <c r="T25" s="207"/>
      <c r="U25" s="207"/>
      <c r="V25" s="207"/>
      <c r="W25" s="207"/>
    </row>
    <row r="26" spans="1:23" ht="25" customHeight="1" thickTop="1" x14ac:dyDescent="0.15">
      <c r="A26" s="143" t="str">
        <f>'Tariffs 2020'!F20</f>
        <v>EnergyAustralia</v>
      </c>
      <c r="B26" s="24" t="str">
        <f>'Tariffs 2020'!D20</f>
        <v>AGN Albury</v>
      </c>
      <c r="C26" s="144">
        <f>'Tariffs 2020'!E20</f>
        <v>42467</v>
      </c>
      <c r="D26" s="30">
        <f>60*'Tariffs 2020'!H20/100</f>
        <v>47.76</v>
      </c>
      <c r="E26" s="30">
        <f>IF($C$5&gt;='Tariffs 2020'!J20,('Tariffs 2020'!J20*'Tariffs 2020'!O20/100),($C$5*'Tariffs 2020'!O20/100))</f>
        <v>100</v>
      </c>
      <c r="F26" s="30">
        <f>IF($C$5&lt;'Tariffs 2020'!J20,0,IF(($C$5-'Tariffs 2020'!J20)&lt;='Tariffs 2020'!K20,(($C$5-'Tariffs 2020'!J20)*'Tariffs 2020'!P20/100),(('Tariffs 2020'!K20-'Tariffs 2020'!J20)*'Tariffs 2020'!P20/100)))</f>
        <v>0</v>
      </c>
      <c r="G26" s="30">
        <f>IF($C$5&lt;'Tariffs 2020'!K20,0,IF(($C$5-'Tariffs 2020'!K20)&lt;='Tariffs 2020'!L20,(($C$5-'Tariffs 2020'!K20)*'Tariffs 2020'!Q20/100),(('Tariffs 2020'!L20-'Tariffs 2020'!K20)*'Tariffs 2020'!Q20/100)))</f>
        <v>0</v>
      </c>
      <c r="H26" s="30">
        <v>0</v>
      </c>
      <c r="I26" s="30">
        <v>0</v>
      </c>
      <c r="J26" s="30">
        <f>IF(($C$5&lt;'Tariffs 2020'!N20),(0),($C$5-'Tariffs 2020'!N20)*'Tariffs 2020'!R20/100)</f>
        <v>0</v>
      </c>
      <c r="K26" s="30">
        <f t="shared" si="0"/>
        <v>147.76</v>
      </c>
      <c r="L26" s="229">
        <f t="shared" si="1"/>
        <v>886.56</v>
      </c>
      <c r="M26" s="145">
        <f t="shared" si="2"/>
        <v>975.21600000000001</v>
      </c>
      <c r="N26" s="207"/>
      <c r="O26" s="207"/>
      <c r="P26" s="207"/>
      <c r="Q26" s="207"/>
      <c r="R26" s="207"/>
      <c r="S26" s="207"/>
      <c r="T26" s="207"/>
      <c r="U26" s="207"/>
      <c r="V26" s="207"/>
      <c r="W26" s="207"/>
    </row>
    <row r="27" spans="1:23" ht="25" customHeight="1" x14ac:dyDescent="0.15">
      <c r="A27" s="143" t="str">
        <f>'Tariffs 2020'!F21</f>
        <v>Origin Energy</v>
      </c>
      <c r="B27" s="24" t="str">
        <f>'Tariffs 2020'!D21</f>
        <v>AGN Albury</v>
      </c>
      <c r="C27" s="144">
        <f>'Tariffs 2020'!E21</f>
        <v>42565</v>
      </c>
      <c r="D27" s="30">
        <f>60*'Tariffs 2020'!H21/100</f>
        <v>32.710909090909091</v>
      </c>
      <c r="E27" s="30">
        <f>IF($C$5&gt;='Tariffs 2020'!J21,('Tariffs 2020'!J21*'Tariffs 2020'!O21/100),($C$5*'Tariffs 2020'!O21/100))</f>
        <v>34.484999999999992</v>
      </c>
      <c r="F27" s="30">
        <f>IF($C$5&lt;'Tariffs 2020'!J21,0,IF(($C$5-'Tariffs 2020'!J21)&lt;='Tariffs 2020'!K21,(($C$5-'Tariffs 2020'!J21)*'Tariffs 2020'!P21/100),(('Tariffs 2020'!K21-'Tariffs 2020'!J21)*'Tariffs 2020'!P21/100)))</f>
        <v>0</v>
      </c>
      <c r="G27" s="30">
        <f>IF($C$5&lt;'Tariffs 2020'!K21,0,IF(($C$5-'Tariffs 2020'!K21)&lt;='Tariffs 2020'!L21,(($C$5-'Tariffs 2020'!K21)*'Tariffs 2020'!Q21/100),(('Tariffs 2020'!L21-'Tariffs 2020'!K21)*'Tariffs 2020'!Q21/100)))</f>
        <v>0</v>
      </c>
      <c r="H27" s="30">
        <v>0</v>
      </c>
      <c r="I27" s="30">
        <v>0</v>
      </c>
      <c r="J27" s="30">
        <f>IF(($C$5&lt;'Tariffs 2020'!N21),(0),($C$5-'Tariffs 2020'!N21)*'Tariffs 2020'!R21/100)</f>
        <v>41.594999999999999</v>
      </c>
      <c r="K27" s="30">
        <f>SUM(D27:J27)</f>
        <v>108.79090909090908</v>
      </c>
      <c r="L27" s="229">
        <f>K27*6</f>
        <v>652.74545454545455</v>
      </c>
      <c r="M27" s="145">
        <f t="shared" si="2"/>
        <v>718.0200000000001</v>
      </c>
      <c r="N27" s="207"/>
      <c r="O27" s="207"/>
      <c r="P27" s="207"/>
      <c r="Q27" s="207"/>
      <c r="R27" s="207"/>
      <c r="S27" s="207"/>
      <c r="T27" s="207"/>
      <c r="U27" s="207"/>
      <c r="V27" s="207"/>
      <c r="W27" s="207"/>
    </row>
    <row r="28" spans="1:23" ht="25" customHeight="1" x14ac:dyDescent="0.15">
      <c r="A28" s="143" t="str">
        <f>'Tariffs 2020'!F22</f>
        <v>AGL</v>
      </c>
      <c r="B28" s="24" t="str">
        <f>'Tariffs 2020'!D22</f>
        <v>AGN Albury</v>
      </c>
      <c r="C28" s="144">
        <f>'Tariffs 2020'!E22</f>
        <v>42551</v>
      </c>
      <c r="D28" s="30">
        <f>60*'Tariffs 2020'!H22/100</f>
        <v>38.503636363636367</v>
      </c>
      <c r="E28" s="30">
        <f>IF($C$5&gt;='Tariffs 2020'!J22,('Tariffs 2020'!J22*'Tariffs 2020'!O22/100),($C$5*'Tariffs 2020'!O22/100))</f>
        <v>36.599999999999994</v>
      </c>
      <c r="F28" s="30">
        <f>IF($C$5&lt;'Tariffs 2020'!J22,0,IF(($C$5-'Tariffs 2020'!J22)&gt;='Tariffs 2020'!K22,(($C$5-'Tariffs 2020'!J22)*'Tariffs 2020'!P22/100),(('Tariffs 2020'!K22-'Tariffs 2020'!J22)*'Tariffs 2020'!P22/100)))</f>
        <v>26.2</v>
      </c>
      <c r="G28" s="30">
        <f>IF($C$5&lt;'Tariffs 2020'!K22,0,IF(($C$5-'Tariffs 2020'!K22)&lt;='Tariffs 2020'!L22,(($C$5-'Tariffs 2020'!K22)*'Tariffs 2020'!Q22/100),(('Tariffs 2020'!L22-'Tariffs 2020'!K22)*'Tariffs 2020'!Q22/100)))</f>
        <v>19.665454545454544</v>
      </c>
      <c r="H28" s="30">
        <v>0</v>
      </c>
      <c r="I28" s="30">
        <v>0</v>
      </c>
      <c r="J28" s="30">
        <f>IF(($C$5&lt;'Tariffs 2020'!N22),(0),($C$5-'Tariffs 2020'!N22)*'Tariffs 2020'!R22/100)</f>
        <v>0</v>
      </c>
      <c r="K28" s="30">
        <f>SUM(D28:J28)</f>
        <v>120.96909090909091</v>
      </c>
      <c r="L28" s="229">
        <f>K28*6</f>
        <v>725.8145454545454</v>
      </c>
      <c r="M28" s="145">
        <f t="shared" ref="M28:M29" si="6">L28*1.1</f>
        <v>798.39599999999996</v>
      </c>
      <c r="N28" s="207"/>
      <c r="O28" s="207"/>
      <c r="P28" s="207"/>
      <c r="Q28" s="207"/>
      <c r="R28" s="207"/>
      <c r="S28" s="207"/>
      <c r="T28" s="207"/>
      <c r="U28" s="207"/>
      <c r="V28" s="207"/>
      <c r="W28" s="207"/>
    </row>
    <row r="29" spans="1:23" ht="25" customHeight="1" thickBot="1" x14ac:dyDescent="0.2">
      <c r="A29" s="176" t="str">
        <f>'Tariffs 2020'!F23</f>
        <v>Red Energy</v>
      </c>
      <c r="B29" s="177" t="str">
        <f>'Tariffs 2020'!D23</f>
        <v>AGN Albury</v>
      </c>
      <c r="C29" s="178">
        <f>'Tariffs 2020'!E23</f>
        <v>42551</v>
      </c>
      <c r="D29" s="179">
        <f>60*'Tariffs 2020'!H23/100</f>
        <v>38.912727272727274</v>
      </c>
      <c r="E29" s="179">
        <f>IF($C$5&gt;='Tariffs 2020'!J23,('Tariffs 2020'!J23*'Tariffs 2020'!O23/100),($C$5*'Tariffs 2020'!O23/100))</f>
        <v>35.25</v>
      </c>
      <c r="F29" s="179">
        <f>IF($C$5&lt;'Tariffs 2020'!J23,0,IF(($C$5-'Tariffs 2020'!J23)&gt;='Tariffs 2020'!K23,(($C$5-'Tariffs 2020'!J23)*'Tariffs 2020'!P23/100),(('Tariffs 2020'!K23-'Tariffs 2020'!J23)*'Tariffs 2020'!P23/100)))</f>
        <v>25.128181818181815</v>
      </c>
      <c r="G29" s="179">
        <f>IF($C$5&lt;'Tariffs 2020'!K23,0,IF(($C$5-'Tariffs 2020'!K23)&lt;='Tariffs 2020'!L23,(($C$5-'Tariffs 2020'!K23)*'Tariffs 2020'!Q23/100),(('Tariffs 2020'!L23-'Tariffs 2020'!K23)*'Tariffs 2020'!Q23/100)))</f>
        <v>18.72</v>
      </c>
      <c r="H29" s="179">
        <v>0</v>
      </c>
      <c r="I29" s="179">
        <v>0</v>
      </c>
      <c r="J29" s="179">
        <f>IF(($C$5&lt;'Tariffs 2020'!N23),(0),($C$5-'Tariffs 2020'!N23)*'Tariffs 2020'!R23/100)</f>
        <v>0</v>
      </c>
      <c r="K29" s="179">
        <f>SUM(D29:J29)</f>
        <v>118.01090909090908</v>
      </c>
      <c r="L29" s="230">
        <f>K29*6</f>
        <v>708.06545454545449</v>
      </c>
      <c r="M29" s="181">
        <f t="shared" si="6"/>
        <v>778.87199999999996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</row>
    <row r="30" spans="1:23" ht="25" customHeight="1" thickTop="1" x14ac:dyDescent="0.15">
      <c r="A30" s="143" t="str">
        <f>'Tariffs 2020'!F24</f>
        <v>EnergyAustralia</v>
      </c>
      <c r="B30" s="24" t="str">
        <f>'Tariffs 2020'!D24</f>
        <v>AGN Murray Valley</v>
      </c>
      <c r="C30" s="144">
        <f>'Tariffs 2020'!E24</f>
        <v>42467</v>
      </c>
      <c r="D30" s="30">
        <f>60*'Tariffs 2020'!H24/100</f>
        <v>45.84</v>
      </c>
      <c r="E30" s="30">
        <f>IF($C$5&gt;='Tariffs 2020'!J24,('Tariffs 2020'!J24*'Tariffs 2020'!O24/100),($C$5*'Tariffs 2020'!O24/100))</f>
        <v>145.45454545454544</v>
      </c>
      <c r="F30" s="30">
        <f>IF($C$5&lt;'Tariffs 2020'!J24,0,IF(($C$5-'Tariffs 2020'!J24)&lt;='Tariffs 2020'!K24,(($C$5-'Tariffs 2020'!J24)*'Tariffs 2020'!P24/100),(('Tariffs 2020'!K24-'Tariffs 2020'!J24)*'Tariffs 2020'!P24/100)))</f>
        <v>0</v>
      </c>
      <c r="G30" s="30">
        <f>IF($C$5&lt;'Tariffs 2020'!K24,0,IF(($C$5-'Tariffs 2020'!K24)&lt;='Tariffs 2020'!L24,(($C$5-'Tariffs 2020'!K24)*'Tariffs 2020'!Q24/100),(('Tariffs 2020'!L24-'Tariffs 2020'!K24)*'Tariffs 2020'!Q24/100)))</f>
        <v>0</v>
      </c>
      <c r="H30" s="30">
        <v>0</v>
      </c>
      <c r="I30" s="30">
        <v>0</v>
      </c>
      <c r="J30" s="30">
        <f>IF(($C$5&lt;'Tariffs 2020'!N24),(0),($C$5-'Tariffs 2020'!N24)*'Tariffs 2020'!R24/100)</f>
        <v>0</v>
      </c>
      <c r="K30" s="30">
        <f t="shared" ref="K30:K36" si="7">SUM(D30:J30)</f>
        <v>191.29454545454544</v>
      </c>
      <c r="L30" s="229">
        <f t="shared" ref="L30:L45" si="8">K30*6</f>
        <v>1147.7672727272727</v>
      </c>
      <c r="M30" s="145">
        <f t="shared" si="2"/>
        <v>1262.5440000000001</v>
      </c>
      <c r="N30" s="207"/>
      <c r="O30" s="207"/>
      <c r="P30" s="207"/>
      <c r="Q30" s="207"/>
      <c r="R30" s="207"/>
      <c r="S30" s="207"/>
      <c r="T30" s="207"/>
      <c r="U30" s="207"/>
      <c r="V30" s="207"/>
      <c r="W30" s="207"/>
    </row>
    <row r="31" spans="1:23" ht="25" customHeight="1" x14ac:dyDescent="0.15">
      <c r="A31" s="143" t="str">
        <f>'Tariffs 2020'!F25</f>
        <v>Origin Energy</v>
      </c>
      <c r="B31" s="24" t="str">
        <f>'Tariffs 2020'!D25</f>
        <v>AGN Murray Valley</v>
      </c>
      <c r="C31" s="144">
        <f>'Tariffs 2020'!E25</f>
        <v>42565</v>
      </c>
      <c r="D31" s="30">
        <f>60*'Tariffs 2020'!H25/100</f>
        <v>37.374545454545448</v>
      </c>
      <c r="E31" s="30">
        <f>IF($C$5&gt;='Tariffs 2020'!J25,('Tariffs 2020'!J25*'Tariffs 2020'!O25/100),($C$5*'Tariffs 2020'!O25/100))</f>
        <v>52.965000000000003</v>
      </c>
      <c r="F31" s="30">
        <f>IF($C$5&lt;'Tariffs 2020'!J25,0,IF(($C$5-'Tariffs 2020'!J25)&lt;='Tariffs 2020'!K25,(($C$5-'Tariffs 2020'!J25)*'Tariffs 2020'!P25/100),(('Tariffs 2020'!K25-'Tariffs 2020'!J25)*'Tariffs 2020'!P25/100)))</f>
        <v>0</v>
      </c>
      <c r="G31" s="30">
        <f>IF($C$5&lt;'Tariffs 2020'!K25,0,IF(($C$5-'Tariffs 2020'!K25)&lt;='Tariffs 2020'!L25,(($C$5-'Tariffs 2020'!K25)*'Tariffs 2020'!Q25/100),(('Tariffs 2020'!L25-'Tariffs 2020'!K25)*'Tariffs 2020'!Q25/100)))</f>
        <v>0</v>
      </c>
      <c r="H31" s="30">
        <v>0</v>
      </c>
      <c r="I31" s="30">
        <v>0</v>
      </c>
      <c r="J31" s="30">
        <f>IF(($C$5&lt;'Tariffs 2020'!N25),(0),($C$5-'Tariffs 2020'!N25)*'Tariffs 2020'!R25/100)</f>
        <v>55.695</v>
      </c>
      <c r="K31" s="30">
        <f t="shared" si="7"/>
        <v>146.03454545454545</v>
      </c>
      <c r="L31" s="229">
        <f t="shared" si="8"/>
        <v>876.20727272727277</v>
      </c>
      <c r="M31" s="145">
        <f t="shared" si="2"/>
        <v>963.82800000000009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</row>
    <row r="32" spans="1:23" ht="25" customHeight="1" x14ac:dyDescent="0.15">
      <c r="A32" s="143" t="str">
        <f>'Tariffs 2020'!F26</f>
        <v>AGL</v>
      </c>
      <c r="B32" s="24" t="str">
        <f>'Tariffs 2020'!D26</f>
        <v>AGN Murray Valley</v>
      </c>
      <c r="C32" s="144">
        <f>'Tariffs 2020'!E26</f>
        <v>42551</v>
      </c>
      <c r="D32" s="30">
        <f>60*'Tariffs 2020'!H26/100</f>
        <v>44.094545454545454</v>
      </c>
      <c r="E32" s="30">
        <f>IF($C$5&gt;='Tariffs 2020'!J26,('Tariffs 2020'!J26*'Tariffs 2020'!O26/100),($C$5*'Tariffs 2020'!O26/100))</f>
        <v>57.449999999999989</v>
      </c>
      <c r="F32" s="30">
        <f>IF($C$5&lt;'Tariffs 2020'!J26,0,IF(($C$5-'Tariffs 2020'!J26)&gt;='Tariffs 2020'!K26,(($C$5-'Tariffs 2020'!J26)*'Tariffs 2020'!P26/100),(('Tariffs 2020'!K26-'Tariffs 2020'!J26)*'Tariffs 2020'!P26/100)))</f>
        <v>41.443636363636358</v>
      </c>
      <c r="G32" s="30">
        <f>IF($C$5&lt;'Tariffs 2020'!K26,0,IF(($C$5-'Tariffs 2020'!K26)&lt;='Tariffs 2020'!L26,(($C$5-'Tariffs 2020'!K26)*'Tariffs 2020'!Q26/100),(('Tariffs 2020'!L26-'Tariffs 2020'!K26)*'Tariffs 2020'!Q26/100)))</f>
        <v>26.283636363636361</v>
      </c>
      <c r="H32" s="30">
        <v>0</v>
      </c>
      <c r="I32" s="30">
        <v>0</v>
      </c>
      <c r="J32" s="30">
        <f>IF(($C$5&lt;'Tariffs 2020'!N26),(0),($C$5-'Tariffs 2020'!N26)*'Tariffs 2020'!R26/100)</f>
        <v>0</v>
      </c>
      <c r="K32" s="30">
        <f t="shared" ref="K32" si="9">SUM(D32:J32)</f>
        <v>169.27181818181816</v>
      </c>
      <c r="L32" s="229">
        <f t="shared" ref="L32" si="10">K32*6</f>
        <v>1015.630909090909</v>
      </c>
      <c r="M32" s="145">
        <f t="shared" ref="M32" si="11">L32*1.1</f>
        <v>1117.194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</row>
    <row r="33" spans="1:23" ht="25" customHeight="1" thickBot="1" x14ac:dyDescent="0.2">
      <c r="A33" s="176" t="str">
        <f>'Tariffs 2020'!F27</f>
        <v>Red Energy</v>
      </c>
      <c r="B33" s="177" t="str">
        <f>'Tariffs 2020'!D27</f>
        <v>AGN Murray Valley</v>
      </c>
      <c r="C33" s="178">
        <f>'Tariffs 2020'!E27</f>
        <v>42551</v>
      </c>
      <c r="D33" s="179">
        <f>60*'Tariffs 2020'!H27/100</f>
        <v>41.569090909090903</v>
      </c>
      <c r="E33" s="179">
        <f>IF($C$5&gt;='Tariffs 2020'!J27,('Tariffs 2020'!J27*'Tariffs 2020'!O27/100),($C$5*'Tariffs 2020'!O27/100))</f>
        <v>52.5</v>
      </c>
      <c r="F33" s="179">
        <f>IF($C$5&lt;'Tariffs 2020'!J27,0,IF(($C$5-'Tariffs 2020'!J27)&gt;='Tariffs 2020'!K27,(($C$5-'Tariffs 2020'!J27)*'Tariffs 2020'!P27/100),(('Tariffs 2020'!K27-'Tariffs 2020'!J27)*'Tariffs 2020'!P27/100)))</f>
        <v>38.585454545454546</v>
      </c>
      <c r="G33" s="179">
        <f>IF($C$5&lt;'Tariffs 2020'!K27,0,IF(($C$5-'Tariffs 2020'!K27)&lt;='Tariffs 2020'!L27,(($C$5-'Tariffs 2020'!K27)*'Tariffs 2020'!Q27/100),(('Tariffs 2020'!L27-'Tariffs 2020'!K27)*'Tariffs 2020'!Q27/100)))</f>
        <v>24.487272727272721</v>
      </c>
      <c r="H33" s="179">
        <v>0</v>
      </c>
      <c r="I33" s="179">
        <v>0</v>
      </c>
      <c r="J33" s="179">
        <f>IF(($C$5&lt;'Tariffs 2020'!N27),(0),($C$5-'Tariffs 2020'!N27)*'Tariffs 2020'!R27/100)</f>
        <v>0</v>
      </c>
      <c r="K33" s="179">
        <f t="shared" ref="K33" si="12">SUM(D33:J33)</f>
        <v>157.14181818181817</v>
      </c>
      <c r="L33" s="230">
        <f t="shared" ref="L33" si="13">K33*6</f>
        <v>942.850909090909</v>
      </c>
      <c r="M33" s="181">
        <f t="shared" ref="M33" si="14">L33*1.1</f>
        <v>1037.136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</row>
    <row r="34" spans="1:23" ht="25" customHeight="1" thickTop="1" x14ac:dyDescent="0.15">
      <c r="A34" s="143" t="str">
        <f>'Tariffs 2020'!F28</f>
        <v>Origin Energy</v>
      </c>
      <c r="B34" s="24" t="str">
        <f>'Tariffs 2020'!D28</f>
        <v>AGN Cooma</v>
      </c>
      <c r="C34" s="144">
        <f>'Tariffs 2020'!E28</f>
        <v>42565</v>
      </c>
      <c r="D34" s="30">
        <f>60*'Tariffs 2020'!H28/100</f>
        <v>42.54</v>
      </c>
      <c r="E34" s="30">
        <f>$C$5*'Tariffs 2020'!O28/100</f>
        <v>107.2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f t="shared" si="7"/>
        <v>149.74</v>
      </c>
      <c r="L34" s="229">
        <f t="shared" si="8"/>
        <v>898.44</v>
      </c>
      <c r="M34" s="145">
        <f t="shared" si="2"/>
        <v>988.28400000000011</v>
      </c>
      <c r="N34" s="207"/>
      <c r="O34" s="207"/>
      <c r="P34" s="207"/>
      <c r="Q34" s="207"/>
      <c r="R34" s="207"/>
      <c r="S34" s="207"/>
      <c r="T34" s="207"/>
      <c r="U34" s="207"/>
      <c r="V34" s="207"/>
      <c r="W34" s="207"/>
    </row>
    <row r="35" spans="1:23" ht="25" customHeight="1" thickBot="1" x14ac:dyDescent="0.2">
      <c r="A35" s="176" t="str">
        <f>'Tariffs 2020'!F29</f>
        <v>Red Energy</v>
      </c>
      <c r="B35" s="177" t="str">
        <f>'Tariffs 2020'!D29</f>
        <v>AGN Cooma</v>
      </c>
      <c r="C35" s="178">
        <f>'Tariffs 2020'!E29</f>
        <v>42551</v>
      </c>
      <c r="D35" s="179">
        <f>60*'Tariffs 2020'!H29/100</f>
        <v>43.56545454545455</v>
      </c>
      <c r="E35" s="179">
        <f>$C$5*'Tariffs 2020'!O29/100</f>
        <v>124</v>
      </c>
      <c r="F35" s="179">
        <v>0</v>
      </c>
      <c r="G35" s="179">
        <v>0</v>
      </c>
      <c r="H35" s="179">
        <v>0</v>
      </c>
      <c r="I35" s="179">
        <v>0</v>
      </c>
      <c r="J35" s="179">
        <v>0</v>
      </c>
      <c r="K35" s="179">
        <f t="shared" si="7"/>
        <v>167.56545454545454</v>
      </c>
      <c r="L35" s="230">
        <f t="shared" si="8"/>
        <v>1005.3927272727273</v>
      </c>
      <c r="M35" s="181">
        <f t="shared" si="2"/>
        <v>1105.932</v>
      </c>
    </row>
    <row r="36" spans="1:23" ht="25" customHeight="1" thickTop="1" x14ac:dyDescent="0.15">
      <c r="A36" s="143" t="str">
        <f>'Tariffs 2020'!F30</f>
        <v>Origin Energy</v>
      </c>
      <c r="B36" s="24" t="str">
        <f>'Tariffs 2020'!D30</f>
        <v>AGN Temora</v>
      </c>
      <c r="C36" s="144">
        <f>'Tariffs 2020'!E30</f>
        <v>42565</v>
      </c>
      <c r="D36" s="30">
        <f>60*'Tariffs 2020'!H30/100</f>
        <v>45.54</v>
      </c>
      <c r="E36" s="30">
        <f>$C$5*'Tariffs 2020'!O30/100</f>
        <v>107.2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f t="shared" si="7"/>
        <v>152.74</v>
      </c>
      <c r="L36" s="229">
        <f t="shared" si="8"/>
        <v>916.44</v>
      </c>
      <c r="M36" s="145">
        <f t="shared" si="2"/>
        <v>1008.0840000000002</v>
      </c>
    </row>
    <row r="37" spans="1:23" ht="25" customHeight="1" x14ac:dyDescent="0.15">
      <c r="A37" s="143" t="str">
        <f>'Tariffs 2020'!F31</f>
        <v>AGL</v>
      </c>
      <c r="B37" s="24" t="str">
        <f>'Tariffs 2020'!D31</f>
        <v>AGN Temora</v>
      </c>
      <c r="C37" s="144">
        <f>'Tariffs 2020'!E31</f>
        <v>42551</v>
      </c>
      <c r="D37" s="30">
        <f>60*'Tariffs 2020'!H31/100</f>
        <v>52.789090909090902</v>
      </c>
      <c r="E37" s="30">
        <f>$C$5*'Tariffs 2020'!O31/100</f>
        <v>118.18181818181816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f t="shared" ref="K37" si="15">SUM(D37:J37)</f>
        <v>170.97090909090906</v>
      </c>
      <c r="L37" s="229">
        <f t="shared" ref="L37" si="16">K37*6</f>
        <v>1025.8254545454542</v>
      </c>
      <c r="M37" s="145">
        <f t="shared" ref="M37" si="17">L37*1.1</f>
        <v>1128.4079999999997</v>
      </c>
    </row>
    <row r="38" spans="1:23" ht="25" customHeight="1" thickBot="1" x14ac:dyDescent="0.2">
      <c r="A38" s="176" t="str">
        <f>'Tariffs 2020'!F32</f>
        <v>Red Energy</v>
      </c>
      <c r="B38" s="177" t="str">
        <f>'Tariffs 2020'!D32</f>
        <v>AGN Temora</v>
      </c>
      <c r="C38" s="178">
        <f>'Tariffs 2020'!E32</f>
        <v>42551</v>
      </c>
      <c r="D38" s="179">
        <f>60*'Tariffs 2020'!H32/100</f>
        <v>39</v>
      </c>
      <c r="E38" s="179">
        <f>$C$5*'Tariffs 2020'!O32/100</f>
        <v>106.18181818181819</v>
      </c>
      <c r="F38" s="179">
        <v>0</v>
      </c>
      <c r="G38" s="179">
        <v>0</v>
      </c>
      <c r="H38" s="179">
        <v>0</v>
      </c>
      <c r="I38" s="179">
        <v>0</v>
      </c>
      <c r="J38" s="179">
        <v>0</v>
      </c>
      <c r="K38" s="179">
        <f>SUM(D38:J38)</f>
        <v>145.18181818181819</v>
      </c>
      <c r="L38" s="230">
        <f>K38*6</f>
        <v>871.09090909090912</v>
      </c>
      <c r="M38" s="181">
        <f t="shared" ref="M38" si="18">L38*1.1</f>
        <v>958.20000000000016</v>
      </c>
    </row>
    <row r="39" spans="1:23" ht="25" customHeight="1" thickTop="1" x14ac:dyDescent="0.15">
      <c r="A39" s="143" t="str">
        <f>'Tariffs 2020'!F33</f>
        <v>Origin Energy</v>
      </c>
      <c r="B39" s="24" t="str">
        <f>'Tariffs 2020'!D33</f>
        <v>AGN Tumut</v>
      </c>
      <c r="C39" s="144">
        <f>'Tariffs 2020'!E33</f>
        <v>42565</v>
      </c>
      <c r="D39" s="30">
        <f>60*'Tariffs 2020'!H33/100</f>
        <v>48.84</v>
      </c>
      <c r="E39" s="30">
        <f>$C$5*'Tariffs 2020'!O33/100</f>
        <v>107.2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f t="shared" ref="K39:K45" si="19">SUM(D39:J39)</f>
        <v>156.04000000000002</v>
      </c>
      <c r="L39" s="229">
        <f t="shared" si="8"/>
        <v>936.24000000000012</v>
      </c>
      <c r="M39" s="145">
        <f t="shared" si="2"/>
        <v>1029.8640000000003</v>
      </c>
    </row>
    <row r="40" spans="1:23" ht="25" customHeight="1" thickBot="1" x14ac:dyDescent="0.2">
      <c r="A40" s="176" t="str">
        <f>'Tariffs 2020'!F34</f>
        <v>Red Energy</v>
      </c>
      <c r="B40" s="177" t="str">
        <f>'Tariffs 2020'!D34</f>
        <v>AGN Tumut</v>
      </c>
      <c r="C40" s="178">
        <f>'Tariffs 2020'!E34</f>
        <v>42551</v>
      </c>
      <c r="D40" s="179">
        <f>60*'Tariffs 2020'!H34/100</f>
        <v>49.810909090909078</v>
      </c>
      <c r="E40" s="179">
        <f>$C$5*'Tariffs 2020'!O34/100</f>
        <v>124</v>
      </c>
      <c r="F40" s="179">
        <v>0</v>
      </c>
      <c r="G40" s="179">
        <v>0</v>
      </c>
      <c r="H40" s="179">
        <v>0</v>
      </c>
      <c r="I40" s="179">
        <v>0</v>
      </c>
      <c r="J40" s="179">
        <v>0</v>
      </c>
      <c r="K40" s="179">
        <f t="shared" si="19"/>
        <v>173.81090909090909</v>
      </c>
      <c r="L40" s="230">
        <f t="shared" si="8"/>
        <v>1042.8654545454547</v>
      </c>
      <c r="M40" s="181">
        <f t="shared" si="2"/>
        <v>1147.1520000000003</v>
      </c>
    </row>
    <row r="41" spans="1:23" ht="25" customHeight="1" thickTop="1" x14ac:dyDescent="0.15">
      <c r="A41" s="143" t="str">
        <f>'Tariffs 2020'!F35</f>
        <v>Origin Energy</v>
      </c>
      <c r="B41" s="24" t="str">
        <f>'Tariffs 2020'!D35</f>
        <v>AGN Wagga Wagga</v>
      </c>
      <c r="C41" s="144">
        <f>'Tariffs 2020'!E35</f>
        <v>42565</v>
      </c>
      <c r="D41" s="30">
        <f>60*'Tariffs 2020'!H35/100</f>
        <v>51.84</v>
      </c>
      <c r="E41" s="30">
        <f>$C$5*'Tariffs 2020'!O35/100</f>
        <v>88.8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f t="shared" si="19"/>
        <v>140.63999999999999</v>
      </c>
      <c r="L41" s="229">
        <f t="shared" si="8"/>
        <v>843.83999999999992</v>
      </c>
      <c r="M41" s="145">
        <f t="shared" si="2"/>
        <v>928.22399999999993</v>
      </c>
    </row>
    <row r="42" spans="1:23" ht="25" customHeight="1" x14ac:dyDescent="0.15">
      <c r="A42" s="143" t="str">
        <f>'Tariffs 2020'!F36</f>
        <v>AGL</v>
      </c>
      <c r="B42" s="24" t="str">
        <f>'Tariffs 2020'!D36</f>
        <v>AGN Wagga Wagga</v>
      </c>
      <c r="C42" s="144">
        <f>'Tariffs 2020'!E36</f>
        <v>42551</v>
      </c>
      <c r="D42" s="30">
        <f>60*'Tariffs 2020'!H36/100</f>
        <v>59.618181818181817</v>
      </c>
      <c r="E42" s="30">
        <f>$C$5*'Tariffs 2020'!O36/100</f>
        <v>96.72727272727272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f t="shared" ref="K42:K43" si="20">SUM(D42:J42)</f>
        <v>156.34545454545454</v>
      </c>
      <c r="L42" s="229">
        <f t="shared" ref="L42:L43" si="21">K42*6</f>
        <v>938.07272727272721</v>
      </c>
      <c r="M42" s="145">
        <f t="shared" ref="M42:M43" si="22">L42*1.1</f>
        <v>1031.8800000000001</v>
      </c>
    </row>
    <row r="43" spans="1:23" ht="25" customHeight="1" x14ac:dyDescent="0.15">
      <c r="A43" s="143" t="str">
        <f>'Tariffs 2020'!F37</f>
        <v>EnergyAustralia</v>
      </c>
      <c r="B43" s="24" t="str">
        <f>'Tariffs 2020'!D37</f>
        <v>AGN Wagga Wagga</v>
      </c>
      <c r="C43" s="144">
        <f>'Tariffs 2020'!E37</f>
        <v>42467</v>
      </c>
      <c r="D43" s="30">
        <f>60*'Tariffs 2020'!H37/100</f>
        <v>58.26</v>
      </c>
      <c r="E43" s="30">
        <f>$C$5*'Tariffs 2020'!O37/100</f>
        <v>100.72727272727272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f t="shared" si="20"/>
        <v>158.98727272727271</v>
      </c>
      <c r="L43" s="229">
        <f t="shared" si="21"/>
        <v>953.92363636363621</v>
      </c>
      <c r="M43" s="145">
        <f t="shared" si="22"/>
        <v>1049.3159999999998</v>
      </c>
    </row>
    <row r="44" spans="1:23" ht="25" customHeight="1" thickBot="1" x14ac:dyDescent="0.2">
      <c r="A44" s="176" t="str">
        <f>'Tariffs 2020'!F38</f>
        <v>Red Energy</v>
      </c>
      <c r="B44" s="177" t="str">
        <f>'Tariffs 2020'!D38</f>
        <v>AGN Wagga Wagga</v>
      </c>
      <c r="C44" s="178">
        <f>'Tariffs 2020'!E38</f>
        <v>42551</v>
      </c>
      <c r="D44" s="179">
        <f>60*'Tariffs 2020'!H38/100</f>
        <v>52.2</v>
      </c>
      <c r="E44" s="179">
        <f>$C$5*'Tariffs 2020'!O38/100</f>
        <v>90.181818181818187</v>
      </c>
      <c r="F44" s="179">
        <v>0</v>
      </c>
      <c r="G44" s="179">
        <v>0</v>
      </c>
      <c r="H44" s="179">
        <v>0</v>
      </c>
      <c r="I44" s="179">
        <v>0</v>
      </c>
      <c r="J44" s="179">
        <v>0</v>
      </c>
      <c r="K44" s="179">
        <f t="shared" ref="K44" si="23">SUM(D44:J44)</f>
        <v>142.38181818181818</v>
      </c>
      <c r="L44" s="230">
        <f t="shared" ref="L44" si="24">K44*6</f>
        <v>854.29090909090905</v>
      </c>
      <c r="M44" s="181">
        <f t="shared" ref="M44" si="25">L44*1.1</f>
        <v>939.72</v>
      </c>
    </row>
    <row r="45" spans="1:23" ht="25" customHeight="1" thickTop="1" thickBot="1" x14ac:dyDescent="0.2">
      <c r="A45" s="150" t="str">
        <f>'Tariffs 2020'!F39</f>
        <v>Origin Energy</v>
      </c>
      <c r="B45" s="151" t="str">
        <f>'Tariffs 2020'!D39</f>
        <v>Central Ranges Pipeline Tamworth</v>
      </c>
      <c r="C45" s="152">
        <f>'Tariffs 2020'!E39</f>
        <v>42565</v>
      </c>
      <c r="D45" s="153">
        <f>60*'Tariffs 2020'!H39/100</f>
        <v>38.159999999999997</v>
      </c>
      <c r="E45" s="153">
        <f>$C$5*'Tariffs 2020'!O39/100</f>
        <v>154.4</v>
      </c>
      <c r="F45" s="153">
        <v>0</v>
      </c>
      <c r="G45" s="153">
        <v>0</v>
      </c>
      <c r="H45" s="153">
        <v>0</v>
      </c>
      <c r="I45" s="153">
        <v>0</v>
      </c>
      <c r="J45" s="153">
        <v>0</v>
      </c>
      <c r="K45" s="153">
        <f t="shared" si="19"/>
        <v>192.56</v>
      </c>
      <c r="L45" s="232">
        <f t="shared" si="8"/>
        <v>1155.3600000000001</v>
      </c>
      <c r="M45" s="154">
        <f t="shared" si="2"/>
        <v>1270.8960000000002</v>
      </c>
    </row>
    <row r="46" spans="1:23" ht="25" customHeight="1" x14ac:dyDescent="0.15"/>
  </sheetData>
  <sheetProtection algorithmName="SHA-512" hashValue="Fldx48IpyS5qMcIIcBC69+7esnbjNVS+8iJTb3kjsIqc+WjNg6ZGpJaiT+wqRDYARxljq3Y7uGO27t2NOaF+NQ==" saltValue="Bin8rkOouHcW8Dt2x+DT2Q==" spinCount="100000" sheet="1" objects="1" scenarios="1"/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/>
  <dimension ref="A1:K18"/>
  <sheetViews>
    <sheetView zoomScale="150" workbookViewId="0">
      <selection activeCell="E8" sqref="E8:I8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15">
      <c r="A3" s="5" t="s">
        <v>113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84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56</v>
      </c>
      <c r="F6" s="19" t="s">
        <v>102</v>
      </c>
      <c r="G6" s="19" t="s">
        <v>173</v>
      </c>
      <c r="H6" s="19" t="s">
        <v>145</v>
      </c>
      <c r="I6" s="19" t="s">
        <v>131</v>
      </c>
      <c r="J6" s="19"/>
    </row>
    <row r="7" spans="1:11" x14ac:dyDescent="0.15">
      <c r="A7" t="s">
        <v>110</v>
      </c>
      <c r="D7" s="8"/>
      <c r="E7">
        <v>1.792</v>
      </c>
      <c r="F7">
        <v>1.7829999999999999</v>
      </c>
      <c r="G7">
        <v>1.7829999999999999</v>
      </c>
      <c r="H7">
        <v>1.8819999999999999</v>
      </c>
      <c r="I7">
        <v>1.4450000000000001</v>
      </c>
    </row>
    <row r="8" spans="1:11" x14ac:dyDescent="0.15">
      <c r="A8" t="s">
        <v>55</v>
      </c>
      <c r="D8" s="8"/>
      <c r="E8">
        <v>52.738</v>
      </c>
      <c r="F8">
        <v>57.823</v>
      </c>
      <c r="G8">
        <v>57.823</v>
      </c>
      <c r="H8">
        <v>61.01</v>
      </c>
      <c r="I8">
        <v>65.932000000000002</v>
      </c>
    </row>
    <row r="9" spans="1:11" x14ac:dyDescent="0.15">
      <c r="D9" s="8"/>
    </row>
    <row r="10" spans="1:11" x14ac:dyDescent="0.1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x14ac:dyDescent="0.15">
      <c r="A11" s="14" t="s">
        <v>111</v>
      </c>
    </row>
    <row r="12" spans="1:11" x14ac:dyDescent="0.15">
      <c r="A12" s="19" t="s">
        <v>231</v>
      </c>
      <c r="B12" t="s">
        <v>232</v>
      </c>
    </row>
    <row r="13" spans="1:11" x14ac:dyDescent="0.15">
      <c r="A13" s="19" t="s">
        <v>112</v>
      </c>
      <c r="B13" t="s">
        <v>60</v>
      </c>
    </row>
    <row r="14" spans="1:11" x14ac:dyDescent="0.15">
      <c r="A14" s="19" t="s">
        <v>209</v>
      </c>
      <c r="B14" t="s">
        <v>61</v>
      </c>
    </row>
    <row r="15" spans="1:11" x14ac:dyDescent="0.15">
      <c r="A15" s="19" t="s">
        <v>210</v>
      </c>
      <c r="B15" t="s">
        <v>103</v>
      </c>
    </row>
    <row r="16" spans="1:11" x14ac:dyDescent="0.15">
      <c r="A16" s="19" t="s">
        <v>206</v>
      </c>
      <c r="B16" t="s">
        <v>89</v>
      </c>
    </row>
    <row r="18" spans="1:11" x14ac:dyDescent="0.15">
      <c r="A18" s="10"/>
      <c r="B18" s="11"/>
      <c r="C18" s="11"/>
      <c r="D18" s="11"/>
      <c r="E18" s="11"/>
      <c r="F18" s="11"/>
      <c r="G18" s="11"/>
      <c r="H18" s="11"/>
      <c r="I18" s="11"/>
      <c r="J18" s="11"/>
      <c r="K18" s="11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/>
  <dimension ref="A1:K18"/>
  <sheetViews>
    <sheetView zoomScale="150" workbookViewId="0">
      <selection activeCell="E10" sqref="E10:G1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15">
      <c r="A3" s="5" t="s">
        <v>100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84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212</v>
      </c>
      <c r="F6" s="15" t="s">
        <v>1</v>
      </c>
      <c r="G6" s="15" t="s">
        <v>80</v>
      </c>
    </row>
    <row r="7" spans="1:11" x14ac:dyDescent="0.15">
      <c r="A7" s="16" t="s">
        <v>214</v>
      </c>
      <c r="B7" s="16"/>
      <c r="C7" s="16"/>
      <c r="D7" s="17"/>
      <c r="E7" s="16">
        <v>3615</v>
      </c>
      <c r="F7" s="16">
        <v>2960</v>
      </c>
      <c r="G7" s="16">
        <v>0</v>
      </c>
    </row>
    <row r="8" spans="1:11" x14ac:dyDescent="0.15">
      <c r="A8" t="s">
        <v>216</v>
      </c>
      <c r="D8" s="8"/>
      <c r="E8">
        <v>1.7919</v>
      </c>
      <c r="F8">
        <v>1.5246</v>
      </c>
      <c r="G8">
        <v>1.9294</v>
      </c>
    </row>
    <row r="9" spans="1:11" x14ac:dyDescent="0.15">
      <c r="A9" t="s">
        <v>180</v>
      </c>
      <c r="D9" s="8"/>
      <c r="E9">
        <v>1.7687999999999999</v>
      </c>
      <c r="F9">
        <v>1.7467999999999999</v>
      </c>
      <c r="G9">
        <v>0</v>
      </c>
    </row>
    <row r="10" spans="1:11" x14ac:dyDescent="0.15">
      <c r="A10" t="s">
        <v>55</v>
      </c>
      <c r="D10" s="8"/>
      <c r="E10">
        <v>54.372999999999998</v>
      </c>
      <c r="F10">
        <v>62.689</v>
      </c>
      <c r="G10">
        <v>50.567</v>
      </c>
    </row>
    <row r="11" spans="1:11" x14ac:dyDescent="0.15">
      <c r="D11" s="8"/>
    </row>
    <row r="12" spans="1:11" x14ac:dyDescent="0.1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</row>
    <row r="13" spans="1:11" x14ac:dyDescent="0.15">
      <c r="A13" s="14" t="s">
        <v>111</v>
      </c>
    </row>
    <row r="14" spans="1:11" x14ac:dyDescent="0.15">
      <c r="A14" s="19" t="s">
        <v>82</v>
      </c>
      <c r="B14" t="s">
        <v>2</v>
      </c>
    </row>
    <row r="15" spans="1:11" x14ac:dyDescent="0.15">
      <c r="A15" s="19" t="s">
        <v>190</v>
      </c>
      <c r="B15" t="s">
        <v>107</v>
      </c>
    </row>
    <row r="16" spans="1:11" x14ac:dyDescent="0.15">
      <c r="A16" s="19" t="s">
        <v>157</v>
      </c>
      <c r="B16" t="s">
        <v>3</v>
      </c>
    </row>
    <row r="18" spans="1:11" x14ac:dyDescent="0.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/>
  <dimension ref="A1:K21"/>
  <sheetViews>
    <sheetView zoomScale="150" workbookViewId="0">
      <selection activeCell="E14" sqref="E14:F1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1" t="s">
        <v>66</v>
      </c>
    </row>
    <row r="2" spans="1:11" x14ac:dyDescent="0.15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x14ac:dyDescent="0.15">
      <c r="A3" s="5" t="s">
        <v>101</v>
      </c>
      <c r="B3" s="6"/>
      <c r="C3" s="6"/>
      <c r="D3" s="7"/>
      <c r="E3" s="6"/>
      <c r="F3" s="6"/>
      <c r="G3" s="6"/>
      <c r="H3" s="6"/>
      <c r="I3" s="6"/>
      <c r="J3" s="6"/>
      <c r="K3" s="6"/>
    </row>
    <row r="4" spans="1:11" x14ac:dyDescent="0.15">
      <c r="D4" s="8"/>
      <c r="E4" s="9" t="s">
        <v>84</v>
      </c>
    </row>
    <row r="5" spans="1:11" x14ac:dyDescent="0.15">
      <c r="D5" s="8"/>
    </row>
    <row r="6" spans="1:11" x14ac:dyDescent="0.15">
      <c r="A6" s="14" t="s">
        <v>20</v>
      </c>
      <c r="D6" s="8"/>
      <c r="E6" s="15" t="s">
        <v>138</v>
      </c>
      <c r="F6" s="15" t="s">
        <v>109</v>
      </c>
    </row>
    <row r="7" spans="1:11" x14ac:dyDescent="0.15">
      <c r="A7" s="20" t="s">
        <v>96</v>
      </c>
      <c r="D7" s="8"/>
      <c r="E7" s="18">
        <v>2</v>
      </c>
      <c r="F7" s="18">
        <v>0</v>
      </c>
    </row>
    <row r="8" spans="1:11" x14ac:dyDescent="0.15">
      <c r="A8" s="20" t="s">
        <v>37</v>
      </c>
      <c r="D8" s="8"/>
      <c r="E8" s="18">
        <v>4</v>
      </c>
      <c r="F8" s="18">
        <v>0</v>
      </c>
    </row>
    <row r="9" spans="1:11" x14ac:dyDescent="0.15">
      <c r="A9" s="16" t="s">
        <v>214</v>
      </c>
      <c r="B9" s="16"/>
      <c r="C9" s="16"/>
      <c r="D9" s="17"/>
      <c r="E9" s="16">
        <v>4000</v>
      </c>
      <c r="F9" s="16">
        <v>0</v>
      </c>
    </row>
    <row r="10" spans="1:11" x14ac:dyDescent="0.15">
      <c r="A10" t="s">
        <v>216</v>
      </c>
      <c r="D10" s="8"/>
      <c r="E10">
        <v>1.1067</v>
      </c>
      <c r="F10">
        <v>1.9370000000000001</v>
      </c>
    </row>
    <row r="11" spans="1:11" x14ac:dyDescent="0.15">
      <c r="A11" t="s">
        <v>180</v>
      </c>
      <c r="D11" s="8"/>
      <c r="E11">
        <v>1.3478000000000001</v>
      </c>
      <c r="F11">
        <v>0</v>
      </c>
    </row>
    <row r="12" spans="1:11" x14ac:dyDescent="0.15">
      <c r="A12" t="s">
        <v>63</v>
      </c>
      <c r="D12" s="8"/>
      <c r="E12">
        <v>1.0358000000000001</v>
      </c>
      <c r="F12">
        <v>0</v>
      </c>
    </row>
    <row r="13" spans="1:11" x14ac:dyDescent="0.15">
      <c r="A13" t="s">
        <v>273</v>
      </c>
      <c r="D13" s="8"/>
      <c r="E13">
        <v>1.2343</v>
      </c>
      <c r="F13">
        <v>0</v>
      </c>
    </row>
    <row r="14" spans="1:11" x14ac:dyDescent="0.15">
      <c r="A14" t="s">
        <v>55</v>
      </c>
      <c r="D14" s="8"/>
      <c r="E14">
        <v>37.799999999999997</v>
      </c>
      <c r="F14">
        <v>49.08</v>
      </c>
    </row>
    <row r="15" spans="1:11" x14ac:dyDescent="0.15">
      <c r="D15" s="8"/>
    </row>
    <row r="16" spans="1:11" x14ac:dyDescent="0.1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x14ac:dyDescent="0.15">
      <c r="A17" s="14" t="s">
        <v>111</v>
      </c>
    </row>
    <row r="18" spans="1:11" x14ac:dyDescent="0.15">
      <c r="A18" s="19" t="s">
        <v>217</v>
      </c>
      <c r="B18" t="s">
        <v>172</v>
      </c>
    </row>
    <row r="19" spans="1:11" x14ac:dyDescent="0.15">
      <c r="A19" s="19" t="s">
        <v>87</v>
      </c>
      <c r="B19" t="s">
        <v>165</v>
      </c>
    </row>
    <row r="21" spans="1:11" x14ac:dyDescent="0.15">
      <c r="A21" s="10"/>
      <c r="B21" s="11"/>
      <c r="C21" s="11"/>
      <c r="D21" s="11"/>
      <c r="E21" s="11"/>
      <c r="F21" s="11"/>
      <c r="G21" s="11"/>
      <c r="H21" s="11"/>
      <c r="I21" s="11"/>
      <c r="J21" s="11"/>
      <c r="K21" s="11"/>
    </row>
  </sheetData>
  <sheetProtection password="CC31" sheet="1" objects="1" scenarios="1"/>
  <phoneticPr fontId="6" type="noConversion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940CA-0BF0-6848-B1E1-858D9CDEEF43}">
  <sheetPr codeName="Sheet3"/>
  <dimension ref="A1:W37"/>
  <sheetViews>
    <sheetView zoomScale="99" workbookViewId="0">
      <selection activeCell="C6" sqref="C6"/>
    </sheetView>
  </sheetViews>
  <sheetFormatPr baseColWidth="10" defaultRowHeight="13" x14ac:dyDescent="0.15"/>
  <cols>
    <col min="1" max="1" width="18" style="190" customWidth="1"/>
    <col min="2" max="2" width="30.83203125" style="190" bestFit="1" customWidth="1"/>
    <col min="3" max="3" width="12.5" style="190" customWidth="1"/>
    <col min="4" max="11" width="12.1640625" style="190" customWidth="1"/>
    <col min="12" max="12" width="12.1640625" style="190" hidden="1" customWidth="1"/>
    <col min="13" max="17" width="12.1640625" style="190" customWidth="1"/>
    <col min="18" max="19" width="10.6640625" style="190" customWidth="1"/>
    <col min="20" max="23" width="12.1640625" style="190" customWidth="1"/>
    <col min="24" max="16384" width="10.83203125" style="190"/>
  </cols>
  <sheetData>
    <row r="1" spans="1:23" ht="14" x14ac:dyDescent="0.15">
      <c r="A1" s="189" t="s">
        <v>321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</row>
    <row r="2" spans="1:23" ht="14" x14ac:dyDescent="0.15">
      <c r="A2" s="191" t="s">
        <v>198</v>
      </c>
      <c r="B2" s="191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</row>
    <row r="3" spans="1:23" ht="15" thickBot="1" x14ac:dyDescent="0.2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</row>
    <row r="4" spans="1:23" ht="14" x14ac:dyDescent="0.15">
      <c r="A4" s="137" t="s">
        <v>199</v>
      </c>
      <c r="B4" s="138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40"/>
      <c r="N4" s="189"/>
      <c r="O4" s="189"/>
      <c r="P4" s="189"/>
      <c r="Q4" s="189"/>
      <c r="R4" s="189"/>
      <c r="S4" s="189"/>
      <c r="T4" s="189"/>
      <c r="U4" s="189"/>
      <c r="V4" s="189"/>
      <c r="W4" s="189"/>
    </row>
    <row r="5" spans="1:23" ht="14" x14ac:dyDescent="0.15">
      <c r="A5" s="141" t="s">
        <v>378</v>
      </c>
      <c r="B5" s="67"/>
      <c r="C5" s="155">
        <v>4000</v>
      </c>
      <c r="D5" s="24"/>
      <c r="E5" s="67"/>
      <c r="F5" s="67"/>
      <c r="G5" s="67"/>
      <c r="H5" s="67"/>
      <c r="I5" s="67"/>
      <c r="J5" s="67"/>
      <c r="K5" s="67"/>
      <c r="L5" s="67"/>
      <c r="M5" s="142"/>
      <c r="N5" s="189"/>
      <c r="O5" s="189"/>
      <c r="P5" s="189"/>
      <c r="Q5" s="189"/>
      <c r="R5" s="189"/>
      <c r="S5" s="189"/>
      <c r="T5" s="189"/>
      <c r="U5" s="189"/>
      <c r="V5" s="189"/>
      <c r="W5" s="189"/>
    </row>
    <row r="6" spans="1:23" ht="14" x14ac:dyDescent="0.15">
      <c r="A6" s="141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142"/>
      <c r="N6" s="189"/>
      <c r="O6" s="189"/>
      <c r="P6" s="189"/>
      <c r="Q6" s="189"/>
      <c r="R6" s="189"/>
      <c r="S6" s="189"/>
      <c r="T6" s="189"/>
      <c r="U6" s="189"/>
      <c r="V6" s="189"/>
      <c r="W6" s="189"/>
    </row>
    <row r="7" spans="1:23" ht="30" x14ac:dyDescent="0.15">
      <c r="A7" s="224" t="s">
        <v>239</v>
      </c>
      <c r="B7" s="225" t="s">
        <v>200</v>
      </c>
      <c r="C7" s="225" t="s">
        <v>192</v>
      </c>
      <c r="D7" s="225" t="s">
        <v>196</v>
      </c>
      <c r="E7" s="225" t="s">
        <v>201</v>
      </c>
      <c r="F7" s="225" t="s">
        <v>202</v>
      </c>
      <c r="G7" s="225" t="s">
        <v>193</v>
      </c>
      <c r="H7" s="225" t="s">
        <v>194</v>
      </c>
      <c r="I7" s="225" t="s">
        <v>195</v>
      </c>
      <c r="J7" s="225" t="s">
        <v>203</v>
      </c>
      <c r="K7" s="225" t="s">
        <v>51</v>
      </c>
      <c r="L7" s="226" t="s">
        <v>197</v>
      </c>
      <c r="M7" s="227" t="s">
        <v>324</v>
      </c>
      <c r="N7" s="189"/>
      <c r="O7" s="189"/>
      <c r="P7" s="189"/>
      <c r="Q7" s="189"/>
      <c r="R7" s="189"/>
      <c r="S7" s="189"/>
      <c r="T7" s="189"/>
      <c r="U7" s="189"/>
      <c r="V7" s="189"/>
      <c r="W7" s="189"/>
    </row>
    <row r="8" spans="1:23" ht="25" customHeight="1" x14ac:dyDescent="0.15">
      <c r="A8" s="143" t="str">
        <f>'Tariffs 2019'!F2</f>
        <v>AGL</v>
      </c>
      <c r="B8" s="24" t="str">
        <f>'Tariffs 2019'!D2</f>
        <v>Jemena Coastal Network</v>
      </c>
      <c r="C8" s="144">
        <f>'Tariffs 2019'!E2</f>
        <v>42185</v>
      </c>
      <c r="D8" s="30">
        <f>60*'Tariffs 2019'!H2/100</f>
        <v>39.599999999999994</v>
      </c>
      <c r="E8" s="30">
        <f>C5*'Tariffs 2019'!O2/100</f>
        <v>126.18181818181819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f>SUM(D8:J8)</f>
        <v>165.78181818181818</v>
      </c>
      <c r="L8" s="197">
        <f>K8*6</f>
        <v>994.69090909090914</v>
      </c>
      <c r="M8" s="145">
        <f>L8*1.1</f>
        <v>1094.1600000000001</v>
      </c>
      <c r="N8" s="189"/>
      <c r="O8" s="189"/>
      <c r="P8" s="189"/>
      <c r="Q8" s="189"/>
      <c r="R8" s="189"/>
      <c r="S8" s="189"/>
      <c r="T8" s="189"/>
      <c r="U8" s="189"/>
      <c r="V8" s="189"/>
      <c r="W8" s="189"/>
    </row>
    <row r="9" spans="1:23" ht="25" customHeight="1" x14ac:dyDescent="0.15">
      <c r="A9" s="143" t="str">
        <f>'Tariffs 2019'!F3</f>
        <v>Covau</v>
      </c>
      <c r="B9" s="24" t="str">
        <f>'Tariffs 2019'!D3</f>
        <v>Jemena Coastal Network</v>
      </c>
      <c r="C9" s="144">
        <f>'Tariffs 2019'!E3</f>
        <v>42185</v>
      </c>
      <c r="D9" s="30">
        <f>60*'Tariffs 2019'!H3/100</f>
        <v>47.7</v>
      </c>
      <c r="E9" s="30">
        <f>IF($C$5&gt;='Tariffs 2019'!J3,('Tariffs 2019'!J3*'Tariffs 2019'!O3/100),($C$5*'Tariffs 2019'!O3/100))</f>
        <v>50.61818181818181</v>
      </c>
      <c r="F9" s="30">
        <f>IF($C$5&lt;'Tariffs 2019'!J3,0,IF(($C$5-'Tariffs 2019'!J3)&lt;='Tariffs 2019'!K3,(($C$5-'Tariffs 2019'!J3)*'Tariffs 2019'!P3/100),(('Tariffs 2019'!K3-'Tariffs 2019'!J3)*'Tariffs 2019'!P3/100)))</f>
        <v>32.836363636363629</v>
      </c>
      <c r="G9" s="30">
        <f>IF($C$5&lt;'Tariffs 2019'!K3,0,IF(($C$5-'Tariffs 2019'!K3)&lt;='Tariffs 2019'!L3,(($C$5-'Tariffs 2019'!K3)*'Tariffs 2019'!Q3/100),(('Tariffs 2019'!L3-'Tariffs 2019'!K3)*'Tariffs 2019'!Q3/100)))</f>
        <v>41.454545454545453</v>
      </c>
      <c r="H9" s="30">
        <f>IF($C$5&lt;'Tariffs 2019'!L3,0,IF(($C$5-'Tariffs 2019'!L3)&lt;='Tariffs 2019'!M3,(($C$5-'Tariffs 2019'!L3)*'Tariffs 2019'!R3/100),(('Tariffs 2019'!M3-'Tariffs 2019'!L3)*'Tariffs 2019'!R3/100)))</f>
        <v>0</v>
      </c>
      <c r="I9" s="30">
        <f>IF($C$5&lt;'Tariffs 2019'!M3,0,IF(($C$5-'Tariffs 2019'!M3)&lt;='Tariffs 2019'!N3,(($C$5-'Tariffs 2019'!M3)*'Tariffs 2019'!S3/100),(('Tariffs 2019'!N3-'Tariffs 2019'!M3)*'Tariffs 2019'!S3/100)))</f>
        <v>0</v>
      </c>
      <c r="J9" s="30">
        <f>IF(($C$5&lt;'Tariffs 2019'!N3),(0),($C$5-'Tariffs 2019'!N3)*'Tariffs 2019'!T3/100)</f>
        <v>0</v>
      </c>
      <c r="K9" s="30">
        <f t="shared" ref="K9:K22" si="0">SUM(D9:J9)</f>
        <v>172.60909090909087</v>
      </c>
      <c r="L9" s="197">
        <f t="shared" ref="L9:L22" si="1">K9*6</f>
        <v>1035.6545454545453</v>
      </c>
      <c r="M9" s="145">
        <f t="shared" ref="M9:M36" si="2">L9*1.1</f>
        <v>1139.22</v>
      </c>
      <c r="N9" s="189"/>
      <c r="O9" s="189"/>
      <c r="P9" s="189"/>
      <c r="Q9" s="189"/>
      <c r="R9" s="189"/>
      <c r="S9" s="189"/>
      <c r="T9" s="189"/>
      <c r="U9" s="189"/>
      <c r="V9" s="189"/>
      <c r="W9" s="189"/>
    </row>
    <row r="10" spans="1:23" ht="25" customHeight="1" x14ac:dyDescent="0.15">
      <c r="A10" s="143" t="str">
        <f>'Tariffs 2019'!F4</f>
        <v>Alinta Energy</v>
      </c>
      <c r="B10" s="24" t="str">
        <f>'Tariffs 2019'!D4</f>
        <v>Jemena Coastal Network</v>
      </c>
      <c r="C10" s="144">
        <f>'Tariffs 2019'!E4</f>
        <v>42185</v>
      </c>
      <c r="D10" s="30">
        <f>60*'Tariffs 2019'!H4/100</f>
        <v>35.46</v>
      </c>
      <c r="E10" s="30">
        <f>IF($C$5&gt;='Tariffs 2019'!J4,('Tariffs 2019'!J4*'Tariffs 2019'!O4/100),($C$5*'Tariffs 2019'!O4/100))</f>
        <v>37.309090909090905</v>
      </c>
      <c r="F10" s="30">
        <f>IF($C$5&lt;'Tariffs 2019'!J4,0,IF(($C$5-'Tariffs 2019'!J4)&lt;='Tariffs 2019'!K4,(($C$5-'Tariffs 2019'!J4)*'Tariffs 2019'!P4/100),(('Tariffs 2019'!K4-'Tariffs 2019'!J4)*'Tariffs 2019'!P4/100)))</f>
        <v>24.654545454545449</v>
      </c>
      <c r="G10" s="30">
        <f>IF($C$5&lt;'Tariffs 2019'!K4,0,IF(($C$5-'Tariffs 2019'!K4)&lt;='Tariffs 2019'!L4,(($C$5-'Tariffs 2019'!K4)*'Tariffs 2019'!Q4/100),(('Tariffs 2019'!L4-'Tariffs 2019'!K4)*'Tariffs 2019'!Q4/100)))</f>
        <v>30.836363636363636</v>
      </c>
      <c r="H10" s="30">
        <v>0</v>
      </c>
      <c r="I10" s="30">
        <v>0</v>
      </c>
      <c r="J10" s="30">
        <f>IF(($C$5&lt;'Tariffs 2019'!N4),(0),($C$5-'Tariffs 2019'!N4)*'Tariffs 2019'!R4/100)</f>
        <v>0</v>
      </c>
      <c r="K10" s="30">
        <f t="shared" si="0"/>
        <v>128.26</v>
      </c>
      <c r="L10" s="197">
        <f t="shared" si="1"/>
        <v>769.56</v>
      </c>
      <c r="M10" s="145">
        <f t="shared" si="2"/>
        <v>846.51599999999996</v>
      </c>
      <c r="N10" s="189"/>
      <c r="O10" s="189"/>
      <c r="P10" s="189"/>
      <c r="Q10" s="189"/>
      <c r="R10" s="189"/>
      <c r="S10" s="189"/>
      <c r="T10" s="189"/>
      <c r="U10" s="189"/>
      <c r="V10" s="189"/>
      <c r="W10" s="189"/>
    </row>
    <row r="11" spans="1:23" ht="25" customHeight="1" x14ac:dyDescent="0.15">
      <c r="A11" s="143" t="str">
        <f>'Tariffs 2019'!F5</f>
        <v>EnergyAustralia</v>
      </c>
      <c r="B11" s="24" t="str">
        <f>'Tariffs 2019'!D5</f>
        <v>Jemena Coastal Network</v>
      </c>
      <c r="C11" s="144">
        <f>'Tariffs 2019'!E5</f>
        <v>42214</v>
      </c>
      <c r="D11" s="30">
        <f>60*'Tariffs 2019'!H5/100</f>
        <v>35.58</v>
      </c>
      <c r="E11" s="30">
        <f>IF($C$5&gt;='Tariffs 2019'!J5,('Tariffs 2019'!J5*'Tariffs 2019'!O5/100),($C$5*'Tariffs 2019'!O5/100))</f>
        <v>48.84</v>
      </c>
      <c r="F11" s="30">
        <f>IF($C$5&lt;'Tariffs 2019'!J5,0,IF(($C$5-'Tariffs 2019'!J5)&lt;='Tariffs 2019'!K5,(($C$5-'Tariffs 2019'!J5)*'Tariffs 2019'!P5/100),(('Tariffs 2019'!K5-'Tariffs 2019'!J5)*'Tariffs 2019'!P5/100)))</f>
        <v>32.640000000000008</v>
      </c>
      <c r="G11" s="30">
        <f>IF($C$5&lt;'Tariffs 2019'!K5,0,IF(($C$5-'Tariffs 2019'!K5)&lt;='Tariffs 2019'!L5,(($C$5-'Tariffs 2019'!K5)*'Tariffs 2019'!Q5/100),(('Tariffs 2019'!L5-'Tariffs 2019'!K5)*'Tariffs 2019'!Q5/100)))</f>
        <v>41.6</v>
      </c>
      <c r="H11" s="30">
        <v>0</v>
      </c>
      <c r="I11" s="30">
        <v>0</v>
      </c>
      <c r="J11" s="30">
        <f>IF(($C$5&lt;'Tariffs 2019'!N5),(0),($C$5-'Tariffs 2019'!N5)*'Tariffs 2019'!R5/100)</f>
        <v>0</v>
      </c>
      <c r="K11" s="30">
        <f t="shared" si="0"/>
        <v>158.66</v>
      </c>
      <c r="L11" s="197">
        <f t="shared" si="1"/>
        <v>951.96</v>
      </c>
      <c r="M11" s="145">
        <f t="shared" si="2"/>
        <v>1047.1560000000002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</row>
    <row r="12" spans="1:23" ht="25" customHeight="1" x14ac:dyDescent="0.15">
      <c r="A12" s="143" t="str">
        <f>'Tariffs 2019'!F6</f>
        <v>Origin Energy</v>
      </c>
      <c r="B12" s="24" t="str">
        <f>'Tariffs 2019'!D6</f>
        <v>Jemena Coastal Network</v>
      </c>
      <c r="C12" s="144">
        <f>'Tariffs 2019'!E6</f>
        <v>42185</v>
      </c>
      <c r="D12" s="30">
        <f>60*'Tariffs 2019'!H6/100</f>
        <v>36.621818181818178</v>
      </c>
      <c r="E12" s="30">
        <f>IF($C$5&gt;='Tariffs 2019'!J6,('Tariffs 2019'!J6*'Tariffs 2019'!O6/100),($C$5*'Tariffs 2019'!O6/100))</f>
        <v>44.181818181818173</v>
      </c>
      <c r="F12" s="30">
        <f>IF($C$5&lt;'Tariffs 2019'!J6,0,IF(($C$5-'Tariffs 2019'!J6)&lt;='Tariffs 2019'!K6,(($C$5-'Tariffs 2019'!J6)*'Tariffs 2019'!P6/100),(('Tariffs 2019'!K6-'Tariffs 2019'!J6)*'Tariffs 2019'!P6/100)))</f>
        <v>30.109090909090906</v>
      </c>
      <c r="G12" s="30">
        <f>IF($C$5&lt;'Tariffs 2019'!K6,0,IF(($C$5-'Tariffs 2019'!K6)&lt;='Tariffs 2019'!L6,(($C$5-'Tariffs 2019'!K6)*'Tariffs 2019'!Q6/100),(('Tariffs 2019'!L6-'Tariffs 2019'!K6)*'Tariffs 2019'!Q6/100)))</f>
        <v>38.690909090909088</v>
      </c>
      <c r="H12" s="30">
        <v>0</v>
      </c>
      <c r="I12" s="30">
        <v>0</v>
      </c>
      <c r="J12" s="30">
        <f>IF(($C$5&lt;'Tariffs 2019'!N6),(0),($C$5-'Tariffs 2019'!N6)*'Tariffs 2019'!R6/100)</f>
        <v>0</v>
      </c>
      <c r="K12" s="30">
        <f t="shared" si="0"/>
        <v>149.60363636363633</v>
      </c>
      <c r="L12" s="197">
        <f t="shared" si="1"/>
        <v>897.62181818181796</v>
      </c>
      <c r="M12" s="145">
        <f t="shared" si="2"/>
        <v>987.38399999999979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</row>
    <row r="13" spans="1:23" ht="25" customHeight="1" x14ac:dyDescent="0.15">
      <c r="A13" s="143" t="str">
        <f>'Tariffs 2019'!F7</f>
        <v>Red Energy</v>
      </c>
      <c r="B13" s="24" t="str">
        <f>'Tariffs 2019'!D7</f>
        <v>Jemena Coastal Network</v>
      </c>
      <c r="C13" s="144">
        <f>'Tariffs 2019'!E7</f>
        <v>42185</v>
      </c>
      <c r="D13" s="30">
        <f>60*'Tariffs 2019'!H7/100</f>
        <v>38.880000000000003</v>
      </c>
      <c r="E13" s="30">
        <f>IF($C$5&gt;='Tariffs 2019'!J7,('Tariffs 2019'!J7*'Tariffs 2019'!O7/100),($C$5*'Tariffs 2019'!O7/100))</f>
        <v>49.8</v>
      </c>
      <c r="F13" s="30">
        <f>IF($C$5&lt;'Tariffs 2019'!J7,0,IF(($C$5-'Tariffs 2019'!J7)&lt;='Tariffs 2019'!K7,(($C$5-'Tariffs 2019'!J7)*'Tariffs 2019'!P7/100),(('Tariffs 2019'!K7-'Tariffs 2019'!J7)*'Tariffs 2019'!P7/100)))</f>
        <v>34.200000000000003</v>
      </c>
      <c r="G13" s="30">
        <f>IF($C$5&lt;'Tariffs 2019'!K7,0,IF(($C$5-'Tariffs 2019'!K7)&lt;='Tariffs 2019'!L7,(($C$5-'Tariffs 2019'!K7)*'Tariffs 2019'!Q7/100),(('Tariffs 2019'!L7-'Tariffs 2019'!K7)*'Tariffs 2019'!Q7/100)))</f>
        <v>43.2</v>
      </c>
      <c r="H13" s="30">
        <v>0</v>
      </c>
      <c r="I13" s="30">
        <v>0</v>
      </c>
      <c r="J13" s="30">
        <f>IF(($C$5&lt;'Tariffs 2019'!N7),(0),($C$5-'Tariffs 2019'!N7)*'Tariffs 2019'!R7/100)</f>
        <v>0</v>
      </c>
      <c r="K13" s="30">
        <f t="shared" si="0"/>
        <v>166.08</v>
      </c>
      <c r="L13" s="197">
        <f t="shared" si="1"/>
        <v>996.48</v>
      </c>
      <c r="M13" s="145">
        <f t="shared" si="2"/>
        <v>1096.1280000000002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</row>
    <row r="14" spans="1:23" ht="25" customHeight="1" x14ac:dyDescent="0.15">
      <c r="A14" s="143" t="str">
        <f>'Tariffs 2019'!F8</f>
        <v>Amaysim</v>
      </c>
      <c r="B14" s="24" t="str">
        <f>'Tariffs 2019'!D8</f>
        <v>Jemena Coastal Network</v>
      </c>
      <c r="C14" s="144">
        <f>'Tariffs 2019'!E8</f>
        <v>42203</v>
      </c>
      <c r="D14" s="30">
        <f>60*'Tariffs 2019'!H8/100</f>
        <v>25.8</v>
      </c>
      <c r="E14" s="30">
        <f>IF($C$5&gt;='Tariffs 2019'!J8,('Tariffs 2019'!J8*'Tariffs 2019'!O8/100),($C$5*'Tariffs 2019'!O8/100))</f>
        <v>53.4</v>
      </c>
      <c r="F14" s="30">
        <f>IF($C$5&lt;'Tariffs 2019'!J8,0,IF(($C$5-'Tariffs 2019'!J8)&lt;='Tariffs 2019'!K8,(($C$5-'Tariffs 2019'!J8)*'Tariffs 2019'!P8/100),(('Tariffs 2019'!K8-'Tariffs 2019'!J8)*'Tariffs 2019'!P8/100)))</f>
        <v>34.799999999999997</v>
      </c>
      <c r="G14" s="30">
        <f>IF($C$5&lt;'Tariffs 2019'!K8,0,IF(($C$5-'Tariffs 2019'!K8)&lt;='Tariffs 2019'!L8,(($C$5-'Tariffs 2019'!K8)*'Tariffs 2019'!Q8/100),(('Tariffs 2019'!L8-'Tariffs 2019'!K8)*'Tariffs 2019'!Q8/100)))</f>
        <v>45.6</v>
      </c>
      <c r="H14" s="30">
        <v>0</v>
      </c>
      <c r="I14" s="30">
        <v>0</v>
      </c>
      <c r="J14" s="30">
        <f>IF(($C$5&lt;'Tariffs 2019'!N8),(0),($C$5-'Tariffs 2019'!N8)*'Tariffs 2019'!R8/100)</f>
        <v>0</v>
      </c>
      <c r="K14" s="30">
        <f t="shared" si="0"/>
        <v>159.6</v>
      </c>
      <c r="L14" s="197">
        <f t="shared" si="1"/>
        <v>957.59999999999991</v>
      </c>
      <c r="M14" s="145">
        <f t="shared" si="2"/>
        <v>1053.3599999999999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</row>
    <row r="15" spans="1:23" ht="25" customHeight="1" x14ac:dyDescent="0.15">
      <c r="A15" s="143" t="str">
        <f>'Tariffs 2019'!F9</f>
        <v>Click Energy</v>
      </c>
      <c r="B15" s="24" t="str">
        <f>'Tariffs 2019'!D9</f>
        <v>Jemena Coastal Network</v>
      </c>
      <c r="C15" s="144">
        <f>'Tariffs 2019'!E9</f>
        <v>42203</v>
      </c>
      <c r="D15" s="30">
        <f>60*'Tariffs 2019'!H9/100</f>
        <v>25.8</v>
      </c>
      <c r="E15" s="30">
        <f>IF($C$5&gt;='Tariffs 2019'!J9,('Tariffs 2019'!J9*'Tariffs 2019'!O9/100),($C$5*'Tariffs 2019'!O9/100))</f>
        <v>53.4</v>
      </c>
      <c r="F15" s="30">
        <f>IF($C$5&lt;'Tariffs 2019'!J9,0,IF(($C$5-'Tariffs 2019'!J9)&lt;='Tariffs 2019'!K9,(($C$5-'Tariffs 2019'!J9)*'Tariffs 2019'!P9/100),(('Tariffs 2019'!K9-'Tariffs 2019'!J9)*'Tariffs 2019'!P9/100)))</f>
        <v>34.799999999999997</v>
      </c>
      <c r="G15" s="30">
        <f>IF($C$5&lt;'Tariffs 2019'!K9,0,IF(($C$5-'Tariffs 2019'!K9)&lt;='Tariffs 2019'!L9,(($C$5-'Tariffs 2019'!K9)*'Tariffs 2019'!Q9/100),(('Tariffs 2019'!L9-'Tariffs 2019'!K9)*'Tariffs 2019'!Q9/100)))</f>
        <v>45.6</v>
      </c>
      <c r="H15" s="30">
        <v>0</v>
      </c>
      <c r="I15" s="30">
        <v>0</v>
      </c>
      <c r="J15" s="30">
        <f>IF(($C$5&lt;'Tariffs 2019'!N9),(0),($C$5-'Tariffs 2019'!N9)*'Tariffs 2019'!R9/100)</f>
        <v>0</v>
      </c>
      <c r="K15" s="30">
        <f t="shared" si="0"/>
        <v>159.6</v>
      </c>
      <c r="L15" s="197">
        <f t="shared" si="1"/>
        <v>957.59999999999991</v>
      </c>
      <c r="M15" s="145">
        <f t="shared" si="2"/>
        <v>1053.3599999999999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</row>
    <row r="16" spans="1:23" ht="25" customHeight="1" thickBot="1" x14ac:dyDescent="0.2">
      <c r="A16" s="176" t="str">
        <f>'Tariffs 2019'!F10</f>
        <v>Simply Energy</v>
      </c>
      <c r="B16" s="177" t="str">
        <f>'Tariffs 2019'!D10</f>
        <v>Jemena Coastal Network</v>
      </c>
      <c r="C16" s="178">
        <f>'Tariffs 2019'!E10</f>
        <v>42192</v>
      </c>
      <c r="D16" s="179">
        <f>60*'Tariffs 2019'!H10/100</f>
        <v>36.136363636363633</v>
      </c>
      <c r="E16" s="179">
        <f>IF($C$5&gt;='Tariffs 2019'!J10,('Tariffs 2019'!J10*'Tariffs 2019'!O10/100),($C$5*'Tariffs 2019'!O10/100))</f>
        <v>46.581818181818171</v>
      </c>
      <c r="F16" s="179">
        <f>IF($C$5&lt;'Tariffs 2019'!J10,0,IF(($C$5-'Tariffs 2019'!J10)&lt;='Tariffs 2019'!K10,(($C$5-'Tariffs 2019'!J10)*'Tariffs 2019'!P10/100),(('Tariffs 2019'!K10-'Tariffs 2019'!J10)*'Tariffs 2019'!P10/100)))</f>
        <v>30.981818181818181</v>
      </c>
      <c r="G16" s="179">
        <f>IF($C$5&lt;'Tariffs 2019'!K10,0,IF(($C$5-'Tariffs 2019'!K10)&lt;='Tariffs 2019'!L10,(($C$5-'Tariffs 2019'!K10)*'Tariffs 2019'!Q10/100),(('Tariffs 2019'!L10-'Tariffs 2019'!K10)*'Tariffs 2019'!Q10/100)))</f>
        <v>38.25454545454545</v>
      </c>
      <c r="H16" s="179">
        <v>0</v>
      </c>
      <c r="I16" s="179">
        <v>0</v>
      </c>
      <c r="J16" s="179">
        <f>IF(($C$5&lt;'Tariffs 2019'!N10),(0),($C$5-'Tariffs 2019'!N10)*'Tariffs 2019'!R10/100)</f>
        <v>0</v>
      </c>
      <c r="K16" s="179">
        <f t="shared" si="0"/>
        <v>151.95454545454544</v>
      </c>
      <c r="L16" s="198">
        <f t="shared" si="1"/>
        <v>911.72727272727263</v>
      </c>
      <c r="M16" s="181">
        <f t="shared" si="2"/>
        <v>1002.9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</row>
    <row r="17" spans="1:23" ht="25" customHeight="1" thickTop="1" x14ac:dyDescent="0.15">
      <c r="A17" s="143" t="str">
        <f>'Tariffs 2019'!F11</f>
        <v>ActewAGL</v>
      </c>
      <c r="B17" s="24" t="str">
        <f>'Tariffs 2019'!D11</f>
        <v>Jemena Capital Region</v>
      </c>
      <c r="C17" s="144">
        <f>'Tariffs 2019'!E11</f>
        <v>42185</v>
      </c>
      <c r="D17" s="30">
        <f>60*'Tariffs 2019'!H11/100</f>
        <v>43.085454545454539</v>
      </c>
      <c r="E17" s="30">
        <f>IF($C$5&gt;='Tariffs 2019'!J11,('Tariffs 2019'!J11*'Tariffs 2019'!O11/100),($C$5*'Tariffs 2019'!O11/100))</f>
        <v>47.781818181818181</v>
      </c>
      <c r="F17" s="30">
        <f>IF($C$5&lt;'Tariffs 2019'!J11,0,IF(($C$5-'Tariffs 2019'!J11)&lt;='Tariffs 2019'!K11,(($C$5-'Tariffs 2019'!J11)*'Tariffs 2019'!P11/100),(('Tariffs 2019'!K11-'Tariffs 2019'!J11)*'Tariffs 2019'!P11/100)))</f>
        <v>31.854545454545452</v>
      </c>
      <c r="G17" s="30">
        <f>IF($C$5&lt;'Tariffs 2019'!K11,0,IF(($C$5-'Tariffs 2019'!K11)&lt;='Tariffs 2019'!L11,(($C$5-'Tariffs 2019'!K11)*'Tariffs 2019'!Q11/100),(('Tariffs 2019'!L11-'Tariffs 2019'!K11)*'Tariffs 2019'!Q11/100)))</f>
        <v>41.454545454545453</v>
      </c>
      <c r="H17" s="30">
        <v>0</v>
      </c>
      <c r="I17" s="30">
        <v>0</v>
      </c>
      <c r="J17" s="30">
        <f>IF(($C$5&lt;'Tariffs 2019'!N11),(0),($C$5-'Tariffs 2019'!N11)*'Tariffs 2019'!R11/100)</f>
        <v>0</v>
      </c>
      <c r="K17" s="30">
        <f t="shared" si="0"/>
        <v>164.17636363636365</v>
      </c>
      <c r="L17" s="197">
        <f t="shared" si="1"/>
        <v>985.05818181818188</v>
      </c>
      <c r="M17" s="145">
        <f t="shared" si="2"/>
        <v>1083.5640000000001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</row>
    <row r="18" spans="1:23" ht="25" customHeight="1" thickBot="1" x14ac:dyDescent="0.2">
      <c r="A18" s="176" t="str">
        <f>'Tariffs 2019'!F12</f>
        <v>EnergyAustralia</v>
      </c>
      <c r="B18" s="177" t="str">
        <f>'Tariffs 2019'!D12</f>
        <v>Jemena Capital Region</v>
      </c>
      <c r="C18" s="178">
        <f>'Tariffs 2019'!E12</f>
        <v>42214</v>
      </c>
      <c r="D18" s="179">
        <f>60*'Tariffs 2019'!H12/100</f>
        <v>34.696363636363628</v>
      </c>
      <c r="E18" s="179">
        <f>IF($C$5&gt;='Tariffs 2019'!J12,('Tariffs 2019'!J12*'Tariffs 2019'!O12/100),($C$5*'Tariffs 2019'!O12/100))</f>
        <v>47.890909090909084</v>
      </c>
      <c r="F18" s="179">
        <f>IF($C$5&lt;'Tariffs 2019'!J12,0,IF(($C$5-'Tariffs 2019'!J12)&lt;='Tariffs 2019'!K12,(($C$5-'Tariffs 2019'!J12)*'Tariffs 2019'!P12/100),(('Tariffs 2019'!K12-'Tariffs 2019'!J12)*'Tariffs 2019'!P12/100)))</f>
        <v>32.072727272727271</v>
      </c>
      <c r="G18" s="179">
        <f>IF($C$5&lt;'Tariffs 2019'!K12,0,IF(($C$5-'Tariffs 2019'!K12)&lt;='Tariffs 2019'!L12,(($C$5-'Tariffs 2019'!K12)*'Tariffs 2019'!Q12/100),(('Tariffs 2019'!L12-'Tariffs 2019'!K12)*'Tariffs 2019'!Q12/100)))</f>
        <v>40.872727272727268</v>
      </c>
      <c r="H18" s="179">
        <v>0</v>
      </c>
      <c r="I18" s="179">
        <v>0</v>
      </c>
      <c r="J18" s="179">
        <f>IF(($C$5&lt;'Tariffs 2019'!N12),(0),($C$5-'Tariffs 2019'!N12)*'Tariffs 2019'!R12/100)</f>
        <v>0</v>
      </c>
      <c r="K18" s="179">
        <f t="shared" si="0"/>
        <v>155.53272727272724</v>
      </c>
      <c r="L18" s="198">
        <f t="shared" si="1"/>
        <v>933.19636363636346</v>
      </c>
      <c r="M18" s="181">
        <f t="shared" si="2"/>
        <v>1026.5159999999998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</row>
    <row r="19" spans="1:23" ht="25" customHeight="1" thickTop="1" x14ac:dyDescent="0.15">
      <c r="A19" s="143" t="str">
        <f>'Tariffs 2019'!F13</f>
        <v>ActewAGL</v>
      </c>
      <c r="B19" s="24" t="str">
        <f>'Tariffs 2019'!D13</f>
        <v xml:space="preserve">Evoenergy Queanbeyan </v>
      </c>
      <c r="C19" s="144">
        <f>'Tariffs 2019'!E13</f>
        <v>42185</v>
      </c>
      <c r="D19" s="30">
        <f>60*'Tariffs 2019'!H13/100</f>
        <v>48.812727272727273</v>
      </c>
      <c r="E19" s="30">
        <f>IF($C$5&gt;='Tariffs 2019'!J13,('Tariffs 2019'!J13*'Tariffs 2019'!O13/100),($C$5*'Tariffs 2019'!O13/100))</f>
        <v>77.601818181818174</v>
      </c>
      <c r="F19" s="30">
        <f>IF($C$5&lt;'Tariffs 2019'!J13,0,IF(($C$5-'Tariffs 2019'!J13)&lt;='Tariffs 2019'!K13,(($C$5-'Tariffs 2019'!J13)*'Tariffs 2019'!P13/100),(('Tariffs 2019'!K13-'Tariffs 2019'!J13)*'Tariffs 2019'!P13/100)))</f>
        <v>40.459999999999994</v>
      </c>
      <c r="G19" s="30">
        <f>IF($C$5&lt;'Tariffs 2019'!K13,0,IF(($C$5-'Tariffs 2019'!K13)&lt;='Tariffs 2019'!L13,(($C$5-'Tariffs 2019'!K13)*'Tariffs 2019'!Q13/100),(('Tariffs 2019'!L13-'Tariffs 2019'!K13)*'Tariffs 2019'!Q13/100)))</f>
        <v>0</v>
      </c>
      <c r="H19" s="30">
        <v>0</v>
      </c>
      <c r="I19" s="30">
        <v>0</v>
      </c>
      <c r="J19" s="30">
        <f>IF(($C$5&lt;'Tariffs 2019'!N13),(0),($C$5-'Tariffs 2019'!N13)*'Tariffs 2019'!R13/100)</f>
        <v>0</v>
      </c>
      <c r="K19" s="30">
        <f t="shared" si="0"/>
        <v>166.87454545454545</v>
      </c>
      <c r="L19" s="197">
        <f t="shared" si="1"/>
        <v>1001.2472727272727</v>
      </c>
      <c r="M19" s="145">
        <f t="shared" si="2"/>
        <v>1101.3720000000001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</row>
    <row r="20" spans="1:23" ht="25" customHeight="1" thickBot="1" x14ac:dyDescent="0.2">
      <c r="A20" s="176" t="str">
        <f>'Tariffs 2019'!F14</f>
        <v>EnergyAustralia</v>
      </c>
      <c r="B20" s="177" t="str">
        <f>'Tariffs 2019'!D14</f>
        <v xml:space="preserve">Evoenergy Queanbeyan </v>
      </c>
      <c r="C20" s="178">
        <f>'Tariffs 2019'!E14</f>
        <v>42214</v>
      </c>
      <c r="D20" s="179">
        <f>60*'Tariffs 2019'!H14/100</f>
        <v>43.2</v>
      </c>
      <c r="E20" s="179">
        <f>IF($C$5&gt;='Tariffs 2019'!J14,('Tariffs 2019'!J14*'Tariffs 2019'!O14/100),($C$5*'Tariffs 2019'!O14/100))</f>
        <v>73.554000000000002</v>
      </c>
      <c r="F20" s="179">
        <f>IF($C$5&lt;'Tariffs 2019'!J14,0,IF(($C$5-'Tariffs 2019'!J14)&lt;='Tariffs 2019'!K14,(($C$5-'Tariffs 2019'!J14)*'Tariffs 2019'!P14/100),(('Tariffs 2019'!K14-'Tariffs 2019'!J14)*'Tariffs 2019'!P14/100)))</f>
        <v>41.888000000000005</v>
      </c>
      <c r="G20" s="179">
        <f>IF($C$5&lt;'Tariffs 2019'!K14,0,IF(($C$5-'Tariffs 2019'!K14)&lt;='Tariffs 2019'!L14,(($C$5-'Tariffs 2019'!K14)*'Tariffs 2019'!Q14/100),(('Tariffs 2019'!L14-'Tariffs 2019'!K14)*'Tariffs 2019'!Q14/100)))</f>
        <v>0</v>
      </c>
      <c r="H20" s="179">
        <v>0</v>
      </c>
      <c r="I20" s="179">
        <v>0</v>
      </c>
      <c r="J20" s="179">
        <f>IF(($C$5&lt;'Tariffs 2019'!N14),(0),($C$5-'Tariffs 2019'!N14)*'Tariffs 2019'!R14/100)</f>
        <v>0</v>
      </c>
      <c r="K20" s="179">
        <f t="shared" si="0"/>
        <v>158.642</v>
      </c>
      <c r="L20" s="198">
        <f t="shared" si="1"/>
        <v>951.85199999999998</v>
      </c>
      <c r="M20" s="181">
        <f t="shared" si="2"/>
        <v>1047.0372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</row>
    <row r="21" spans="1:23" ht="25" customHeight="1" thickTop="1" thickBot="1" x14ac:dyDescent="0.2">
      <c r="A21" s="182" t="str">
        <f>'Tariffs 2019'!F15</f>
        <v>ActewAGL</v>
      </c>
      <c r="B21" s="183" t="str">
        <f>'Tariffs 2019'!D15</f>
        <v>Evoenergy Shoalhaven</v>
      </c>
      <c r="C21" s="184">
        <f>'Tariffs 2019'!E15</f>
        <v>42185</v>
      </c>
      <c r="D21" s="185">
        <f>60*'Tariffs 2019'!H15/100</f>
        <v>52.494545454545452</v>
      </c>
      <c r="E21" s="185">
        <f>C5*'Tariffs 2019'!O15/100</f>
        <v>115.63636363636363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f t="shared" si="0"/>
        <v>168.13090909090909</v>
      </c>
      <c r="L21" s="199">
        <f t="shared" si="1"/>
        <v>1008.7854545454545</v>
      </c>
      <c r="M21" s="187">
        <f t="shared" si="2"/>
        <v>1109.664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</row>
    <row r="22" spans="1:23" ht="25" customHeight="1" thickTop="1" x14ac:dyDescent="0.15">
      <c r="A22" s="143" t="str">
        <f>'Tariffs 2019'!F16</f>
        <v>EnergyAustralia</v>
      </c>
      <c r="B22" s="24" t="str">
        <f>'Tariffs 2019'!D16</f>
        <v>AGN Albury</v>
      </c>
      <c r="C22" s="144">
        <f>'Tariffs 2019'!E16</f>
        <v>42214</v>
      </c>
      <c r="D22" s="30">
        <f>60*'Tariffs 2019'!H16/100</f>
        <v>45.29999999999999</v>
      </c>
      <c r="E22" s="30">
        <f>IF($C$5&gt;='Tariffs 2019'!J16,('Tariffs 2019'!J16*'Tariffs 2019'!O16/100),($C$5*'Tariffs 2019'!O16/100))</f>
        <v>94.909090909090907</v>
      </c>
      <c r="F22" s="30">
        <f>IF($C$5&lt;'Tariffs 2019'!J16,0,IF(($C$5-'Tariffs 2019'!J16)&lt;='Tariffs 2019'!K16,(($C$5-'Tariffs 2019'!J16)*'Tariffs 2019'!P16/100),(('Tariffs 2019'!K16-'Tariffs 2019'!J16)*'Tariffs 2019'!P16/100)))</f>
        <v>0</v>
      </c>
      <c r="G22" s="30">
        <f>IF($C$5&lt;'Tariffs 2019'!K16,0,IF(($C$5-'Tariffs 2019'!K16)&lt;='Tariffs 2019'!L16,(($C$5-'Tariffs 2019'!K16)*'Tariffs 2019'!Q16/100),(('Tariffs 2019'!L16-'Tariffs 2019'!K16)*'Tariffs 2019'!Q16/100)))</f>
        <v>0</v>
      </c>
      <c r="H22" s="30">
        <v>0</v>
      </c>
      <c r="I22" s="30">
        <v>0</v>
      </c>
      <c r="J22" s="30">
        <f>IF(($C$5&lt;'Tariffs 2019'!N16),(0),($C$5-'Tariffs 2019'!N16)*'Tariffs 2019'!R16/100)</f>
        <v>0</v>
      </c>
      <c r="K22" s="30">
        <f t="shared" si="0"/>
        <v>140.20909090909089</v>
      </c>
      <c r="L22" s="197">
        <f t="shared" si="1"/>
        <v>841.25454545454534</v>
      </c>
      <c r="M22" s="145">
        <f t="shared" si="2"/>
        <v>925.38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</row>
    <row r="23" spans="1:23" ht="25" customHeight="1" x14ac:dyDescent="0.15">
      <c r="A23" s="143" t="str">
        <f>'Tariffs 2019'!F17</f>
        <v>Origin Energy</v>
      </c>
      <c r="B23" s="24" t="str">
        <f>'Tariffs 2019'!D17</f>
        <v>AGN Albury</v>
      </c>
      <c r="C23" s="144">
        <f>'Tariffs 2019'!E17</f>
        <v>42185</v>
      </c>
      <c r="D23" s="30">
        <f>60*'Tariffs 2019'!H17/100</f>
        <v>32.710909090909091</v>
      </c>
      <c r="E23" s="30">
        <f>IF($C$5&gt;='Tariffs 2019'!J17,('Tariffs 2019'!J17*'Tariffs 2019'!O17/100),($C$5*'Tariffs 2019'!O17/100))</f>
        <v>35.700000000000003</v>
      </c>
      <c r="F23" s="30">
        <f>IF($C$5&lt;'Tariffs 2019'!J17,0,IF(($C$5-'Tariffs 2019'!J17)&gt;='Tariffs 2019'!K17,(($C$5-'Tariffs 2019'!J17)*'Tariffs 2019'!P17/100),(('Tariffs 2019'!K17-'Tariffs 2019'!J17)*'Tariffs 2019'!P17/100)))</f>
        <v>25.36636363636363</v>
      </c>
      <c r="G23" s="30">
        <f>IF($C$5&lt;'Tariffs 2019'!K17,0,IF(($C$5-'Tariffs 2019'!K17)&lt;='Tariffs 2019'!L17,(($C$5-'Tariffs 2019'!K17)*'Tariffs 2019'!Q17/100),(('Tariffs 2019'!L17-'Tariffs 2019'!K17)*'Tariffs 2019'!Q17/100)))</f>
        <v>18.909090909090907</v>
      </c>
      <c r="H23" s="30">
        <v>0</v>
      </c>
      <c r="I23" s="30">
        <v>0</v>
      </c>
      <c r="J23" s="30">
        <f>IF(($C$5&lt;'Tariffs 2019'!N17),(0),($C$5-'Tariffs 2019'!N17)*'Tariffs 2019'!R17/100)</f>
        <v>0</v>
      </c>
      <c r="K23" s="30">
        <f>SUM(D23:J23)</f>
        <v>112.68636363636362</v>
      </c>
      <c r="L23" s="197">
        <f>K23*6</f>
        <v>676.11818181818171</v>
      </c>
      <c r="M23" s="145">
        <f t="shared" si="2"/>
        <v>743.7299999999999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</row>
    <row r="24" spans="1:23" ht="25" customHeight="1" thickBot="1" x14ac:dyDescent="0.2">
      <c r="A24" s="176" t="str">
        <f>'Tariffs 2019'!F18</f>
        <v>AGL</v>
      </c>
      <c r="B24" s="177" t="str">
        <f>'Tariffs 2019'!D18</f>
        <v>AGN Albury</v>
      </c>
      <c r="C24" s="178">
        <f>'Tariffs 2019'!E18</f>
        <v>42185</v>
      </c>
      <c r="D24" s="179">
        <f>60*'Tariffs 2019'!H18/100</f>
        <v>49.412727272727267</v>
      </c>
      <c r="E24" s="179">
        <f>IF($C$5&gt;='Tariffs 2019'!J18,('Tariffs 2019'!J18*'Tariffs 2019'!O18/100),($C$5*'Tariffs 2019'!O18/100))</f>
        <v>36.599999999999994</v>
      </c>
      <c r="F24" s="30">
        <f>IF($C$5&lt;'Tariffs 2019'!J18,0,IF(($C$5-'Tariffs 2019'!J18)&gt;='Tariffs 2019'!K18,(($C$5-'Tariffs 2019'!J18)*'Tariffs 2019'!P18/100),(('Tariffs 2019'!K18-'Tariffs 2019'!J18)*'Tariffs 2019'!P18/100)))</f>
        <v>26.2</v>
      </c>
      <c r="G24" s="179">
        <f>IF($C$5&lt;'Tariffs 2019'!K18,0,IF(($C$5-'Tariffs 2019'!K18)&lt;='Tariffs 2019'!L18,(($C$5-'Tariffs 2019'!K18)*'Tariffs 2019'!Q18/100),(('Tariffs 2019'!L18-'Tariffs 2019'!K18)*'Tariffs 2019'!Q18/100)))</f>
        <v>19.665454545454544</v>
      </c>
      <c r="H24" s="179">
        <v>0</v>
      </c>
      <c r="I24" s="179">
        <v>0</v>
      </c>
      <c r="J24" s="179">
        <f>IF(($C$5&lt;'Tariffs 2019'!N18),(0),($C$5-'Tariffs 2019'!N18)*'Tariffs 2019'!R18/100)</f>
        <v>0</v>
      </c>
      <c r="K24" s="179">
        <f t="shared" ref="K24:K30" si="3">SUM(D24:J24)</f>
        <v>131.87818181818182</v>
      </c>
      <c r="L24" s="198">
        <f t="shared" ref="L24:L36" si="4">K24*6</f>
        <v>791.26909090909089</v>
      </c>
      <c r="M24" s="181">
        <f t="shared" si="2"/>
        <v>870.39600000000007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</row>
    <row r="25" spans="1:23" ht="25" customHeight="1" thickTop="1" x14ac:dyDescent="0.15">
      <c r="A25" s="143" t="str">
        <f>'Tariffs 2019'!F19</f>
        <v>EnergyAustralia</v>
      </c>
      <c r="B25" s="24" t="str">
        <f>'Tariffs 2019'!D19</f>
        <v>AGN Murray Valley</v>
      </c>
      <c r="C25" s="144">
        <f>'Tariffs 2019'!E19</f>
        <v>42214</v>
      </c>
      <c r="D25" s="30">
        <f>60*'Tariffs 2019'!H19/100</f>
        <v>43.5</v>
      </c>
      <c r="E25" s="30">
        <f>IF($C$5&gt;='Tariffs 2019'!J19,('Tariffs 2019'!J19*'Tariffs 2019'!O19/100),($C$5*'Tariffs 2019'!O19/100))</f>
        <v>138.18181818181816</v>
      </c>
      <c r="F25" s="30">
        <f>IF($C$5&lt;'Tariffs 2019'!J19,0,IF(($C$5-'Tariffs 2019'!J19)&lt;='Tariffs 2019'!K19,(($C$5-'Tariffs 2019'!J19)*'Tariffs 2019'!P19/100),(('Tariffs 2019'!K19-'Tariffs 2019'!J19)*'Tariffs 2019'!P19/100)))</f>
        <v>0</v>
      </c>
      <c r="G25" s="30">
        <f>IF($C$5&lt;'Tariffs 2019'!K19,0,IF(($C$5-'Tariffs 2019'!K19)&lt;='Tariffs 2019'!L19,(($C$5-'Tariffs 2019'!K19)*'Tariffs 2019'!Q19/100),(('Tariffs 2019'!L19-'Tariffs 2019'!K19)*'Tariffs 2019'!Q19/100)))</f>
        <v>0</v>
      </c>
      <c r="H25" s="30">
        <v>0</v>
      </c>
      <c r="I25" s="30">
        <v>0</v>
      </c>
      <c r="J25" s="30">
        <f>IF(($C$5&lt;'Tariffs 2019'!N19),(0),($C$5-'Tariffs 2019'!N19)*'Tariffs 2019'!R19/100)</f>
        <v>0</v>
      </c>
      <c r="K25" s="30">
        <f t="shared" si="3"/>
        <v>181.68181818181816</v>
      </c>
      <c r="L25" s="197">
        <f t="shared" si="4"/>
        <v>1090.090909090909</v>
      </c>
      <c r="M25" s="145">
        <f t="shared" si="2"/>
        <v>1199.0999999999999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</row>
    <row r="26" spans="1:23" ht="25" customHeight="1" x14ac:dyDescent="0.15">
      <c r="A26" s="143" t="str">
        <f>'Tariffs 2019'!F20</f>
        <v>Origin Energy</v>
      </c>
      <c r="B26" s="24" t="str">
        <f>'Tariffs 2019'!D20</f>
        <v>AGN Murray Valley</v>
      </c>
      <c r="C26" s="144">
        <f>'Tariffs 2019'!E20</f>
        <v>42185</v>
      </c>
      <c r="D26" s="30">
        <f>60*'Tariffs 2019'!H20/100</f>
        <v>37.374545454545448</v>
      </c>
      <c r="E26" s="30">
        <f>IF($C$5&gt;='Tariffs 2019'!J20,('Tariffs 2019'!J20*'Tariffs 2019'!O20/100),($C$5*'Tariffs 2019'!O20/100))</f>
        <v>52.949999999999989</v>
      </c>
      <c r="F26" s="30">
        <f>IF($C$5&lt;'Tariffs 2019'!J20,0,IF(($C$5-'Tariffs 2019'!J20)&gt;='Tariffs 2019'!K20,(($C$5-'Tariffs 2019'!J20)*'Tariffs 2019'!P20/100),(('Tariffs 2019'!K20-'Tariffs 2019'!J20)*'Tariffs 2019'!P20/100)))</f>
        <v>38.942727272727268</v>
      </c>
      <c r="G26" s="30">
        <f>IF($C$5&lt;'Tariffs 2019'!K20,0,IF(($C$5-'Tariffs 2019'!K20)&lt;='Tariffs 2019'!L20,(($C$5-'Tariffs 2019'!K20)*'Tariffs 2019'!Q20/100),(('Tariffs 2019'!L20-'Tariffs 2019'!K20)*'Tariffs 2019'!Q20/100)))</f>
        <v>24.77090909090909</v>
      </c>
      <c r="H26" s="30">
        <v>0</v>
      </c>
      <c r="I26" s="30">
        <v>0</v>
      </c>
      <c r="J26" s="30">
        <f>IF(($C$5&lt;'Tariffs 2019'!N20),(0),($C$5-'Tariffs 2019'!N20)*'Tariffs 2019'!R20/100)</f>
        <v>0</v>
      </c>
      <c r="K26" s="30">
        <f t="shared" si="3"/>
        <v>154.03818181818181</v>
      </c>
      <c r="L26" s="197">
        <f t="shared" si="4"/>
        <v>924.22909090909093</v>
      </c>
      <c r="M26" s="145">
        <f t="shared" si="2"/>
        <v>1016.6520000000002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</row>
    <row r="27" spans="1:23" ht="25" customHeight="1" thickBot="1" x14ac:dyDescent="0.2">
      <c r="A27" s="176" t="str">
        <f>'Tariffs 2019'!F21</f>
        <v>AGL</v>
      </c>
      <c r="B27" s="177" t="str">
        <f>'Tariffs 2019'!D21</f>
        <v>AGN Murray Valley</v>
      </c>
      <c r="C27" s="178">
        <f>'Tariffs 2019'!E21</f>
        <v>42185</v>
      </c>
      <c r="D27" s="179">
        <f>60*'Tariffs 2019'!H21/100</f>
        <v>44.094545454545454</v>
      </c>
      <c r="E27" s="179">
        <f>IF($C$5&gt;='Tariffs 2019'!J21,('Tariffs 2019'!J21*'Tariffs 2019'!O21/100),($C$5*'Tariffs 2019'!O21/100))</f>
        <v>57.449999999999989</v>
      </c>
      <c r="F27" s="30">
        <f>IF($C$5&lt;'Tariffs 2019'!J21,0,IF(($C$5-'Tariffs 2019'!J21)&gt;='Tariffs 2019'!K21,(($C$5-'Tariffs 2019'!J21)*'Tariffs 2019'!P21/100),(('Tariffs 2019'!K21-'Tariffs 2019'!J21)*'Tariffs 2019'!P21/100)))</f>
        <v>41.443636363636358</v>
      </c>
      <c r="G27" s="179">
        <f>IF($C$5&lt;'Tariffs 2019'!K21,0,IF(($C$5-'Tariffs 2019'!K21)&lt;='Tariffs 2019'!L21,(($C$5-'Tariffs 2019'!K21)*'Tariffs 2019'!Q21/100),(('Tariffs 2019'!L21-'Tariffs 2019'!K21)*'Tariffs 2019'!Q21/100)))</f>
        <v>26.283636363636361</v>
      </c>
      <c r="H27" s="179">
        <v>0</v>
      </c>
      <c r="I27" s="179">
        <v>0</v>
      </c>
      <c r="J27" s="179">
        <f>IF(($C$5&lt;'Tariffs 2019'!N21),(0),($C$5-'Tariffs 2019'!N21)*'Tariffs 2019'!R21/100)</f>
        <v>0</v>
      </c>
      <c r="K27" s="179">
        <f t="shared" si="3"/>
        <v>169.27181818181816</v>
      </c>
      <c r="L27" s="198">
        <f t="shared" si="4"/>
        <v>1015.630909090909</v>
      </c>
      <c r="M27" s="181">
        <f t="shared" si="2"/>
        <v>1117.194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</row>
    <row r="28" spans="1:23" ht="25" customHeight="1" thickTop="1" x14ac:dyDescent="0.15">
      <c r="A28" s="143" t="str">
        <f>'Tariffs 2019'!F22</f>
        <v>Origin Energy</v>
      </c>
      <c r="B28" s="24" t="str">
        <f>'Tariffs 2019'!D22</f>
        <v>AGN Cooma</v>
      </c>
      <c r="C28" s="144">
        <f>'Tariffs 2019'!E22</f>
        <v>42185</v>
      </c>
      <c r="D28" s="30">
        <f>60*'Tariffs 2019'!H22/100</f>
        <v>42.621818181818178</v>
      </c>
      <c r="E28" s="30">
        <f>$C$5*'Tariffs 2019'!O22/100</f>
        <v>107.63636363636363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f t="shared" si="3"/>
        <v>150.25818181818181</v>
      </c>
      <c r="L28" s="197">
        <f t="shared" si="4"/>
        <v>901.54909090909086</v>
      </c>
      <c r="M28" s="145">
        <f t="shared" si="2"/>
        <v>991.70400000000006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</row>
    <row r="29" spans="1:23" ht="25" customHeight="1" thickBot="1" x14ac:dyDescent="0.2">
      <c r="A29" s="176" t="str">
        <f>'Tariffs 2019'!F23</f>
        <v>Red Energy</v>
      </c>
      <c r="B29" s="177" t="str">
        <f>'Tariffs 2019'!D23</f>
        <v>AGN Cooma</v>
      </c>
      <c r="C29" s="178">
        <f>'Tariffs 2019'!E23</f>
        <v>42185</v>
      </c>
      <c r="D29" s="179">
        <f>60*'Tariffs 2019'!H23/100</f>
        <v>43.566000000000003</v>
      </c>
      <c r="E29" s="179">
        <f>$C$5*'Tariffs 2019'!O23/100</f>
        <v>124</v>
      </c>
      <c r="F29" s="179">
        <v>0</v>
      </c>
      <c r="G29" s="179">
        <v>0</v>
      </c>
      <c r="H29" s="179">
        <v>0</v>
      </c>
      <c r="I29" s="179">
        <v>0</v>
      </c>
      <c r="J29" s="179">
        <v>0</v>
      </c>
      <c r="K29" s="179">
        <f t="shared" si="3"/>
        <v>167.566</v>
      </c>
      <c r="L29" s="198">
        <f t="shared" si="4"/>
        <v>1005.396</v>
      </c>
      <c r="M29" s="181">
        <f t="shared" si="2"/>
        <v>1105.9356</v>
      </c>
    </row>
    <row r="30" spans="1:23" ht="25" customHeight="1" thickTop="1" x14ac:dyDescent="0.15">
      <c r="A30" s="143" t="str">
        <f>'Tariffs 2019'!F24</f>
        <v>Origin Energy</v>
      </c>
      <c r="B30" s="24" t="str">
        <f>'Tariffs 2019'!D24</f>
        <v>AGN Temora</v>
      </c>
      <c r="C30" s="144">
        <f>'Tariffs 2019'!E24</f>
        <v>42185</v>
      </c>
      <c r="D30" s="30">
        <f>60*'Tariffs 2019'!H24/100</f>
        <v>45.572727272727263</v>
      </c>
      <c r="E30" s="30">
        <f>$C$5*'Tariffs 2019'!O24/100</f>
        <v>109.09090909090908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3"/>
        <v>154.66363636363633</v>
      </c>
      <c r="L30" s="197">
        <f t="shared" si="4"/>
        <v>927.98181818181797</v>
      </c>
      <c r="M30" s="145">
        <f t="shared" si="2"/>
        <v>1020.7799999999999</v>
      </c>
    </row>
    <row r="31" spans="1:23" ht="25" customHeight="1" thickBot="1" x14ac:dyDescent="0.2">
      <c r="A31" s="176" t="str">
        <f>'Tariffs 2019'!F25</f>
        <v>AGL</v>
      </c>
      <c r="B31" s="177" t="str">
        <f>'Tariffs 2019'!D25</f>
        <v>AGN Temora</v>
      </c>
      <c r="C31" s="178">
        <f>'Tariffs 2019'!E25</f>
        <v>42185</v>
      </c>
      <c r="D31" s="179">
        <f>60*'Tariffs 2019'!H25/100</f>
        <v>52.789090909090902</v>
      </c>
      <c r="E31" s="179">
        <f>$C$5*'Tariffs 2019'!O25/100</f>
        <v>118.18181818181816</v>
      </c>
      <c r="F31" s="179">
        <v>0</v>
      </c>
      <c r="G31" s="179">
        <v>0</v>
      </c>
      <c r="H31" s="179">
        <v>0</v>
      </c>
      <c r="I31" s="179">
        <v>0</v>
      </c>
      <c r="J31" s="179">
        <v>0</v>
      </c>
      <c r="K31" s="179">
        <f>SUM(D31:J31)</f>
        <v>170.97090909090906</v>
      </c>
      <c r="L31" s="198">
        <f>K31*6</f>
        <v>1025.8254545454542</v>
      </c>
      <c r="M31" s="181">
        <f t="shared" si="2"/>
        <v>1128.4079999999997</v>
      </c>
    </row>
    <row r="32" spans="1:23" ht="25" customHeight="1" thickTop="1" x14ac:dyDescent="0.15">
      <c r="A32" s="143" t="str">
        <f>'Tariffs 2019'!F26</f>
        <v>Origin Energy</v>
      </c>
      <c r="B32" s="24" t="str">
        <f>'Tariffs 2019'!D26</f>
        <v>AGN Tumut</v>
      </c>
      <c r="C32" s="144">
        <f>'Tariffs 2019'!E26</f>
        <v>42185</v>
      </c>
      <c r="D32" s="30">
        <f>60*'Tariffs 2019'!H26/100</f>
        <v>48.921818181818182</v>
      </c>
      <c r="E32" s="30">
        <f>$C$5*'Tariffs 2019'!O26/100</f>
        <v>112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f t="shared" ref="K32:K36" si="5">SUM(D32:J32)</f>
        <v>160.9218181818182</v>
      </c>
      <c r="L32" s="197">
        <f t="shared" si="4"/>
        <v>965.53090909090918</v>
      </c>
      <c r="M32" s="145">
        <f t="shared" si="2"/>
        <v>1062.0840000000003</v>
      </c>
    </row>
    <row r="33" spans="1:13" ht="25" customHeight="1" thickBot="1" x14ac:dyDescent="0.2">
      <c r="A33" s="176" t="str">
        <f>'Tariffs 2019'!F27</f>
        <v>Red Energy</v>
      </c>
      <c r="B33" s="177" t="str">
        <f>'Tariffs 2019'!D27</f>
        <v>AGN Tumut</v>
      </c>
      <c r="C33" s="178">
        <f>'Tariffs 2019'!E27</f>
        <v>42185</v>
      </c>
      <c r="D33" s="179">
        <f>60*'Tariffs 2019'!H27/100</f>
        <v>49.811999999999998</v>
      </c>
      <c r="E33" s="179">
        <f>$C$5*'Tariffs 2019'!O27/100</f>
        <v>124</v>
      </c>
      <c r="F33" s="179">
        <v>0</v>
      </c>
      <c r="G33" s="179">
        <v>0</v>
      </c>
      <c r="H33" s="179">
        <v>0</v>
      </c>
      <c r="I33" s="179">
        <v>0</v>
      </c>
      <c r="J33" s="179">
        <v>0</v>
      </c>
      <c r="K33" s="179">
        <f t="shared" si="5"/>
        <v>173.81200000000001</v>
      </c>
      <c r="L33" s="198">
        <f t="shared" si="4"/>
        <v>1042.8720000000001</v>
      </c>
      <c r="M33" s="181">
        <f t="shared" si="2"/>
        <v>1147.1592000000003</v>
      </c>
    </row>
    <row r="34" spans="1:13" ht="25" customHeight="1" thickTop="1" x14ac:dyDescent="0.15">
      <c r="A34" s="143" t="str">
        <f>'Tariffs 2019'!F28</f>
        <v>Origin Energy</v>
      </c>
      <c r="B34" s="24" t="str">
        <f>'Tariffs 2019'!D28</f>
        <v>AGN Wagga Wagga</v>
      </c>
      <c r="C34" s="144">
        <f>'Tariffs 2019'!E28</f>
        <v>42185</v>
      </c>
      <c r="D34" s="30">
        <f>60*'Tariffs 2019'!H28/100</f>
        <v>51.954545454545453</v>
      </c>
      <c r="E34" s="30">
        <f>$C$5*'Tariffs 2019'!O28/100</f>
        <v>90.909090909090907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f t="shared" si="5"/>
        <v>142.86363636363637</v>
      </c>
      <c r="L34" s="197">
        <f t="shared" si="4"/>
        <v>857.18181818181824</v>
      </c>
      <c r="M34" s="145">
        <f t="shared" si="2"/>
        <v>942.90000000000009</v>
      </c>
    </row>
    <row r="35" spans="1:13" ht="25" customHeight="1" thickBot="1" x14ac:dyDescent="0.2">
      <c r="A35" s="176" t="str">
        <f>'Tariffs 2019'!F29</f>
        <v>AGL</v>
      </c>
      <c r="B35" s="177" t="str">
        <f>'Tariffs 2019'!D29</f>
        <v>AGN Wagga Wagga</v>
      </c>
      <c r="C35" s="178">
        <f>'Tariffs 2019'!E29</f>
        <v>42185</v>
      </c>
      <c r="D35" s="179">
        <f>60*'Tariffs 2019'!H29/100</f>
        <v>59.618181818181817</v>
      </c>
      <c r="E35" s="179">
        <f>$C$5*'Tariffs 2019'!O29/100</f>
        <v>96.72727272727272</v>
      </c>
      <c r="F35" s="179">
        <v>0</v>
      </c>
      <c r="G35" s="179">
        <v>0</v>
      </c>
      <c r="H35" s="179">
        <v>0</v>
      </c>
      <c r="I35" s="179">
        <v>0</v>
      </c>
      <c r="J35" s="179">
        <v>0</v>
      </c>
      <c r="K35" s="179">
        <f t="shared" si="5"/>
        <v>156.34545454545454</v>
      </c>
      <c r="L35" s="198">
        <f t="shared" si="4"/>
        <v>938.07272727272721</v>
      </c>
      <c r="M35" s="181">
        <f t="shared" si="2"/>
        <v>1031.8800000000001</v>
      </c>
    </row>
    <row r="36" spans="1:13" ht="25" customHeight="1" thickTop="1" thickBot="1" x14ac:dyDescent="0.2">
      <c r="A36" s="150" t="str">
        <f>'Tariffs 2019'!F30</f>
        <v>Origin Energy</v>
      </c>
      <c r="B36" s="151" t="str">
        <f>'Tariffs 2019'!D30</f>
        <v>Central Ranges Pipeline Tamworth</v>
      </c>
      <c r="C36" s="152">
        <f>'Tariffs 2019'!E30</f>
        <v>42185</v>
      </c>
      <c r="D36" s="153">
        <f>60*'Tariffs 2019'!H30/100</f>
        <v>38.405454545454539</v>
      </c>
      <c r="E36" s="153">
        <f>$C$5*'Tariffs 2019'!O30/100</f>
        <v>157.09090909090909</v>
      </c>
      <c r="F36" s="153">
        <v>0</v>
      </c>
      <c r="G36" s="153">
        <v>0</v>
      </c>
      <c r="H36" s="153">
        <v>0</v>
      </c>
      <c r="I36" s="153">
        <v>0</v>
      </c>
      <c r="J36" s="153">
        <v>0</v>
      </c>
      <c r="K36" s="153">
        <f t="shared" si="5"/>
        <v>195.49636363636364</v>
      </c>
      <c r="L36" s="200">
        <f t="shared" si="4"/>
        <v>1172.9781818181818</v>
      </c>
      <c r="M36" s="154">
        <f t="shared" si="2"/>
        <v>1290.2760000000001</v>
      </c>
    </row>
    <row r="37" spans="1:13" ht="25" customHeight="1" x14ac:dyDescent="0.15"/>
  </sheetData>
  <sheetProtection algorithmName="SHA-512" hashValue="BpLaa3erItnDX7YnPLMXPq1e3ZN9LGETQDJS3aJviotqEisa9sCOp2hFolCIdOmTkpyFsYXcTKMEAI3rpLn7ZQ==" saltValue="QMBg3uzQkta1C1ha+zOUhg==" spinCount="100000" sheet="1" objects="1" scenarios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1E606-1F33-7F4A-9215-C5C7D5737ABB}">
  <sheetPr codeName="Sheet4"/>
  <dimension ref="A1:W37"/>
  <sheetViews>
    <sheetView topLeftCell="A4" zoomScale="99" workbookViewId="0">
      <selection activeCell="E15" sqref="E15"/>
    </sheetView>
  </sheetViews>
  <sheetFormatPr baseColWidth="10" defaultRowHeight="13" x14ac:dyDescent="0.15"/>
  <cols>
    <col min="1" max="1" width="17.6640625" style="170" customWidth="1"/>
    <col min="2" max="2" width="23.33203125" style="170" bestFit="1" customWidth="1"/>
    <col min="3" max="3" width="12.5" style="170" customWidth="1"/>
    <col min="4" max="11" width="12.1640625" style="170" customWidth="1"/>
    <col min="12" max="12" width="12.1640625" style="170" hidden="1" customWidth="1"/>
    <col min="13" max="17" width="12.1640625" style="170" customWidth="1"/>
    <col min="18" max="19" width="10.6640625" style="170" customWidth="1"/>
    <col min="20" max="23" width="12.1640625" style="170" customWidth="1"/>
    <col min="24" max="16384" width="10.83203125" style="170"/>
  </cols>
  <sheetData>
    <row r="1" spans="1:23" ht="14" x14ac:dyDescent="0.15">
      <c r="A1" s="169" t="s">
        <v>321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</row>
    <row r="2" spans="1:23" ht="14" x14ac:dyDescent="0.15">
      <c r="A2" s="171" t="s">
        <v>198</v>
      </c>
      <c r="B2" s="171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</row>
    <row r="3" spans="1:23" ht="15" thickBot="1" x14ac:dyDescent="0.2">
      <c r="A3" s="16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</row>
    <row r="4" spans="1:23" ht="14" x14ac:dyDescent="0.15">
      <c r="A4" s="137" t="s">
        <v>199</v>
      </c>
      <c r="B4" s="138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40"/>
      <c r="N4" s="169"/>
      <c r="O4" s="169"/>
      <c r="P4" s="169"/>
      <c r="Q4" s="169"/>
      <c r="R4" s="169"/>
      <c r="S4" s="169"/>
      <c r="T4" s="169"/>
      <c r="U4" s="169"/>
      <c r="V4" s="169"/>
      <c r="W4" s="169"/>
    </row>
    <row r="5" spans="1:23" ht="14" x14ac:dyDescent="0.15">
      <c r="A5" s="141" t="s">
        <v>378</v>
      </c>
      <c r="B5" s="67"/>
      <c r="C5" s="155">
        <v>4000</v>
      </c>
      <c r="D5" s="24"/>
      <c r="E5" s="67"/>
      <c r="F5" s="67"/>
      <c r="G5" s="67"/>
      <c r="H5" s="67"/>
      <c r="I5" s="67"/>
      <c r="J5" s="67"/>
      <c r="K5" s="67"/>
      <c r="L5" s="67"/>
      <c r="M5" s="142"/>
      <c r="N5" s="169"/>
      <c r="O5" s="169"/>
      <c r="P5" s="169"/>
      <c r="Q5" s="169"/>
      <c r="R5" s="169"/>
      <c r="S5" s="169"/>
      <c r="T5" s="169"/>
      <c r="U5" s="169"/>
      <c r="V5" s="169"/>
      <c r="W5" s="169"/>
    </row>
    <row r="6" spans="1:23" ht="14" x14ac:dyDescent="0.15">
      <c r="A6" s="141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142"/>
      <c r="N6" s="169"/>
      <c r="O6" s="169"/>
      <c r="P6" s="169"/>
      <c r="Q6" s="169"/>
      <c r="R6" s="169"/>
      <c r="S6" s="169"/>
      <c r="T6" s="169"/>
      <c r="U6" s="169"/>
      <c r="V6" s="169"/>
      <c r="W6" s="169"/>
    </row>
    <row r="7" spans="1:23" ht="30" x14ac:dyDescent="0.15">
      <c r="A7" s="224" t="s">
        <v>239</v>
      </c>
      <c r="B7" s="225" t="s">
        <v>200</v>
      </c>
      <c r="C7" s="225" t="s">
        <v>192</v>
      </c>
      <c r="D7" s="225" t="s">
        <v>196</v>
      </c>
      <c r="E7" s="225" t="s">
        <v>201</v>
      </c>
      <c r="F7" s="225" t="s">
        <v>202</v>
      </c>
      <c r="G7" s="225" t="s">
        <v>193</v>
      </c>
      <c r="H7" s="225" t="s">
        <v>194</v>
      </c>
      <c r="I7" s="225" t="s">
        <v>195</v>
      </c>
      <c r="J7" s="225" t="s">
        <v>203</v>
      </c>
      <c r="K7" s="225" t="s">
        <v>51</v>
      </c>
      <c r="L7" s="226" t="s">
        <v>197</v>
      </c>
      <c r="M7" s="227" t="s">
        <v>324</v>
      </c>
      <c r="N7" s="169"/>
      <c r="O7" s="169"/>
      <c r="P7" s="169"/>
      <c r="Q7" s="169"/>
      <c r="R7" s="169"/>
      <c r="S7" s="169"/>
      <c r="T7" s="169"/>
      <c r="U7" s="169"/>
      <c r="V7" s="169"/>
      <c r="W7" s="169"/>
    </row>
    <row r="8" spans="1:23" ht="25" customHeight="1" x14ac:dyDescent="0.15">
      <c r="A8" s="143" t="str">
        <f>'Tariffs 2018'!F2</f>
        <v>AGL</v>
      </c>
      <c r="B8" s="24" t="str">
        <f>'Tariffs 2018'!D2</f>
        <v>Jemena</v>
      </c>
      <c r="C8" s="144">
        <f>'Tariffs 2018'!E2</f>
        <v>41822</v>
      </c>
      <c r="D8" s="30">
        <f>60*'Tariffs 2018'!H2/100</f>
        <v>38.4</v>
      </c>
      <c r="E8" s="30">
        <f>C5*'Tariffs 2018'!O2/100</f>
        <v>116.8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f>SUM(D8:J8)</f>
        <v>155.19999999999999</v>
      </c>
      <c r="L8" s="166">
        <f>K8*6</f>
        <v>931.19999999999993</v>
      </c>
      <c r="M8" s="145">
        <f>L8*1.1</f>
        <v>1024.32</v>
      </c>
      <c r="N8" s="169"/>
      <c r="O8" s="169"/>
      <c r="P8" s="169"/>
      <c r="Q8" s="169"/>
      <c r="R8" s="169"/>
      <c r="S8" s="169"/>
      <c r="T8" s="169"/>
      <c r="U8" s="169"/>
      <c r="V8" s="169"/>
      <c r="W8" s="169"/>
    </row>
    <row r="9" spans="1:23" ht="25" customHeight="1" x14ac:dyDescent="0.15">
      <c r="A9" s="143" t="str">
        <f>'Tariffs 2018'!F3</f>
        <v>Covau</v>
      </c>
      <c r="B9" s="24" t="str">
        <f>'Tariffs 2018'!D3</f>
        <v>Jemena</v>
      </c>
      <c r="C9" s="144">
        <f>'Tariffs 2018'!E3</f>
        <v>41820</v>
      </c>
      <c r="D9" s="30">
        <f>60*'Tariffs 2018'!H3/100</f>
        <v>45</v>
      </c>
      <c r="E9" s="30">
        <f>IF($C$5&gt;='Tariffs 2018'!J3,('Tariffs 2018'!J3*'Tariffs 2018'!O3/100),($C$5*'Tariffs 2018'!O3/100))</f>
        <v>46.2</v>
      </c>
      <c r="F9" s="30">
        <f>IF($C$5&lt;'Tariffs 2018'!J3,0,IF(($C$5-'Tariffs 2018'!J3)&lt;='Tariffs 2018'!K3,(($C$5-'Tariffs 2018'!J3)*'Tariffs 2018'!P3/100),(('Tariffs 2018'!K3-'Tariffs 2018'!J3)*'Tariffs 2018'!P3/100)))</f>
        <v>29.4</v>
      </c>
      <c r="G9" s="30">
        <f>IF($C$5&lt;'Tariffs 2018'!K3,0,IF(($C$5-'Tariffs 2018'!K3)&lt;='Tariffs 2018'!L3,(($C$5-'Tariffs 2018'!K3)*'Tariffs 2018'!Q3/100),(('Tariffs 2018'!L3-'Tariffs 2018'!K3)*'Tariffs 2018'!Q3/100)))</f>
        <v>36.96</v>
      </c>
      <c r="H9" s="30">
        <f>IF($C$5&lt;'Tariffs 2018'!L3,0,IF(($C$5-'Tariffs 2018'!L3)&lt;='Tariffs 2018'!M3,(($C$5-'Tariffs 2018'!L3)*'Tariffs 2018'!R3/100),(('Tariffs 2018'!M3-'Tariffs 2018'!L3)*'Tariffs 2018'!R3/100)))</f>
        <v>0</v>
      </c>
      <c r="I9" s="30">
        <f>IF($C$5&lt;'Tariffs 2018'!M3,0,IF(($C$5-'Tariffs 2018'!M3)&lt;='Tariffs 2018'!N3,(($C$5-'Tariffs 2018'!M3)*'Tariffs 2018'!S3/100),(('Tariffs 2018'!N3-'Tariffs 2018'!M3)*'Tariffs 2018'!S3/100)))</f>
        <v>0</v>
      </c>
      <c r="J9" s="30">
        <f>IF(($C$5&lt;'Tariffs 2018'!N3),(0),($C$5-'Tariffs 2018'!N3)*'Tariffs 2018'!T3/100)</f>
        <v>0</v>
      </c>
      <c r="K9" s="30">
        <f t="shared" ref="K9:K14" si="0">SUM(D9:J9)</f>
        <v>157.56</v>
      </c>
      <c r="L9" s="166">
        <f t="shared" ref="L9:L19" si="1">K9*6</f>
        <v>945.36</v>
      </c>
      <c r="M9" s="145">
        <f t="shared" ref="M9:M23" si="2">L9*1.1</f>
        <v>1039.8960000000002</v>
      </c>
      <c r="N9" s="169"/>
      <c r="O9" s="169"/>
      <c r="P9" s="169"/>
      <c r="Q9" s="169"/>
      <c r="R9" s="169"/>
      <c r="S9" s="169"/>
      <c r="T9" s="169"/>
      <c r="U9" s="169"/>
      <c r="V9" s="169"/>
      <c r="W9" s="169"/>
    </row>
    <row r="10" spans="1:23" ht="25" customHeight="1" x14ac:dyDescent="0.15">
      <c r="A10" s="143" t="str">
        <f>'Tariffs 2018'!F4</f>
        <v>Alinta Energy</v>
      </c>
      <c r="B10" s="24" t="str">
        <f>'Tariffs 2018'!D4</f>
        <v>Jemena</v>
      </c>
      <c r="C10" s="144">
        <f>'Tariffs 2018'!E4</f>
        <v>41852</v>
      </c>
      <c r="D10" s="30">
        <f>60*'Tariffs 2018'!H4/100</f>
        <v>35.46</v>
      </c>
      <c r="E10" s="30">
        <f>IF($C$5&gt;='Tariffs 2018'!J4,('Tariffs 2018'!J4*'Tariffs 2018'!O4/100),($C$5*'Tariffs 2018'!O4/100))</f>
        <v>45.48</v>
      </c>
      <c r="F10" s="30">
        <f>IF($C$5&lt;'Tariffs 2018'!J4,0,IF(($C$5-'Tariffs 2018'!J4)&lt;='Tariffs 2018'!K4,(($C$5-'Tariffs 2018'!J4)*'Tariffs 2018'!P4/100),(('Tariffs 2018'!K4-'Tariffs 2018'!J4)*'Tariffs 2018'!P4/100)))</f>
        <v>30</v>
      </c>
      <c r="G10" s="30">
        <f>IF($C$5&lt;'Tariffs 2018'!K4,0,IF(($C$5-'Tariffs 2018'!K4)&lt;='Tariffs 2018'!L4,(($C$5-'Tariffs 2018'!K4)*'Tariffs 2018'!Q4/100),(('Tariffs 2018'!L4-'Tariffs 2018'!K4)*'Tariffs 2018'!Q4/100)))</f>
        <v>37.6</v>
      </c>
      <c r="H10" s="30">
        <v>0</v>
      </c>
      <c r="I10" s="30">
        <v>0</v>
      </c>
      <c r="J10" s="30">
        <f>IF(($C$5&lt;'Tariffs 2018'!N4),(0),($C$5-'Tariffs 2018'!N4)*'Tariffs 2018'!R4/100)</f>
        <v>0</v>
      </c>
      <c r="K10" s="30">
        <f t="shared" si="0"/>
        <v>148.54</v>
      </c>
      <c r="L10" s="166">
        <f t="shared" si="1"/>
        <v>891.24</v>
      </c>
      <c r="M10" s="145">
        <f t="shared" si="2"/>
        <v>980.36400000000003</v>
      </c>
      <c r="N10" s="169"/>
      <c r="O10" s="169"/>
      <c r="P10" s="169"/>
      <c r="Q10" s="169"/>
      <c r="R10" s="169"/>
      <c r="S10" s="169"/>
      <c r="T10" s="169"/>
      <c r="U10" s="169"/>
      <c r="V10" s="169"/>
      <c r="W10" s="169"/>
    </row>
    <row r="11" spans="1:23" ht="25" customHeight="1" x14ac:dyDescent="0.15">
      <c r="A11" s="143" t="str">
        <f>'Tariffs 2018'!F5</f>
        <v>EnergyAustralia</v>
      </c>
      <c r="B11" s="24" t="str">
        <f>'Tariffs 2018'!D5</f>
        <v>Jemena</v>
      </c>
      <c r="C11" s="144">
        <f>'Tariffs 2018'!E5</f>
        <v>41640</v>
      </c>
      <c r="D11" s="30">
        <f>60*'Tariffs 2018'!H5/100</f>
        <v>35.58</v>
      </c>
      <c r="E11" s="30">
        <f>IF($C$5&gt;='Tariffs 2018'!J5,('Tariffs 2018'!J5*'Tariffs 2018'!O5/100),($C$5*'Tariffs 2018'!O5/100))</f>
        <v>48.84</v>
      </c>
      <c r="F11" s="30">
        <f>IF($C$5&lt;'Tariffs 2018'!J5,0,IF(($C$5-'Tariffs 2018'!J5)&lt;='Tariffs 2018'!K5,(($C$5-'Tariffs 2018'!J5)*'Tariffs 2018'!P5/100),(('Tariffs 2018'!K5-'Tariffs 2018'!J5)*'Tariffs 2018'!P5/100)))</f>
        <v>32.640000000000008</v>
      </c>
      <c r="G11" s="30">
        <f>IF($C$5&lt;'Tariffs 2018'!K5,0,IF(($C$5-'Tariffs 2018'!K5)&lt;='Tariffs 2018'!L5,(($C$5-'Tariffs 2018'!K5)*'Tariffs 2018'!Q5/100),(('Tariffs 2018'!L5-'Tariffs 2018'!K5)*'Tariffs 2018'!Q5/100)))</f>
        <v>41.6</v>
      </c>
      <c r="H11" s="30">
        <v>0</v>
      </c>
      <c r="I11" s="30">
        <v>0</v>
      </c>
      <c r="J11" s="30">
        <f>IF(($C$5&lt;'Tariffs 2018'!N5),(0),($C$5-'Tariffs 2018'!N5)*'Tariffs 2018'!R5/100)</f>
        <v>0</v>
      </c>
      <c r="K11" s="30">
        <f t="shared" si="0"/>
        <v>158.66</v>
      </c>
      <c r="L11" s="166">
        <f t="shared" si="1"/>
        <v>951.96</v>
      </c>
      <c r="M11" s="145">
        <f t="shared" si="2"/>
        <v>1047.1560000000002</v>
      </c>
      <c r="N11" s="169"/>
      <c r="O11" s="169"/>
      <c r="P11" s="169"/>
      <c r="Q11" s="169"/>
      <c r="R11" s="169"/>
      <c r="S11" s="169"/>
      <c r="T11" s="169"/>
      <c r="U11" s="169"/>
      <c r="V11" s="169"/>
      <c r="W11" s="169"/>
    </row>
    <row r="12" spans="1:23" ht="25" customHeight="1" x14ac:dyDescent="0.15">
      <c r="A12" s="143" t="str">
        <f>'Tariffs 2018'!F6</f>
        <v>Origin Energy</v>
      </c>
      <c r="B12" s="24" t="str">
        <f>'Tariffs 2018'!D6</f>
        <v>Jemena</v>
      </c>
      <c r="C12" s="144">
        <f>'Tariffs 2018'!E6</f>
        <v>41820</v>
      </c>
      <c r="D12" s="30">
        <f>60*'Tariffs 2018'!H6/100</f>
        <v>36.54</v>
      </c>
      <c r="E12" s="30">
        <f>IF($C$5&gt;='Tariffs 2018'!J6,('Tariffs 2018'!J6*'Tariffs 2018'!O6/100),($C$5*'Tariffs 2018'!O6/100))</f>
        <v>43.08</v>
      </c>
      <c r="F12" s="30">
        <f>IF($C$5&lt;'Tariffs 2018'!J6,0,IF(($C$5-'Tariffs 2018'!J6)&lt;='Tariffs 2018'!K6,(($C$5-'Tariffs 2018'!J6)*'Tariffs 2018'!P6/100),(('Tariffs 2018'!K6-'Tariffs 2018'!J6)*'Tariffs 2018'!P6/100)))</f>
        <v>29.04</v>
      </c>
      <c r="G12" s="30">
        <f>IF($C$5&lt;'Tariffs 2018'!K6,0,IF(($C$5-'Tariffs 2018'!K6)&lt;='Tariffs 2018'!L6,(($C$5-'Tariffs 2018'!K6)*'Tariffs 2018'!Q6/100),(('Tariffs 2018'!L6-'Tariffs 2018'!K6)*'Tariffs 2018'!Q6/100)))</f>
        <v>37.28</v>
      </c>
      <c r="H12" s="30">
        <v>0</v>
      </c>
      <c r="I12" s="30">
        <v>0</v>
      </c>
      <c r="J12" s="30">
        <f>IF(($C$5&lt;'Tariffs 2018'!N6),(0),($C$5-'Tariffs 2018'!N6)*'Tariffs 2018'!R6/100)</f>
        <v>0</v>
      </c>
      <c r="K12" s="30">
        <f t="shared" si="0"/>
        <v>145.94</v>
      </c>
      <c r="L12" s="166">
        <f t="shared" si="1"/>
        <v>875.64</v>
      </c>
      <c r="M12" s="145">
        <f t="shared" si="2"/>
        <v>963.20400000000006</v>
      </c>
      <c r="N12" s="169"/>
      <c r="O12" s="169"/>
      <c r="P12" s="169"/>
      <c r="Q12" s="169"/>
      <c r="R12" s="169"/>
      <c r="S12" s="169"/>
      <c r="T12" s="169"/>
      <c r="U12" s="169"/>
      <c r="V12" s="169"/>
      <c r="W12" s="169"/>
    </row>
    <row r="13" spans="1:23" ht="25" customHeight="1" x14ac:dyDescent="0.15">
      <c r="A13" s="143" t="str">
        <f>'Tariffs 2018'!F7</f>
        <v>Red Energy</v>
      </c>
      <c r="B13" s="24" t="str">
        <f>'Tariffs 2018'!D7</f>
        <v>Jemena</v>
      </c>
      <c r="C13" s="144">
        <f>'Tariffs 2018'!E7</f>
        <v>41844</v>
      </c>
      <c r="D13" s="30">
        <f>60*'Tariffs 2018'!H7/100</f>
        <v>36</v>
      </c>
      <c r="E13" s="30">
        <f>IF($C$5&gt;='Tariffs 2018'!J7,('Tariffs 2018'!J7*'Tariffs 2018'!O7/100),($C$5*'Tariffs 2018'!O7/100))</f>
        <v>48.239999999999988</v>
      </c>
      <c r="F13" s="30">
        <f>IF($C$5&lt;'Tariffs 2018'!J7,0,IF(($C$5-'Tariffs 2018'!J7)&lt;='Tariffs 2018'!K7,(($C$5-'Tariffs 2018'!J7)*'Tariffs 2018'!P7/100),(('Tariffs 2018'!K7-'Tariffs 2018'!J7)*'Tariffs 2018'!P7/100)))</f>
        <v>32.880000000000003</v>
      </c>
      <c r="G13" s="30">
        <f>IF($C$5&lt;'Tariffs 2018'!K7,0,IF(($C$5-'Tariffs 2018'!K7)&lt;='Tariffs 2018'!L7,(($C$5-'Tariffs 2018'!K7)*'Tariffs 2018'!Q7/100),(('Tariffs 2018'!L7-'Tariffs 2018'!K7)*'Tariffs 2018'!Q7/100)))</f>
        <v>40.479999999999997</v>
      </c>
      <c r="H13" s="30">
        <v>0</v>
      </c>
      <c r="I13" s="30">
        <v>0</v>
      </c>
      <c r="J13" s="30">
        <f>IF(($C$5&lt;'Tariffs 2018'!N7),(0),($C$5-'Tariffs 2018'!N7)*'Tariffs 2018'!R7/100)</f>
        <v>0</v>
      </c>
      <c r="K13" s="30">
        <f t="shared" si="0"/>
        <v>157.59999999999997</v>
      </c>
      <c r="L13" s="166">
        <f t="shared" si="1"/>
        <v>945.5999999999998</v>
      </c>
      <c r="M13" s="145">
        <f t="shared" si="2"/>
        <v>1040.1599999999999</v>
      </c>
      <c r="N13" s="169"/>
      <c r="O13" s="169"/>
      <c r="P13" s="169"/>
      <c r="Q13" s="169"/>
      <c r="R13" s="169"/>
      <c r="S13" s="169"/>
      <c r="T13" s="169"/>
      <c r="U13" s="169"/>
      <c r="V13" s="169"/>
      <c r="W13" s="169"/>
    </row>
    <row r="14" spans="1:23" ht="25" customHeight="1" x14ac:dyDescent="0.15">
      <c r="A14" s="143" t="str">
        <f>'Tariffs 2018'!F8</f>
        <v>Amaysim</v>
      </c>
      <c r="B14" s="24" t="str">
        <f>'Tariffs 2018'!D8</f>
        <v>Jemena</v>
      </c>
      <c r="C14" s="144">
        <f>'Tariffs 2018'!E8</f>
        <v>41880</v>
      </c>
      <c r="D14" s="30">
        <f>60*'Tariffs 2018'!H8/100</f>
        <v>25.8</v>
      </c>
      <c r="E14" s="30">
        <f>IF($C$5&gt;='Tariffs 2018'!J8,('Tariffs 2018'!J8*'Tariffs 2018'!O8/100),($C$5*'Tariffs 2018'!O8/100))</f>
        <v>53.4</v>
      </c>
      <c r="F14" s="30">
        <f>IF($C$5&lt;'Tariffs 2018'!J8,0,IF(($C$5-'Tariffs 2018'!J8)&lt;='Tariffs 2018'!K8,(($C$5-'Tariffs 2018'!J8)*'Tariffs 2018'!P8/100),(('Tariffs 2018'!K8-'Tariffs 2018'!J8)*'Tariffs 2018'!P8/100)))</f>
        <v>34.799999999999997</v>
      </c>
      <c r="G14" s="30">
        <f>IF($C$5&lt;'Tariffs 2018'!K8,0,IF(($C$5-'Tariffs 2018'!K8)&lt;='Tariffs 2018'!L8,(($C$5-'Tariffs 2018'!K8)*'Tariffs 2018'!Q8/100),(('Tariffs 2018'!L8-'Tariffs 2018'!K8)*'Tariffs 2018'!Q8/100)))</f>
        <v>45.6</v>
      </c>
      <c r="H14" s="30">
        <v>0</v>
      </c>
      <c r="I14" s="30">
        <v>0</v>
      </c>
      <c r="J14" s="30">
        <f>IF(($C$5&lt;'Tariffs 2018'!N8),(0),($C$5-'Tariffs 2018'!N8)*'Tariffs 2018'!R8/100)</f>
        <v>0</v>
      </c>
      <c r="K14" s="30">
        <f t="shared" si="0"/>
        <v>159.6</v>
      </c>
      <c r="L14" s="166">
        <f t="shared" si="1"/>
        <v>957.59999999999991</v>
      </c>
      <c r="M14" s="145">
        <f t="shared" si="2"/>
        <v>1053.3599999999999</v>
      </c>
      <c r="N14" s="169"/>
      <c r="O14" s="169"/>
      <c r="P14" s="169"/>
      <c r="Q14" s="169"/>
      <c r="R14" s="169"/>
      <c r="S14" s="169"/>
      <c r="T14" s="169"/>
      <c r="U14" s="169"/>
      <c r="V14" s="169"/>
      <c r="W14" s="169"/>
    </row>
    <row r="15" spans="1:23" ht="25" customHeight="1" x14ac:dyDescent="0.15">
      <c r="A15" s="143" t="str">
        <f>'Tariffs 2018'!F9</f>
        <v>Click Energy</v>
      </c>
      <c r="B15" s="24" t="str">
        <f>'Tariffs 2018'!D9</f>
        <v>Jemena</v>
      </c>
      <c r="C15" s="144">
        <f>'Tariffs 2018'!E9</f>
        <v>41880</v>
      </c>
      <c r="D15" s="30">
        <f>60*'Tariffs 2018'!H9/100</f>
        <v>25.8</v>
      </c>
      <c r="E15" s="30">
        <f>IF($C$5&gt;='Tariffs 2018'!J9,('Tariffs 2018'!J9*'Tariffs 2018'!O9/100),($C$5*'Tariffs 2018'!O9/100))</f>
        <v>53.4</v>
      </c>
      <c r="F15" s="30">
        <f>IF($C$5&lt;'Tariffs 2018'!J9,0,IF(($C$5-'Tariffs 2018'!J9)&lt;='Tariffs 2018'!K9,(($C$5-'Tariffs 2018'!J9)*'Tariffs 2018'!P9/100),(('Tariffs 2018'!K9-'Tariffs 2018'!J9)*'Tariffs 2018'!P9/100)))</f>
        <v>34.799999999999997</v>
      </c>
      <c r="G15" s="30">
        <f>IF($C$5&lt;'Tariffs 2018'!K9,0,IF(($C$5-'Tariffs 2018'!K9)&lt;='Tariffs 2018'!L9,(($C$5-'Tariffs 2018'!K9)*'Tariffs 2018'!Q9/100),(('Tariffs 2018'!L9-'Tariffs 2018'!K9)*'Tariffs 2018'!Q9/100)))</f>
        <v>45.6</v>
      </c>
      <c r="H15" s="30">
        <v>0</v>
      </c>
      <c r="I15" s="30">
        <v>0</v>
      </c>
      <c r="J15" s="30">
        <f>IF(($C$5&lt;'Tariffs 2018'!N9),(0),($C$5-'Tariffs 2018'!N9)*'Tariffs 2018'!R9/100)</f>
        <v>0</v>
      </c>
      <c r="K15" s="30">
        <f t="shared" ref="K15:K17" si="3">SUM(D15:J15)</f>
        <v>159.6</v>
      </c>
      <c r="L15" s="166">
        <f t="shared" si="1"/>
        <v>957.59999999999991</v>
      </c>
      <c r="M15" s="145">
        <f t="shared" si="2"/>
        <v>1053.3599999999999</v>
      </c>
      <c r="N15" s="169"/>
      <c r="O15" s="169"/>
      <c r="P15" s="169"/>
      <c r="Q15" s="169"/>
      <c r="R15" s="169"/>
      <c r="S15" s="169"/>
      <c r="T15" s="169"/>
      <c r="U15" s="169"/>
      <c r="V15" s="169"/>
      <c r="W15" s="169"/>
    </row>
    <row r="16" spans="1:23" ht="25" customHeight="1" thickBot="1" x14ac:dyDescent="0.2">
      <c r="A16" s="176" t="str">
        <f>'Tariffs 2018'!F10</f>
        <v>Simply Energy</v>
      </c>
      <c r="B16" s="177" t="str">
        <f>'Tariffs 2018'!D10</f>
        <v>Jemena</v>
      </c>
      <c r="C16" s="178">
        <f>'Tariffs 2018'!E10</f>
        <v>41879</v>
      </c>
      <c r="D16" s="179">
        <f>60*'Tariffs 2018'!H10/100</f>
        <v>32.85</v>
      </c>
      <c r="E16" s="179">
        <f>IF($C$5&gt;='Tariffs 2018'!J10,('Tariffs 2018'!J10*'Tariffs 2018'!O10/100),($C$5*'Tariffs 2018'!O10/100))</f>
        <v>47.64</v>
      </c>
      <c r="F16" s="179">
        <f>IF($C$5&lt;'Tariffs 2018'!J10,0,IF(($C$5-'Tariffs 2018'!J10)&lt;='Tariffs 2018'!K10,(($C$5-'Tariffs 2018'!J10)*'Tariffs 2018'!P10/100),(('Tariffs 2018'!K10-'Tariffs 2018'!J10)*'Tariffs 2018'!P10/100)))</f>
        <v>31.68</v>
      </c>
      <c r="G16" s="179">
        <f>IF($C$5&lt;'Tariffs 2018'!K10,0,IF(($C$5-'Tariffs 2018'!K10)&lt;='Tariffs 2018'!L10,(($C$5-'Tariffs 2018'!K10)*'Tariffs 2018'!Q10/100),(('Tariffs 2018'!L10-'Tariffs 2018'!K10)*'Tariffs 2018'!Q10/100)))</f>
        <v>39.200000000000003</v>
      </c>
      <c r="H16" s="179">
        <v>0</v>
      </c>
      <c r="I16" s="179">
        <v>0</v>
      </c>
      <c r="J16" s="179">
        <f>IF(($C$5&lt;'Tariffs 2018'!N10),(0),($C$5-'Tariffs 2018'!N10)*'Tariffs 2018'!R10/100)</f>
        <v>0</v>
      </c>
      <c r="K16" s="179">
        <f t="shared" si="3"/>
        <v>151.37</v>
      </c>
      <c r="L16" s="180">
        <f t="shared" si="1"/>
        <v>908.22</v>
      </c>
      <c r="M16" s="181">
        <f t="shared" si="2"/>
        <v>999.04200000000014</v>
      </c>
      <c r="N16" s="169"/>
      <c r="O16" s="169"/>
      <c r="P16" s="169"/>
      <c r="Q16" s="169"/>
      <c r="R16" s="169"/>
      <c r="S16" s="169"/>
      <c r="T16" s="169"/>
      <c r="U16" s="169"/>
      <c r="V16" s="169"/>
      <c r="W16" s="169"/>
    </row>
    <row r="17" spans="1:23" ht="25" customHeight="1" thickTop="1" x14ac:dyDescent="0.15">
      <c r="A17" s="143" t="str">
        <f>'Tariffs 2018'!F11</f>
        <v>ActewAGL</v>
      </c>
      <c r="B17" s="24" t="str">
        <f>'Tariffs 2018'!D11</f>
        <v>ActewAGL Boorowa</v>
      </c>
      <c r="C17" s="144">
        <f>'Tariffs 2018'!E11</f>
        <v>41820</v>
      </c>
      <c r="D17" s="30">
        <f>60*'Tariffs 2018'!H11/100</f>
        <v>42.366000000000007</v>
      </c>
      <c r="E17" s="30">
        <f>IF($C$5&gt;='Tariffs 2018'!J11,('Tariffs 2018'!J11*'Tariffs 2018'!O11/100),($C$5*'Tariffs 2018'!O11/100))</f>
        <v>46.931999999999995</v>
      </c>
      <c r="F17" s="30">
        <f>IF($C$5&lt;'Tariffs 2018'!J11,0,IF(($C$5-'Tariffs 2018'!J11)&lt;='Tariffs 2018'!K11,(($C$5-'Tariffs 2018'!J11)*'Tariffs 2018'!P11/100),(('Tariffs 2018'!K11-'Tariffs 2018'!J11)*'Tariffs 2018'!P11/100)))</f>
        <v>31.404</v>
      </c>
      <c r="G17" s="30">
        <f>IF($C$5&lt;'Tariffs 2018'!K11,0,IF(($C$5-'Tariffs 2018'!K11)&lt;='Tariffs 2018'!L11,(($C$5-'Tariffs 2018'!K11)*'Tariffs 2018'!Q11/100),(('Tariffs 2018'!L11-'Tariffs 2018'!K11)*'Tariffs 2018'!Q11/100)))</f>
        <v>40.752000000000002</v>
      </c>
      <c r="H17" s="30">
        <v>0</v>
      </c>
      <c r="I17" s="30">
        <v>0</v>
      </c>
      <c r="J17" s="30">
        <f>IF(($C$5&lt;'Tariffs 2018'!N11),(0),($C$5-'Tariffs 2018'!N11)*'Tariffs 2018'!R11/100)</f>
        <v>0</v>
      </c>
      <c r="K17" s="30">
        <f t="shared" si="3"/>
        <v>161.45400000000001</v>
      </c>
      <c r="L17" s="166">
        <f t="shared" si="1"/>
        <v>968.72400000000005</v>
      </c>
      <c r="M17" s="145">
        <f t="shared" si="2"/>
        <v>1065.5964000000001</v>
      </c>
      <c r="N17" s="169"/>
      <c r="O17" s="169"/>
      <c r="P17" s="169"/>
      <c r="Q17" s="169"/>
      <c r="R17" s="169"/>
      <c r="S17" s="169"/>
      <c r="T17" s="169"/>
      <c r="U17" s="169"/>
      <c r="V17" s="169"/>
      <c r="W17" s="169"/>
    </row>
    <row r="18" spans="1:23" ht="25" customHeight="1" thickBot="1" x14ac:dyDescent="0.2">
      <c r="A18" s="176" t="str">
        <f>'Tariffs 2018'!F12</f>
        <v>EnergyAustralia</v>
      </c>
      <c r="B18" s="177" t="str">
        <f>'Tariffs 2018'!D12</f>
        <v>ActewAGL Boorowa</v>
      </c>
      <c r="C18" s="178">
        <f>'Tariffs 2018'!E12</f>
        <v>41640</v>
      </c>
      <c r="D18" s="179">
        <f>60*'Tariffs 2018'!H12/100</f>
        <v>35.58</v>
      </c>
      <c r="E18" s="179">
        <f>IF($C$5&gt;='Tariffs 2018'!J12,('Tariffs 2018'!J12*'Tariffs 2018'!O12/100),($C$5*'Tariffs 2018'!O12/100))</f>
        <v>48.84</v>
      </c>
      <c r="F18" s="179">
        <f>IF($C$5&lt;'Tariffs 2018'!J12,0,IF(($C$5-'Tariffs 2018'!J12)&lt;='Tariffs 2018'!K12,(($C$5-'Tariffs 2018'!J12)*'Tariffs 2018'!P12/100),(('Tariffs 2018'!K12-'Tariffs 2018'!J12)*'Tariffs 2018'!P12/100)))</f>
        <v>32.640000000000008</v>
      </c>
      <c r="G18" s="179">
        <f>IF($C$5&lt;'Tariffs 2018'!K12,0,IF(($C$5-'Tariffs 2018'!K12)&lt;='Tariffs 2018'!L12,(($C$5-'Tariffs 2018'!K12)*'Tariffs 2018'!Q12/100),(('Tariffs 2018'!L12-'Tariffs 2018'!K12)*'Tariffs 2018'!Q12/100)))</f>
        <v>41.6</v>
      </c>
      <c r="H18" s="179">
        <v>0</v>
      </c>
      <c r="I18" s="179">
        <v>0</v>
      </c>
      <c r="J18" s="179">
        <f>IF(($C$5&lt;'Tariffs 2018'!N12),(0),($C$5-'Tariffs 2018'!N12)*'Tariffs 2018'!R12/100)</f>
        <v>0</v>
      </c>
      <c r="K18" s="179">
        <f t="shared" ref="K18:K20" si="4">SUM(D18:J18)</f>
        <v>158.66</v>
      </c>
      <c r="L18" s="180">
        <f t="shared" si="1"/>
        <v>951.96</v>
      </c>
      <c r="M18" s="181">
        <f t="shared" si="2"/>
        <v>1047.1560000000002</v>
      </c>
      <c r="N18" s="169"/>
      <c r="O18" s="169"/>
      <c r="P18" s="169"/>
      <c r="Q18" s="169"/>
      <c r="R18" s="169"/>
      <c r="S18" s="169"/>
      <c r="T18" s="169"/>
      <c r="U18" s="169"/>
      <c r="V18" s="169"/>
      <c r="W18" s="169"/>
    </row>
    <row r="19" spans="1:23" ht="25" customHeight="1" thickTop="1" x14ac:dyDescent="0.15">
      <c r="A19" s="143" t="str">
        <f>'Tariffs 2018'!F13</f>
        <v>ActewAGL</v>
      </c>
      <c r="B19" s="24" t="str">
        <f>'Tariffs 2018'!D13</f>
        <v>ActewAGL Queanbeyan</v>
      </c>
      <c r="C19" s="144">
        <f>'Tariffs 2018'!E13</f>
        <v>41820</v>
      </c>
      <c r="D19" s="30">
        <f>60*'Tariffs 2018'!H13/100</f>
        <v>52.938599999999994</v>
      </c>
      <c r="E19" s="30">
        <f>IF($C$5&gt;='Tariffs 2018'!J13,('Tariffs 2018'!J13*'Tariffs 2018'!O13/100),($C$5*'Tariffs 2018'!O13/100))</f>
        <v>77.224999999999994</v>
      </c>
      <c r="F19" s="30">
        <f>IF($C$5&lt;'Tariffs 2018'!J13,0,IF(($C$5-'Tariffs 2018'!J13)&lt;='Tariffs 2018'!K13,(($C$5-'Tariffs 2018'!J13)*'Tariffs 2018'!P13/100),(('Tariffs 2018'!K13-'Tariffs 2018'!J13)*'Tariffs 2018'!P13/100)))</f>
        <v>38.85</v>
      </c>
      <c r="G19" s="30">
        <f>IF($C$5&lt;'Tariffs 2018'!K13,0,IF(($C$5-'Tariffs 2018'!K13)&lt;='Tariffs 2018'!L13,(($C$5-'Tariffs 2018'!K13)*'Tariffs 2018'!Q13/100),(('Tariffs 2018'!L13-'Tariffs 2018'!K13)*'Tariffs 2018'!Q13/100)))</f>
        <v>0</v>
      </c>
      <c r="H19" s="30">
        <v>0</v>
      </c>
      <c r="I19" s="30">
        <v>0</v>
      </c>
      <c r="J19" s="30">
        <f>IF(($C$5&lt;'Tariffs 2018'!N13),(0),($C$5-'Tariffs 2018'!N13)*'Tariffs 2018'!R13/100)</f>
        <v>0</v>
      </c>
      <c r="K19" s="30">
        <f t="shared" si="4"/>
        <v>169.01359999999997</v>
      </c>
      <c r="L19" s="166">
        <f t="shared" si="1"/>
        <v>1014.0815999999998</v>
      </c>
      <c r="M19" s="145">
        <f t="shared" si="2"/>
        <v>1115.4897599999997</v>
      </c>
      <c r="N19" s="169"/>
      <c r="O19" s="169"/>
      <c r="P19" s="169"/>
      <c r="Q19" s="169"/>
      <c r="R19" s="169"/>
      <c r="S19" s="169"/>
      <c r="T19" s="169"/>
      <c r="U19" s="169"/>
      <c r="V19" s="169"/>
      <c r="W19" s="169"/>
    </row>
    <row r="20" spans="1:23" ht="25" customHeight="1" thickBot="1" x14ac:dyDescent="0.2">
      <c r="A20" s="176" t="str">
        <f>'Tariffs 2018'!F14</f>
        <v>EnergyAustralia</v>
      </c>
      <c r="B20" s="177" t="str">
        <f>'Tariffs 2018'!D14</f>
        <v>ActewAGL Queanbeyan</v>
      </c>
      <c r="C20" s="178">
        <f>'Tariffs 2018'!E14</f>
        <v>41640</v>
      </c>
      <c r="D20" s="179">
        <f>60*'Tariffs 2018'!H14/100</f>
        <v>43.2</v>
      </c>
      <c r="E20" s="179">
        <f>IF($C$5&gt;='Tariffs 2018'!J14,('Tariffs 2018'!J14*'Tariffs 2018'!O14/100),($C$5*'Tariffs 2018'!O14/100))</f>
        <v>74.750000000000014</v>
      </c>
      <c r="F20" s="179">
        <f>IF($C$5&lt;'Tariffs 2018'!J14,0,IF(($C$5-'Tariffs 2018'!J14)&lt;='Tariffs 2018'!K14,(($C$5-'Tariffs 2018'!J14)*'Tariffs 2018'!P14/100),(('Tariffs 2018'!K14-'Tariffs 2018'!J14)*'Tariffs 2018'!P14/100)))</f>
        <v>40.800000000000004</v>
      </c>
      <c r="G20" s="179">
        <f>IF($C$5&lt;'Tariffs 2018'!K14,0,IF(($C$5-'Tariffs 2018'!K14)&lt;='Tariffs 2018'!L14,(($C$5-'Tariffs 2018'!K14)*'Tariffs 2018'!Q14/100),(('Tariffs 2018'!L14-'Tariffs 2018'!K14)*'Tariffs 2018'!Q14/100)))</f>
        <v>0</v>
      </c>
      <c r="H20" s="179">
        <v>0</v>
      </c>
      <c r="I20" s="179">
        <v>0</v>
      </c>
      <c r="J20" s="179">
        <f>IF(($C$5&lt;'Tariffs 2018'!N14),(0),($C$5-'Tariffs 2018'!N14)*'Tariffs 2018'!R14/100)</f>
        <v>0</v>
      </c>
      <c r="K20" s="179">
        <f t="shared" si="4"/>
        <v>158.75000000000003</v>
      </c>
      <c r="L20" s="180">
        <f t="shared" ref="L20:L21" si="5">K20*6</f>
        <v>952.50000000000023</v>
      </c>
      <c r="M20" s="181">
        <f t="shared" ref="M20:M21" si="6">L20*1.1</f>
        <v>1047.7500000000002</v>
      </c>
      <c r="N20" s="169"/>
      <c r="O20" s="169"/>
      <c r="P20" s="169"/>
      <c r="Q20" s="169"/>
      <c r="R20" s="169"/>
      <c r="S20" s="169"/>
      <c r="T20" s="169"/>
      <c r="U20" s="169"/>
      <c r="V20" s="169"/>
      <c r="W20" s="169"/>
    </row>
    <row r="21" spans="1:23" ht="25" customHeight="1" thickTop="1" thickBot="1" x14ac:dyDescent="0.2">
      <c r="A21" s="182" t="str">
        <f>'Tariffs 2018'!F15</f>
        <v>ActewAGL</v>
      </c>
      <c r="B21" s="183" t="str">
        <f>'Tariffs 2018'!D15</f>
        <v>ActewAGL Shoalhaven</v>
      </c>
      <c r="C21" s="184">
        <f>'Tariffs 2018'!E15</f>
        <v>41820</v>
      </c>
      <c r="D21" s="185">
        <f>60*'Tariffs 2018'!H15/100</f>
        <v>51.654000000000003</v>
      </c>
      <c r="E21" s="185">
        <f>C5*'Tariffs 2018'!O15/100</f>
        <v>113.68</v>
      </c>
      <c r="F21" s="185">
        <f>IF($C$5&lt;'Tariffs 2018'!J15,0,IF(($C$5-'Tariffs 2018'!J15)&lt;='Tariffs 2018'!K15,(($C$5-'Tariffs 2018'!J15)*'Tariffs 2018'!P15/100),(('Tariffs 2018'!K15-'Tariffs 2018'!J15)*'Tariffs 2018'!P15/100)))</f>
        <v>0</v>
      </c>
      <c r="G21" s="185">
        <f>IF($C$5&lt;'Tariffs 2018'!K15,0,IF(($C$5-'Tariffs 2018'!K15)&lt;='Tariffs 2018'!L15,(($C$5-'Tariffs 2018'!K15)*'Tariffs 2018'!Q15/100),(('Tariffs 2018'!L15-'Tariffs 2018'!K15)*'Tariffs 2018'!Q15/100)))</f>
        <v>0</v>
      </c>
      <c r="H21" s="185">
        <v>0</v>
      </c>
      <c r="I21" s="185">
        <v>0</v>
      </c>
      <c r="J21" s="185">
        <f>IF(($C$5&lt;'Tariffs 2018'!N15),(0),($C$5-'Tariffs 2018'!N15)*'Tariffs 2018'!R15/100)</f>
        <v>0</v>
      </c>
      <c r="K21" s="185">
        <f t="shared" ref="K21:K22" si="7">SUM(D21:J21)</f>
        <v>165.334</v>
      </c>
      <c r="L21" s="186">
        <f t="shared" si="5"/>
        <v>992.00400000000002</v>
      </c>
      <c r="M21" s="187">
        <f t="shared" si="6"/>
        <v>1091.2044000000001</v>
      </c>
      <c r="N21" s="169"/>
      <c r="O21" s="169"/>
      <c r="P21" s="169"/>
      <c r="Q21" s="169"/>
      <c r="R21" s="169"/>
      <c r="S21" s="169"/>
      <c r="T21" s="169"/>
      <c r="U21" s="169"/>
      <c r="V21" s="169"/>
      <c r="W21" s="169"/>
    </row>
    <row r="22" spans="1:23" ht="25" customHeight="1" thickTop="1" x14ac:dyDescent="0.15">
      <c r="A22" s="143" t="str">
        <f>'Tariffs 2018'!F16</f>
        <v>EnergyAustralia</v>
      </c>
      <c r="B22" s="24" t="str">
        <f>'Tariffs 2018'!D16</f>
        <v>Envestra Albury</v>
      </c>
      <c r="C22" s="144">
        <f>'Tariffs 2018'!E16</f>
        <v>41640</v>
      </c>
      <c r="D22" s="30">
        <f>60*'Tariffs 2018'!H16/100</f>
        <v>46.98</v>
      </c>
      <c r="E22" s="30">
        <f>IF($C$5&gt;='Tariffs 2018'!J16,('Tariffs 2018'!J16*'Tariffs 2018'!O16/100),($C$5*'Tariffs 2018'!O16/100))</f>
        <v>98.4</v>
      </c>
      <c r="F22" s="30">
        <f>IF($C$5&lt;'Tariffs 2018'!J16,0,IF(($C$5-'Tariffs 2018'!J16)&lt;='Tariffs 2018'!K16,(($C$5-'Tariffs 2018'!J16)*'Tariffs 2018'!P16/100),(('Tariffs 2018'!K16-'Tariffs 2018'!J16)*'Tariffs 2018'!P16/100)))</f>
        <v>0</v>
      </c>
      <c r="G22" s="30">
        <f>IF($C$5&lt;'Tariffs 2018'!K16,0,IF(($C$5-'Tariffs 2018'!K16)&lt;='Tariffs 2018'!L16,(($C$5-'Tariffs 2018'!K16)*'Tariffs 2018'!Q16/100),(('Tariffs 2018'!L16-'Tariffs 2018'!K16)*'Tariffs 2018'!Q16/100)))</f>
        <v>0</v>
      </c>
      <c r="H22" s="30">
        <v>0</v>
      </c>
      <c r="I22" s="30">
        <v>0</v>
      </c>
      <c r="J22" s="30">
        <f>IF(($C$5&lt;'Tariffs 2018'!N16),(0),($C$5-'Tariffs 2018'!N16)*'Tariffs 2018'!R16/100)</f>
        <v>0</v>
      </c>
      <c r="K22" s="30">
        <f t="shared" si="7"/>
        <v>145.38</v>
      </c>
      <c r="L22" s="166">
        <f t="shared" ref="L22" si="8">K22*6</f>
        <v>872.28</v>
      </c>
      <c r="M22" s="145">
        <f t="shared" ref="M22" si="9">L22*1.1</f>
        <v>959.50800000000004</v>
      </c>
      <c r="N22" s="169"/>
      <c r="O22" s="169"/>
      <c r="P22" s="169"/>
      <c r="Q22" s="169"/>
      <c r="R22" s="169"/>
      <c r="S22" s="169"/>
      <c r="T22" s="169"/>
      <c r="U22" s="169"/>
      <c r="V22" s="169"/>
      <c r="W22" s="169"/>
    </row>
    <row r="23" spans="1:23" ht="25" customHeight="1" x14ac:dyDescent="0.15">
      <c r="A23" s="143" t="str">
        <f>'Tariffs 2018'!F17</f>
        <v>Origin Energy</v>
      </c>
      <c r="B23" s="24" t="str">
        <f>'Tariffs 2018'!D17</f>
        <v>Envestra Albury</v>
      </c>
      <c r="C23" s="144">
        <f>'Tariffs 2018'!E17</f>
        <v>41820</v>
      </c>
      <c r="D23" s="30">
        <f>60*'Tariffs 2018'!H17/100</f>
        <v>32.412000000000006</v>
      </c>
      <c r="E23" s="30">
        <f>IF($C$5&gt;='Tariffs 2018'!J17,('Tariffs 2018'!J17*'Tariffs 2018'!O17/100),($C$5*'Tariffs 2018'!O17/100))</f>
        <v>34.154999999999994</v>
      </c>
      <c r="F23" s="30">
        <f>IF($C$5&lt;'Tariffs 2018'!J17,0,IF(($C$5-'Tariffs 2018'!J17)&lt;='Tariffs 2018'!K17,(($C$5-'Tariffs 2018'!J17)*'Tariffs 2018'!P17/100),(('Tariffs 2018'!K17-'Tariffs 2018'!J17)*'Tariffs 2018'!P17/100)))</f>
        <v>43.475000000000001</v>
      </c>
      <c r="G23" s="30">
        <f>IF($C$5&lt;'Tariffs 2018'!K17,0,IF(($C$5-'Tariffs 2018'!K17)&lt;='Tariffs 2018'!L17,(($C$5-'Tariffs 2018'!K17)*'Tariffs 2018'!Q17/100),(('Tariffs 2018'!L17-'Tariffs 2018'!K17)*'Tariffs 2018'!Q17/100)))</f>
        <v>17.992000000000001</v>
      </c>
      <c r="H23" s="30">
        <v>0</v>
      </c>
      <c r="I23" s="30">
        <v>0</v>
      </c>
      <c r="J23" s="30">
        <f>IF(($C$5&lt;'Tariffs 2018'!N17),(0),($C$5-'Tariffs 2018'!N17)*'Tariffs 2018'!R17/100)</f>
        <v>0</v>
      </c>
      <c r="K23" s="30">
        <f>SUM(D23:J23)</f>
        <v>128.03399999999999</v>
      </c>
      <c r="L23" s="166">
        <f>K23*6</f>
        <v>768.20399999999995</v>
      </c>
      <c r="M23" s="145">
        <f t="shared" si="2"/>
        <v>845.02440000000001</v>
      </c>
      <c r="N23" s="169"/>
      <c r="O23" s="169"/>
      <c r="P23" s="169"/>
      <c r="Q23" s="169"/>
      <c r="R23" s="169"/>
      <c r="S23" s="169"/>
      <c r="T23" s="169"/>
      <c r="U23" s="169"/>
      <c r="V23" s="169"/>
      <c r="W23" s="169"/>
    </row>
    <row r="24" spans="1:23" ht="25" customHeight="1" thickBot="1" x14ac:dyDescent="0.2">
      <c r="A24" s="176" t="str">
        <f>'Tariffs 2018'!F18</f>
        <v>AGL</v>
      </c>
      <c r="B24" s="177" t="str">
        <f>'Tariffs 2018'!D18</f>
        <v>Envestra Albury</v>
      </c>
      <c r="C24" s="178">
        <f>'Tariffs 2018'!E18</f>
        <v>41822</v>
      </c>
      <c r="D24" s="179">
        <f>60*'Tariffs 2018'!H18/100</f>
        <v>37.200000000000003</v>
      </c>
      <c r="E24" s="179">
        <f>IF($C$5&gt;='Tariffs 2018'!J18,('Tariffs 2018'!J18*'Tariffs 2018'!O18/100),($C$5*'Tariffs 2018'!O18/100))</f>
        <v>35.31</v>
      </c>
      <c r="F24" s="179">
        <f>IF($C$5&lt;'Tariffs 2018'!J18,0,IF(($C$5-'Tariffs 2018'!J18)&lt;='Tariffs 2018'!K18,(($C$5-'Tariffs 2018'!J18)*'Tariffs 2018'!P18/100),(('Tariffs 2018'!K18-'Tariffs 2018'!J18)*'Tariffs 2018'!P18/100)))</f>
        <v>45.354999999999997</v>
      </c>
      <c r="G24" s="179">
        <f>IF($C$5&lt;'Tariffs 2018'!K18,0,IF(($C$5-'Tariffs 2018'!K18)&lt;='Tariffs 2018'!L18,(($C$5-'Tariffs 2018'!K18)*'Tariffs 2018'!Q18/100),(('Tariffs 2018'!L18-'Tariffs 2018'!K18)*'Tariffs 2018'!Q18/100)))</f>
        <v>19.032</v>
      </c>
      <c r="H24" s="179">
        <v>0</v>
      </c>
      <c r="I24" s="179">
        <v>0</v>
      </c>
      <c r="J24" s="179">
        <f>IF(($C$5&lt;'Tariffs 2018'!N18),(0),($C$5-'Tariffs 2018'!N18)*'Tariffs 2018'!R18/100)</f>
        <v>0</v>
      </c>
      <c r="K24" s="179">
        <f t="shared" ref="K24:K30" si="10">SUM(D24:J24)</f>
        <v>136.89700000000002</v>
      </c>
      <c r="L24" s="180">
        <f t="shared" ref="L24:L36" si="11">K24*6</f>
        <v>821.38200000000006</v>
      </c>
      <c r="M24" s="181">
        <f t="shared" ref="M24:M31" si="12">L24*1.1</f>
        <v>903.52020000000016</v>
      </c>
      <c r="N24" s="169"/>
      <c r="O24" s="169"/>
      <c r="P24" s="169"/>
      <c r="Q24" s="169"/>
      <c r="R24" s="169"/>
      <c r="S24" s="169"/>
      <c r="T24" s="169"/>
      <c r="U24" s="169"/>
      <c r="V24" s="169"/>
      <c r="W24" s="169"/>
    </row>
    <row r="25" spans="1:23" ht="25" customHeight="1" thickTop="1" x14ac:dyDescent="0.15">
      <c r="A25" s="143" t="str">
        <f>'Tariffs 2018'!F19</f>
        <v>EnergyAustralia</v>
      </c>
      <c r="B25" s="24" t="str">
        <f>'Tariffs 2018'!D19</f>
        <v>Envestra Murray Valley</v>
      </c>
      <c r="C25" s="144">
        <f>'Tariffs 2018'!E19</f>
        <v>41640</v>
      </c>
      <c r="D25" s="30">
        <f>60*'Tariffs 2018'!H19/100</f>
        <v>45.12</v>
      </c>
      <c r="E25" s="30">
        <f>IF($C$5&gt;='Tariffs 2018'!J19,('Tariffs 2018'!J19*'Tariffs 2018'!O19/100),($C$5*'Tariffs 2018'!O19/100))</f>
        <v>143.19999999999999</v>
      </c>
      <c r="F25" s="30">
        <f>IF($C$5&lt;'Tariffs 2018'!J19,0,IF(($C$5-'Tariffs 2018'!J19)&lt;='Tariffs 2018'!K19,(($C$5-'Tariffs 2018'!J19)*'Tariffs 2018'!P19/100),(('Tariffs 2018'!K19-'Tariffs 2018'!J19)*'Tariffs 2018'!P19/100)))</f>
        <v>0</v>
      </c>
      <c r="G25" s="30">
        <f>IF($C$5&lt;'Tariffs 2018'!K19,0,IF(($C$5-'Tariffs 2018'!K19)&lt;='Tariffs 2018'!L19,(($C$5-'Tariffs 2018'!K19)*'Tariffs 2018'!Q19/100),(('Tariffs 2018'!L19-'Tariffs 2018'!K19)*'Tariffs 2018'!Q19/100)))</f>
        <v>0</v>
      </c>
      <c r="H25" s="30">
        <v>0</v>
      </c>
      <c r="I25" s="30">
        <v>0</v>
      </c>
      <c r="J25" s="30">
        <f>IF(($C$5&lt;'Tariffs 2018'!N19),(0),($C$5-'Tariffs 2018'!N19)*'Tariffs 2018'!R19/100)</f>
        <v>0</v>
      </c>
      <c r="K25" s="30">
        <f t="shared" si="10"/>
        <v>188.32</v>
      </c>
      <c r="L25" s="166">
        <f t="shared" si="11"/>
        <v>1129.92</v>
      </c>
      <c r="M25" s="145">
        <f t="shared" si="12"/>
        <v>1242.9120000000003</v>
      </c>
      <c r="N25" s="169"/>
      <c r="O25" s="169"/>
      <c r="P25" s="169"/>
      <c r="Q25" s="169"/>
      <c r="R25" s="169"/>
      <c r="S25" s="169"/>
      <c r="T25" s="169"/>
      <c r="U25" s="169"/>
      <c r="V25" s="169"/>
      <c r="W25" s="169"/>
    </row>
    <row r="26" spans="1:23" ht="25" customHeight="1" x14ac:dyDescent="0.15">
      <c r="A26" s="143" t="str">
        <f>'Tariffs 2018'!F20</f>
        <v>Origin Energy</v>
      </c>
      <c r="B26" s="24" t="str">
        <f>'Tariffs 2018'!D20</f>
        <v>Envestra Murray Valley</v>
      </c>
      <c r="C26" s="144">
        <f>'Tariffs 2018'!E20</f>
        <v>41820</v>
      </c>
      <c r="D26" s="30">
        <f>60*'Tariffs 2018'!H20/100</f>
        <v>37.073999999999998</v>
      </c>
      <c r="E26" s="30">
        <f>IF($C$5&gt;='Tariffs 2018'!J20,('Tariffs 2018'!J20*'Tariffs 2018'!O20/100),($C$5*'Tariffs 2018'!O20/100))</f>
        <v>51.314999999999998</v>
      </c>
      <c r="F26" s="30">
        <f>IF($C$5&lt;'Tariffs 2018'!J20,0,IF(($C$5-'Tariffs 2018'!J20)&lt;='Tariffs 2018'!K20,(($C$5-'Tariffs 2018'!J20)*'Tariffs 2018'!P20/100),(('Tariffs 2018'!K20-'Tariffs 2018'!J20)*'Tariffs 2018'!P20/100)))</f>
        <v>67.444999999999993</v>
      </c>
      <c r="G26" s="30">
        <f>IF($C$5&lt;'Tariffs 2018'!K20,0,IF(($C$5-'Tariffs 2018'!K20)&lt;='Tariffs 2018'!L20,(($C$5-'Tariffs 2018'!K20)*'Tariffs 2018'!Q20/100),(('Tariffs 2018'!L20-'Tariffs 2018'!K20)*'Tariffs 2018'!Q20/100)))</f>
        <v>23.712</v>
      </c>
      <c r="H26" s="30">
        <v>0</v>
      </c>
      <c r="I26" s="30">
        <v>0</v>
      </c>
      <c r="J26" s="30">
        <f>IF(($C$5&lt;'Tariffs 2018'!N20),(0),($C$5-'Tariffs 2018'!N20)*'Tariffs 2018'!R20/100)</f>
        <v>0</v>
      </c>
      <c r="K26" s="30">
        <f t="shared" si="10"/>
        <v>179.54599999999999</v>
      </c>
      <c r="L26" s="166">
        <f t="shared" si="11"/>
        <v>1077.2759999999998</v>
      </c>
      <c r="M26" s="145">
        <f t="shared" si="12"/>
        <v>1185.0036</v>
      </c>
      <c r="N26" s="169"/>
      <c r="O26" s="169"/>
      <c r="P26" s="169"/>
      <c r="Q26" s="169"/>
      <c r="R26" s="169"/>
      <c r="S26" s="169"/>
      <c r="T26" s="169"/>
      <c r="U26" s="169"/>
      <c r="V26" s="169"/>
      <c r="W26" s="169"/>
    </row>
    <row r="27" spans="1:23" ht="25" customHeight="1" thickBot="1" x14ac:dyDescent="0.2">
      <c r="A27" s="176" t="str">
        <f>'Tariffs 2018'!F21</f>
        <v>AGL</v>
      </c>
      <c r="B27" s="177" t="str">
        <f>'Tariffs 2018'!D21</f>
        <v>Envestra Murray Valley</v>
      </c>
      <c r="C27" s="178">
        <f>'Tariffs 2018'!E21</f>
        <v>41822</v>
      </c>
      <c r="D27" s="179">
        <f>60*'Tariffs 2018'!H21/100</f>
        <v>42.6</v>
      </c>
      <c r="E27" s="179">
        <f>IF($C$5&gt;='Tariffs 2018'!J21,('Tariffs 2018'!J21*'Tariffs 2018'!O21/100),($C$5*'Tariffs 2018'!O21/100))</f>
        <v>55.44</v>
      </c>
      <c r="F27" s="179">
        <f>IF($C$5&lt;'Tariffs 2018'!J21,0,IF(($C$5-'Tariffs 2018'!J21)&lt;='Tariffs 2018'!K21,(($C$5-'Tariffs 2018'!J21)*'Tariffs 2018'!P21/100),(('Tariffs 2018'!K21-'Tariffs 2018'!J21)*'Tariffs 2018'!P21/100)))</f>
        <v>71.91</v>
      </c>
      <c r="G27" s="179">
        <f>IF($C$5&lt;'Tariffs 2018'!K21,0,IF(($C$5-'Tariffs 2018'!K21)&lt;='Tariffs 2018'!L21,(($C$5-'Tariffs 2018'!K21)*'Tariffs 2018'!Q21/100),(('Tariffs 2018'!L21-'Tariffs 2018'!K21)*'Tariffs 2018'!Q21/100)))</f>
        <v>25.375999999999998</v>
      </c>
      <c r="H27" s="179">
        <v>0</v>
      </c>
      <c r="I27" s="179">
        <v>0</v>
      </c>
      <c r="J27" s="179">
        <f>IF(($C$5&lt;'Tariffs 2018'!N21),(0),($C$5-'Tariffs 2018'!N21)*'Tariffs 2018'!R21/100)</f>
        <v>0</v>
      </c>
      <c r="K27" s="179">
        <f t="shared" si="10"/>
        <v>195.32599999999999</v>
      </c>
      <c r="L27" s="180">
        <f t="shared" si="11"/>
        <v>1171.9559999999999</v>
      </c>
      <c r="M27" s="181">
        <f t="shared" si="12"/>
        <v>1289.1515999999999</v>
      </c>
      <c r="N27" s="169"/>
      <c r="O27" s="169"/>
      <c r="P27" s="169"/>
      <c r="Q27" s="169"/>
      <c r="R27" s="169"/>
      <c r="S27" s="169"/>
      <c r="T27" s="169"/>
      <c r="U27" s="169"/>
      <c r="V27" s="169"/>
      <c r="W27" s="169"/>
    </row>
    <row r="28" spans="1:23" ht="25" customHeight="1" thickTop="1" x14ac:dyDescent="0.15">
      <c r="A28" s="143" t="str">
        <f>'Tariffs 2018'!F22</f>
        <v>Origin Energy</v>
      </c>
      <c r="B28" s="24" t="str">
        <f>'Tariffs 2018'!D22</f>
        <v>Envestra Cooma</v>
      </c>
      <c r="C28" s="144">
        <f>'Tariffs 2018'!E22</f>
        <v>41820</v>
      </c>
      <c r="D28" s="30">
        <f>60*'Tariffs 2018'!H22/100</f>
        <v>42.251999999999995</v>
      </c>
      <c r="E28" s="30">
        <f>$C$5*'Tariffs 2018'!O22/100</f>
        <v>103.6</v>
      </c>
      <c r="F28" s="30">
        <f>IF($C$5&lt;'Tariffs 2018'!J22,0,IF(($C$5-'Tariffs 2018'!J22)&lt;='Tariffs 2018'!K22,(($C$5-'Tariffs 2018'!J22)*'Tariffs 2018'!P22/100),(('Tariffs 2018'!K22-'Tariffs 2018'!J22)*'Tariffs 2018'!P22/100)))</f>
        <v>0</v>
      </c>
      <c r="G28" s="30">
        <f>IF($C$5&lt;'Tariffs 2018'!K22,0,IF(($C$5-'Tariffs 2018'!K22)&lt;='Tariffs 2018'!L22,(($C$5-'Tariffs 2018'!K22)*'Tariffs 2018'!Q22/100),(('Tariffs 2018'!L22-'Tariffs 2018'!K22)*'Tariffs 2018'!Q22/100)))</f>
        <v>0</v>
      </c>
      <c r="H28" s="30">
        <v>0</v>
      </c>
      <c r="I28" s="30">
        <v>0</v>
      </c>
      <c r="J28" s="30">
        <f>IF(($C$5&lt;'Tariffs 2018'!N22),(0),($C$5-'Tariffs 2018'!N22)*'Tariffs 2018'!R22/100)</f>
        <v>0</v>
      </c>
      <c r="K28" s="30">
        <f t="shared" si="10"/>
        <v>145.85199999999998</v>
      </c>
      <c r="L28" s="166">
        <f t="shared" si="11"/>
        <v>875.11199999999985</v>
      </c>
      <c r="M28" s="145">
        <f t="shared" si="12"/>
        <v>962.62319999999988</v>
      </c>
      <c r="N28" s="169"/>
      <c r="O28" s="169"/>
      <c r="P28" s="169"/>
      <c r="Q28" s="169"/>
      <c r="R28" s="169"/>
      <c r="S28" s="169"/>
      <c r="T28" s="169"/>
      <c r="U28" s="169"/>
      <c r="V28" s="169"/>
      <c r="W28" s="169"/>
    </row>
    <row r="29" spans="1:23" ht="25" customHeight="1" thickBot="1" x14ac:dyDescent="0.2">
      <c r="A29" s="176" t="str">
        <f>'Tariffs 2018'!F23</f>
        <v>Red Energy</v>
      </c>
      <c r="B29" s="177" t="str">
        <f>'Tariffs 2018'!D23</f>
        <v>Envestra Cooma</v>
      </c>
      <c r="C29" s="178">
        <f>'Tariffs 2018'!E23</f>
        <v>41879</v>
      </c>
      <c r="D29" s="179">
        <f>60*'Tariffs 2018'!H23/100</f>
        <v>43.566000000000003</v>
      </c>
      <c r="E29" s="179">
        <f>$C$5*'Tariffs 2018'!O23/100</f>
        <v>106.8</v>
      </c>
      <c r="F29" s="179">
        <f>IF($C$5&lt;'Tariffs 2018'!J23,0,IF(($C$5-'Tariffs 2018'!J23)&lt;='Tariffs 2018'!K23,(($C$5-'Tariffs 2018'!J23)*'Tariffs 2018'!P23/100),(('Tariffs 2018'!K23-'Tariffs 2018'!J23)*'Tariffs 2018'!P23/100)))</f>
        <v>0</v>
      </c>
      <c r="G29" s="179">
        <f>IF($C$5&lt;'Tariffs 2018'!K23,0,IF(($C$5-'Tariffs 2018'!K23)&lt;='Tariffs 2018'!L23,(($C$5-'Tariffs 2018'!K23)*'Tariffs 2018'!Q23/100),(('Tariffs 2018'!L23-'Tariffs 2018'!K23)*'Tariffs 2018'!Q23/100)))</f>
        <v>0</v>
      </c>
      <c r="H29" s="179">
        <v>0</v>
      </c>
      <c r="I29" s="179">
        <v>0</v>
      </c>
      <c r="J29" s="179">
        <f>IF(($C$5&lt;'Tariffs 2018'!N23),(0),($C$5-'Tariffs 2018'!N23)*'Tariffs 2018'!R23/100)</f>
        <v>0</v>
      </c>
      <c r="K29" s="179">
        <f t="shared" si="10"/>
        <v>150.36599999999999</v>
      </c>
      <c r="L29" s="180">
        <f t="shared" si="11"/>
        <v>902.19599999999991</v>
      </c>
      <c r="M29" s="181">
        <f t="shared" si="12"/>
        <v>992.41560000000004</v>
      </c>
    </row>
    <row r="30" spans="1:23" ht="25" customHeight="1" thickTop="1" x14ac:dyDescent="0.15">
      <c r="A30" s="143" t="str">
        <f>'Tariffs 2018'!F24</f>
        <v>Origin Energy</v>
      </c>
      <c r="B30" s="24" t="str">
        <f>'Tariffs 2018'!D24</f>
        <v>Envestra Temora</v>
      </c>
      <c r="C30" s="144">
        <f>'Tariffs 2018'!E24</f>
        <v>41820</v>
      </c>
      <c r="D30" s="30">
        <f>60*'Tariffs 2018'!H24/100</f>
        <v>45.186000000000007</v>
      </c>
      <c r="E30" s="30">
        <f>$C$5*'Tariffs 2018'!O24/100</f>
        <v>105.2</v>
      </c>
      <c r="F30" s="30">
        <f>IF($C$5&lt;'Tariffs 2018'!J24,0,IF(($C$5-'Tariffs 2018'!J24)&lt;='Tariffs 2018'!K24,(($C$5-'Tariffs 2018'!J24)*'Tariffs 2018'!P24/100),(('Tariffs 2018'!K24-'Tariffs 2018'!J24)*'Tariffs 2018'!P24/100)))</f>
        <v>0</v>
      </c>
      <c r="G30" s="30">
        <f>IF($C$5&lt;'Tariffs 2018'!K24,0,IF(($C$5-'Tariffs 2018'!K24)&lt;='Tariffs 2018'!L24,(($C$5-'Tariffs 2018'!K24)*'Tariffs 2018'!Q24/100),(('Tariffs 2018'!L24-'Tariffs 2018'!K24)*'Tariffs 2018'!Q24/100)))</f>
        <v>0</v>
      </c>
      <c r="H30" s="30">
        <v>0</v>
      </c>
      <c r="I30" s="30">
        <v>0</v>
      </c>
      <c r="J30" s="30">
        <f>IF(($C$5&lt;'Tariffs 2018'!N24),(0),($C$5-'Tariffs 2018'!N24)*'Tariffs 2018'!R24/100)</f>
        <v>0</v>
      </c>
      <c r="K30" s="30">
        <f t="shared" si="10"/>
        <v>150.38600000000002</v>
      </c>
      <c r="L30" s="166">
        <f t="shared" si="11"/>
        <v>902.31600000000014</v>
      </c>
      <c r="M30" s="145">
        <f t="shared" si="12"/>
        <v>992.54760000000022</v>
      </c>
    </row>
    <row r="31" spans="1:23" ht="25" customHeight="1" thickBot="1" x14ac:dyDescent="0.2">
      <c r="A31" s="176" t="str">
        <f>'Tariffs 2018'!F25</f>
        <v>AGL</v>
      </c>
      <c r="B31" s="177" t="str">
        <f>'Tariffs 2018'!D25</f>
        <v>Envestra Temora</v>
      </c>
      <c r="C31" s="178">
        <f>'Tariffs 2018'!E25</f>
        <v>41822</v>
      </c>
      <c r="D31" s="179">
        <f>60*'Tariffs 2018'!H25/100</f>
        <v>51</v>
      </c>
      <c r="E31" s="179">
        <f>$C$5*'Tariffs 2018'!O25/100</f>
        <v>114</v>
      </c>
      <c r="F31" s="179">
        <f>IF($C$5&lt;'Tariffs 2018'!J25,0,IF(($C$5-'Tariffs 2018'!J25)&lt;='Tariffs 2018'!K25,(($C$5-'Tariffs 2018'!J25)*'Tariffs 2018'!P25/100),(('Tariffs 2018'!K25-'Tariffs 2018'!J25)*'Tariffs 2018'!P25/100)))</f>
        <v>0</v>
      </c>
      <c r="G31" s="179">
        <f>IF($C$5&lt;'Tariffs 2018'!K25,0,IF(($C$5-'Tariffs 2018'!K25)&lt;='Tariffs 2018'!L25,(($C$5-'Tariffs 2018'!K25)*'Tariffs 2018'!Q25/100),(('Tariffs 2018'!L25-'Tariffs 2018'!K25)*'Tariffs 2018'!Q25/100)))</f>
        <v>0</v>
      </c>
      <c r="H31" s="179">
        <v>0</v>
      </c>
      <c r="I31" s="179">
        <v>0</v>
      </c>
      <c r="J31" s="179">
        <f>IF(($C$5&lt;'Tariffs 2018'!N25),(0),($C$5-'Tariffs 2018'!N25)*'Tariffs 2018'!R25/100)</f>
        <v>0</v>
      </c>
      <c r="K31" s="179">
        <f>SUM(D31:J31)</f>
        <v>165</v>
      </c>
      <c r="L31" s="180">
        <f>K31*6</f>
        <v>990</v>
      </c>
      <c r="M31" s="181">
        <f t="shared" si="12"/>
        <v>1089</v>
      </c>
    </row>
    <row r="32" spans="1:23" ht="25" customHeight="1" thickTop="1" x14ac:dyDescent="0.15">
      <c r="A32" s="143" t="str">
        <f>'Tariffs 2018'!F26</f>
        <v>Origin Energy</v>
      </c>
      <c r="B32" s="24" t="str">
        <f>'Tariffs 2018'!D26</f>
        <v>Envestra Tumut</v>
      </c>
      <c r="C32" s="144">
        <f>'Tariffs 2018'!E26</f>
        <v>41820</v>
      </c>
      <c r="D32" s="30">
        <f>60*'Tariffs 2018'!H26/100</f>
        <v>48.311999999999998</v>
      </c>
      <c r="E32" s="30">
        <f>$C$5*'Tariffs 2018'!O26/100</f>
        <v>108</v>
      </c>
      <c r="F32" s="30">
        <f>IF($C$5&lt;'Tariffs 2018'!J26,0,IF(($C$5-'Tariffs 2018'!J26)&lt;='Tariffs 2018'!K26,(($C$5-'Tariffs 2018'!J26)*'Tariffs 2018'!P26/100),(('Tariffs 2018'!K26-'Tariffs 2018'!J26)*'Tariffs 2018'!P26/100)))</f>
        <v>0</v>
      </c>
      <c r="G32" s="30">
        <f>IF($C$5&lt;'Tariffs 2018'!K26,0,IF(($C$5-'Tariffs 2018'!K26)&lt;='Tariffs 2018'!L26,(($C$5-'Tariffs 2018'!K26)*'Tariffs 2018'!Q26/100),(('Tariffs 2018'!L26-'Tariffs 2018'!K26)*'Tariffs 2018'!Q26/100)))</f>
        <v>0</v>
      </c>
      <c r="H32" s="30">
        <v>0</v>
      </c>
      <c r="I32" s="30">
        <v>0</v>
      </c>
      <c r="J32" s="30">
        <f>IF(($C$5&lt;'Tariffs 2018'!N26),(0),($C$5-'Tariffs 2018'!N26)*'Tariffs 2018'!R26/100)</f>
        <v>0</v>
      </c>
      <c r="K32" s="30">
        <f t="shared" ref="K32:K36" si="13">SUM(D32:J32)</f>
        <v>156.31200000000001</v>
      </c>
      <c r="L32" s="166">
        <f t="shared" si="11"/>
        <v>937.87200000000007</v>
      </c>
      <c r="M32" s="145">
        <f t="shared" ref="M32:M36" si="14">L32*1.1</f>
        <v>1031.6592000000001</v>
      </c>
    </row>
    <row r="33" spans="1:13" ht="25" customHeight="1" thickBot="1" x14ac:dyDescent="0.2">
      <c r="A33" s="176" t="str">
        <f>'Tariffs 2018'!F27</f>
        <v>Red Energy</v>
      </c>
      <c r="B33" s="177" t="str">
        <f>'Tariffs 2018'!D27</f>
        <v>Envestra Tumut</v>
      </c>
      <c r="C33" s="178">
        <f>'Tariffs 2018'!E27</f>
        <v>41879</v>
      </c>
      <c r="D33" s="179">
        <f>60*'Tariffs 2018'!H27/100</f>
        <v>49.811999999999998</v>
      </c>
      <c r="E33" s="179">
        <f>$C$5*'Tariffs 2018'!O27/100</f>
        <v>111.2</v>
      </c>
      <c r="F33" s="179">
        <f>IF($C$5&lt;'Tariffs 2018'!J27,0,IF(($C$5-'Tariffs 2018'!J27)&lt;='Tariffs 2018'!K27,(($C$5-'Tariffs 2018'!J27)*'Tariffs 2018'!P27/100),(('Tariffs 2018'!K27-'Tariffs 2018'!J27)*'Tariffs 2018'!P27/100)))</f>
        <v>0</v>
      </c>
      <c r="G33" s="179">
        <f>IF($C$5&lt;'Tariffs 2018'!K27,0,IF(($C$5-'Tariffs 2018'!K27)&lt;='Tariffs 2018'!L27,(($C$5-'Tariffs 2018'!K27)*'Tariffs 2018'!Q27/100),(('Tariffs 2018'!L27-'Tariffs 2018'!K27)*'Tariffs 2018'!Q27/100)))</f>
        <v>0</v>
      </c>
      <c r="H33" s="179">
        <v>0</v>
      </c>
      <c r="I33" s="179">
        <v>0</v>
      </c>
      <c r="J33" s="179">
        <f>IF(($C$5&lt;'Tariffs 2018'!N27),(0),($C$5-'Tariffs 2018'!N27)*'Tariffs 2018'!R27/100)</f>
        <v>0</v>
      </c>
      <c r="K33" s="179">
        <f t="shared" si="13"/>
        <v>161.012</v>
      </c>
      <c r="L33" s="180">
        <f t="shared" si="11"/>
        <v>966.072</v>
      </c>
      <c r="M33" s="181">
        <f t="shared" si="14"/>
        <v>1062.6792</v>
      </c>
    </row>
    <row r="34" spans="1:13" ht="25" customHeight="1" thickTop="1" x14ac:dyDescent="0.15">
      <c r="A34" s="143" t="str">
        <f>'Tariffs 2018'!F28</f>
        <v>Origin Energy</v>
      </c>
      <c r="B34" s="24" t="str">
        <f>'Tariffs 2018'!D28</f>
        <v>Envestra Wagga Wagga</v>
      </c>
      <c r="C34" s="144">
        <f>'Tariffs 2018'!E28</f>
        <v>41820</v>
      </c>
      <c r="D34" s="30">
        <f>60*'Tariffs 2018'!H28/100</f>
        <v>51.281999999999996</v>
      </c>
      <c r="E34" s="30">
        <f>$C$5*'Tariffs 2018'!O28/100</f>
        <v>87.2</v>
      </c>
      <c r="F34" s="30">
        <f>IF($C$5&lt;'Tariffs 2018'!J28,0,IF(($C$5-'Tariffs 2018'!J28)&lt;='Tariffs 2018'!K28,(($C$5-'Tariffs 2018'!J28)*'Tariffs 2018'!P28/100),(('Tariffs 2018'!K28-'Tariffs 2018'!J28)*'Tariffs 2018'!P28/100)))</f>
        <v>0</v>
      </c>
      <c r="G34" s="30">
        <f>IF($C$5&lt;'Tariffs 2018'!K28,0,IF(($C$5-'Tariffs 2018'!K28)&lt;='Tariffs 2018'!L28,(($C$5-'Tariffs 2018'!K28)*'Tariffs 2018'!Q28/100),(('Tariffs 2018'!L28-'Tariffs 2018'!K28)*'Tariffs 2018'!Q28/100)))</f>
        <v>0</v>
      </c>
      <c r="H34" s="30">
        <v>0</v>
      </c>
      <c r="I34" s="30">
        <v>0</v>
      </c>
      <c r="J34" s="30">
        <f>IF(($C$5&lt;'Tariffs 2018'!N28),(0),($C$5-'Tariffs 2018'!N28)*'Tariffs 2018'!R28/100)</f>
        <v>0</v>
      </c>
      <c r="K34" s="30">
        <f t="shared" si="13"/>
        <v>138.482</v>
      </c>
      <c r="L34" s="166">
        <f t="shared" si="11"/>
        <v>830.89200000000005</v>
      </c>
      <c r="M34" s="145">
        <f t="shared" si="14"/>
        <v>913.98120000000017</v>
      </c>
    </row>
    <row r="35" spans="1:13" ht="25" customHeight="1" thickBot="1" x14ac:dyDescent="0.2">
      <c r="A35" s="176" t="str">
        <f>'Tariffs 2018'!F29</f>
        <v>AGL</v>
      </c>
      <c r="B35" s="177" t="str">
        <f>'Tariffs 2018'!D29</f>
        <v>Envestra Wagga Wagga</v>
      </c>
      <c r="C35" s="178">
        <f>'Tariffs 2018'!E29</f>
        <v>41822</v>
      </c>
      <c r="D35" s="179">
        <f>60*'Tariffs 2018'!H29/100</f>
        <v>57.6</v>
      </c>
      <c r="E35" s="179">
        <f>$C$5*'Tariffs 2018'!O29/100</f>
        <v>93.6</v>
      </c>
      <c r="F35" s="179">
        <f>IF($C$5&lt;'Tariffs 2018'!J29,0,IF(($C$5-'Tariffs 2018'!J29)&lt;='Tariffs 2018'!K29,(($C$5-'Tariffs 2018'!J29)*'Tariffs 2018'!P29/100),(('Tariffs 2018'!K29-'Tariffs 2018'!J29)*'Tariffs 2018'!P29/100)))</f>
        <v>0</v>
      </c>
      <c r="G35" s="179">
        <f>IF($C$5&lt;'Tariffs 2018'!K29,0,IF(($C$5-'Tariffs 2018'!K29)&lt;='Tariffs 2018'!L29,(($C$5-'Tariffs 2018'!K29)*'Tariffs 2018'!Q29/100),(('Tariffs 2018'!L29-'Tariffs 2018'!K29)*'Tariffs 2018'!Q29/100)))</f>
        <v>0</v>
      </c>
      <c r="H35" s="179">
        <v>0</v>
      </c>
      <c r="I35" s="179">
        <v>0</v>
      </c>
      <c r="J35" s="179">
        <f>IF(($C$5&lt;'Tariffs 2018'!N29),(0),($C$5-'Tariffs 2018'!N29)*'Tariffs 2018'!R29/100)</f>
        <v>0</v>
      </c>
      <c r="K35" s="179">
        <f t="shared" si="13"/>
        <v>151.19999999999999</v>
      </c>
      <c r="L35" s="180">
        <f t="shared" si="11"/>
        <v>907.19999999999993</v>
      </c>
      <c r="M35" s="181">
        <f t="shared" si="14"/>
        <v>997.92</v>
      </c>
    </row>
    <row r="36" spans="1:13" ht="25" customHeight="1" thickTop="1" thickBot="1" x14ac:dyDescent="0.2">
      <c r="A36" s="150" t="str">
        <f>'Tariffs 2018'!F30</f>
        <v>Origin Energy</v>
      </c>
      <c r="B36" s="151" t="str">
        <f>'Tariffs 2018'!D30</f>
        <v>Central Ranges Tamworth</v>
      </c>
      <c r="C36" s="152">
        <f>'Tariffs 2018'!E30</f>
        <v>41820</v>
      </c>
      <c r="D36" s="153">
        <f>60*'Tariffs 2018'!H30/100</f>
        <v>38.406000000000006</v>
      </c>
      <c r="E36" s="153">
        <f>$C$5*'Tariffs 2018'!O30/100</f>
        <v>154</v>
      </c>
      <c r="F36" s="153">
        <f>IF($C$5&lt;'Tariffs 2018'!J30,0,IF(($C$5-'Tariffs 2018'!J30)&lt;='Tariffs 2018'!K30,(($C$5-'Tariffs 2018'!J30)*'Tariffs 2018'!P30/100),(('Tariffs 2018'!K30-'Tariffs 2018'!J30)*'Tariffs 2018'!P30/100)))</f>
        <v>0</v>
      </c>
      <c r="G36" s="153">
        <f>IF($C$5&lt;'Tariffs 2018'!K30,0,IF(($C$5-'Tariffs 2018'!K30)&lt;='Tariffs 2018'!L30,(($C$5-'Tariffs 2018'!K30)*'Tariffs 2018'!Q30/100),(('Tariffs 2018'!L30-'Tariffs 2018'!K30)*'Tariffs 2018'!Q30/100)))</f>
        <v>0</v>
      </c>
      <c r="H36" s="153">
        <v>0</v>
      </c>
      <c r="I36" s="153">
        <v>0</v>
      </c>
      <c r="J36" s="153">
        <f>IF(($C$5&lt;'Tariffs 2018'!N30),(0),($C$5-'Tariffs 2018'!N30)*'Tariffs 2018'!R30/100)</f>
        <v>0</v>
      </c>
      <c r="K36" s="153">
        <f t="shared" si="13"/>
        <v>192.40600000000001</v>
      </c>
      <c r="L36" s="188">
        <f t="shared" si="11"/>
        <v>1154.4360000000001</v>
      </c>
      <c r="M36" s="154">
        <f t="shared" si="14"/>
        <v>1269.8796000000002</v>
      </c>
    </row>
    <row r="37" spans="1:13" ht="25" customHeight="1" x14ac:dyDescent="0.15"/>
  </sheetData>
  <sheetProtection algorithmName="SHA-512" hashValue="SG3lhvIEGRo9nUMW8v6vGHoBzCumY9D/c+gnCqlCF5tH/OuiA34JtTv5B4Uk3/hf9qp85fKsp/8TUEbhTgJLFg==" saltValue="7CVGdPT2raL84UuXJ9Yf+A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FS194"/>
  <sheetViews>
    <sheetView workbookViewId="0">
      <selection activeCell="E19" sqref="E19"/>
    </sheetView>
  </sheetViews>
  <sheetFormatPr baseColWidth="10" defaultRowHeight="13" x14ac:dyDescent="0.15"/>
  <cols>
    <col min="1" max="1" width="20.1640625" style="24" customWidth="1"/>
    <col min="2" max="2" width="23.1640625" style="24" bestFit="1" customWidth="1"/>
    <col min="3" max="3" width="12.5" style="24" customWidth="1"/>
    <col min="4" max="11" width="12.1640625" style="24" customWidth="1"/>
    <col min="12" max="12" width="12.1640625" style="24" hidden="1" customWidth="1"/>
    <col min="13" max="13" width="12.1640625" style="24" customWidth="1"/>
    <col min="14" max="17" width="12.1640625" style="164" customWidth="1"/>
    <col min="18" max="19" width="10.6640625" style="164" customWidth="1"/>
    <col min="20" max="23" width="12.1640625" style="164" customWidth="1"/>
    <col min="24" max="175" width="10.83203125" style="164"/>
    <col min="176" max="16384" width="10.83203125" style="24"/>
  </cols>
  <sheetData>
    <row r="1" spans="1:175" s="164" customFormat="1" ht="14" x14ac:dyDescent="0.15">
      <c r="A1" s="163" t="s">
        <v>321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</row>
    <row r="2" spans="1:175" s="164" customFormat="1" ht="14" x14ac:dyDescent="0.15">
      <c r="A2" s="165" t="s">
        <v>198</v>
      </c>
      <c r="B2" s="165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</row>
    <row r="3" spans="1:175" s="164" customFormat="1" ht="15" thickBo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</row>
    <row r="4" spans="1:175" ht="14" x14ac:dyDescent="0.15">
      <c r="A4" s="137" t="s">
        <v>199</v>
      </c>
      <c r="B4" s="138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40"/>
      <c r="N4" s="163"/>
      <c r="O4" s="163"/>
      <c r="P4" s="163"/>
      <c r="Q4" s="163"/>
      <c r="R4" s="163"/>
      <c r="S4" s="163"/>
      <c r="T4" s="163"/>
      <c r="U4" s="163"/>
      <c r="V4" s="163"/>
      <c r="W4" s="163"/>
    </row>
    <row r="5" spans="1:175" ht="14" x14ac:dyDescent="0.15">
      <c r="A5" s="141" t="s">
        <v>378</v>
      </c>
      <c r="B5" s="67"/>
      <c r="C5" s="155">
        <v>4000</v>
      </c>
      <c r="E5" s="67"/>
      <c r="F5" s="67"/>
      <c r="G5" s="67"/>
      <c r="H5" s="67"/>
      <c r="I5" s="67"/>
      <c r="J5" s="67"/>
      <c r="K5" s="67"/>
      <c r="L5" s="67"/>
      <c r="M5" s="142"/>
      <c r="N5" s="163"/>
      <c r="O5" s="163"/>
      <c r="P5" s="163"/>
      <c r="Q5" s="163"/>
      <c r="R5" s="163"/>
      <c r="S5" s="163"/>
      <c r="T5" s="163"/>
      <c r="U5" s="163"/>
      <c r="V5" s="163"/>
      <c r="W5" s="163"/>
    </row>
    <row r="6" spans="1:175" ht="14" x14ac:dyDescent="0.15">
      <c r="A6" s="141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142"/>
      <c r="N6" s="163"/>
      <c r="O6" s="163"/>
      <c r="P6" s="163"/>
      <c r="Q6" s="163"/>
      <c r="R6" s="163"/>
      <c r="S6" s="163"/>
      <c r="T6" s="163"/>
      <c r="U6" s="163"/>
      <c r="V6" s="163"/>
      <c r="W6" s="163"/>
    </row>
    <row r="7" spans="1:175" ht="30" x14ac:dyDescent="0.15">
      <c r="A7" s="224" t="s">
        <v>239</v>
      </c>
      <c r="B7" s="225" t="s">
        <v>200</v>
      </c>
      <c r="C7" s="225" t="s">
        <v>192</v>
      </c>
      <c r="D7" s="225" t="s">
        <v>196</v>
      </c>
      <c r="E7" s="225" t="s">
        <v>201</v>
      </c>
      <c r="F7" s="225" t="s">
        <v>202</v>
      </c>
      <c r="G7" s="225" t="s">
        <v>193</v>
      </c>
      <c r="H7" s="225" t="s">
        <v>194</v>
      </c>
      <c r="I7" s="225" t="s">
        <v>195</v>
      </c>
      <c r="J7" s="225" t="s">
        <v>203</v>
      </c>
      <c r="K7" s="225" t="s">
        <v>204</v>
      </c>
      <c r="L7" s="226" t="s">
        <v>197</v>
      </c>
      <c r="M7" s="227" t="s">
        <v>324</v>
      </c>
      <c r="N7" s="163"/>
      <c r="O7" s="163"/>
      <c r="P7" s="163"/>
      <c r="Q7" s="163"/>
      <c r="R7" s="163"/>
      <c r="S7" s="163"/>
      <c r="T7" s="163"/>
      <c r="U7" s="163"/>
      <c r="V7" s="163"/>
      <c r="W7" s="163"/>
    </row>
    <row r="8" spans="1:175" ht="25" customHeight="1" x14ac:dyDescent="0.15">
      <c r="A8" s="143" t="str">
        <f>'Tariffs 2017'!F2</f>
        <v>AGL</v>
      </c>
      <c r="B8" s="24" t="str">
        <f>'Tariffs 2017'!D2</f>
        <v>Jemena</v>
      </c>
      <c r="C8" s="144">
        <f>'Tariffs 2017'!E2</f>
        <v>41457</v>
      </c>
      <c r="D8" s="30">
        <f>60*'Tariffs 2017'!H2/100</f>
        <v>38.4</v>
      </c>
      <c r="E8" s="30">
        <f>C5*'Tariffs 2017'!O2/100</f>
        <v>112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0">
        <f>SUM(D8:J8)</f>
        <v>150.4</v>
      </c>
      <c r="L8" s="166">
        <f>K8*6</f>
        <v>902.40000000000009</v>
      </c>
      <c r="M8" s="145">
        <f>L8*1.1</f>
        <v>992.64000000000021</v>
      </c>
      <c r="N8" s="163"/>
      <c r="O8" s="163"/>
      <c r="P8" s="163"/>
      <c r="Q8" s="163"/>
      <c r="R8" s="163"/>
      <c r="S8" s="163"/>
      <c r="T8" s="163"/>
      <c r="U8" s="163"/>
      <c r="V8" s="163"/>
      <c r="W8" s="163"/>
    </row>
    <row r="9" spans="1:175" ht="25" customHeight="1" x14ac:dyDescent="0.15">
      <c r="A9" s="143" t="str">
        <f>'Tariffs 2017'!F3</f>
        <v>Covau</v>
      </c>
      <c r="B9" s="24" t="str">
        <f>'Tariffs 2017'!D3</f>
        <v>Jemena</v>
      </c>
      <c r="C9" s="144">
        <f>'Tariffs 2017'!E3</f>
        <v>41455</v>
      </c>
      <c r="D9" s="30">
        <f>60*'Tariffs 2017'!H3/100</f>
        <v>37.799999999999997</v>
      </c>
      <c r="E9" s="30">
        <f>IF($C$5&gt;='Tariffs 2017'!J3,('Tariffs 2017'!J3*'Tariffs 2017'!O3/100),($C$5*'Tariffs 2017'!O3/100))</f>
        <v>45.96</v>
      </c>
      <c r="F9" s="30">
        <f>IF($C$5&lt;'Tariffs 2017'!J3,0,IF(($C$5-'Tariffs 2017'!J3)&lt;='Tariffs 2017'!K3,(($C$5-'Tariffs 2017'!J3)*'Tariffs 2017'!P3/100),(('Tariffs 2017'!K3-'Tariffs 2017'!J3)*'Tariffs 2017'!P3/100)))</f>
        <v>29.4</v>
      </c>
      <c r="G9" s="30">
        <f>IF($C$5&lt;'Tariffs 2017'!K3,0,IF(($C$5-'Tariffs 2017'!K3)&lt;='Tariffs 2017'!L3,(($C$5-'Tariffs 2017'!K3)*'Tariffs 2017'!Q3/100),(('Tariffs 2017'!L3-'Tariffs 2017'!K3)*'Tariffs 2017'!Q3/100)))</f>
        <v>36.96</v>
      </c>
      <c r="H9" s="30">
        <f>IF($C$5&lt;'Tariffs 2017'!L3,0,IF(($C$5-'Tariffs 2017'!L3)&lt;='Tariffs 2017'!M3,(($C$5-'Tariffs 2017'!L3)*'Tariffs 2017'!R3/100),(('Tariffs 2017'!M3-'Tariffs 2017'!L3)*'Tariffs 2017'!R3/100)))</f>
        <v>0</v>
      </c>
      <c r="I9" s="30">
        <f>IF($C$5&lt;'Tariffs 2017'!M3,0,IF(($C$5-'Tariffs 2017'!M3)&lt;='Tariffs 2017'!N3,(($C$5-'Tariffs 2017'!M3)*'Tariffs 2017'!S3/100),(('Tariffs 2017'!N3-'Tariffs 2017'!M3)*'Tariffs 2017'!S3/100)))</f>
        <v>0</v>
      </c>
      <c r="J9" s="30">
        <f>IF(($C$5&lt;'Tariffs 2017'!N3),(0),($C$5-'Tariffs 2017'!N3)*'Tariffs 2017'!T3/100)</f>
        <v>0</v>
      </c>
      <c r="K9" s="30">
        <f t="shared" ref="K9:K27" si="0">SUM(D9:J9)</f>
        <v>150.12</v>
      </c>
      <c r="L9" s="166">
        <f t="shared" ref="L9:L27" si="1">K9*6</f>
        <v>900.72</v>
      </c>
      <c r="M9" s="145">
        <f t="shared" ref="M9:M27" si="2">L9*1.1</f>
        <v>990.79200000000014</v>
      </c>
      <c r="N9" s="163"/>
      <c r="O9" s="163"/>
      <c r="P9" s="163"/>
      <c r="Q9" s="163"/>
      <c r="R9" s="163"/>
      <c r="S9" s="163"/>
      <c r="T9" s="163"/>
      <c r="U9" s="163"/>
      <c r="V9" s="163"/>
      <c r="W9" s="163"/>
    </row>
    <row r="10" spans="1:175" ht="25" customHeight="1" x14ac:dyDescent="0.15">
      <c r="A10" s="143" t="str">
        <f>'Tariffs 2017'!F4</f>
        <v>Dodo Power &amp; Gas</v>
      </c>
      <c r="B10" s="24" t="str">
        <f>'Tariffs 2017'!D4</f>
        <v>Jemena</v>
      </c>
      <c r="C10" s="144">
        <f>'Tariffs 2017'!E4</f>
        <v>41486</v>
      </c>
      <c r="D10" s="30">
        <f>60*'Tariffs 2017'!H4/100</f>
        <v>35.58</v>
      </c>
      <c r="E10" s="30">
        <f>IF($C$5&gt;='Tariffs 2017'!J4,('Tariffs 2017'!J4*'Tariffs 2017'!O4/100),($C$5*'Tariffs 2017'!O4/100))</f>
        <v>52.68</v>
      </c>
      <c r="F10" s="30">
        <f>IF($C$5&lt;'Tariffs 2017'!J4,0,IF(($C$5-'Tariffs 2017'!J4)&lt;='Tariffs 2017'!K4,(($C$5-'Tariffs 2017'!J4)*'Tariffs 2017'!P4/100),(('Tariffs 2017'!K4-'Tariffs 2017'!J4)*'Tariffs 2017'!P4/100)))</f>
        <v>30</v>
      </c>
      <c r="G10" s="30">
        <f>IF($C$5&lt;'Tariffs 2017'!K4,0,IF(($C$5-'Tariffs 2017'!K4)&lt;='Tariffs 2017'!L4,(($C$5-'Tariffs 2017'!K4)*'Tariffs 2017'!Q4/100),(('Tariffs 2017'!L4-'Tariffs 2017'!K4)*'Tariffs 2017'!Q4/100)))</f>
        <v>40</v>
      </c>
      <c r="H10" s="30">
        <v>0</v>
      </c>
      <c r="I10" s="30">
        <v>0</v>
      </c>
      <c r="J10" s="30">
        <f>IF(($C$5&lt;'Tariffs 2017'!N4),(0),($C$5-'Tariffs 2017'!N4)*'Tariffs 2017'!R4/100)</f>
        <v>0</v>
      </c>
      <c r="K10" s="30">
        <f t="shared" si="0"/>
        <v>158.26</v>
      </c>
      <c r="L10" s="166">
        <f t="shared" si="1"/>
        <v>949.56</v>
      </c>
      <c r="M10" s="145">
        <f t="shared" si="2"/>
        <v>1044.5160000000001</v>
      </c>
      <c r="N10" s="163"/>
      <c r="O10" s="163"/>
      <c r="P10" s="163"/>
      <c r="Q10" s="163"/>
      <c r="R10" s="163"/>
      <c r="S10" s="163"/>
      <c r="T10" s="163"/>
      <c r="U10" s="163"/>
      <c r="V10" s="163"/>
      <c r="W10" s="163"/>
    </row>
    <row r="11" spans="1:175" ht="25" customHeight="1" x14ac:dyDescent="0.15">
      <c r="A11" s="143" t="str">
        <f>'Tariffs 2017'!F5</f>
        <v>EnergyAustralia</v>
      </c>
      <c r="B11" s="24" t="str">
        <f>'Tariffs 2017'!D5</f>
        <v>Jemena</v>
      </c>
      <c r="C11" s="144">
        <f>'Tariffs 2017'!E5</f>
        <v>41467</v>
      </c>
      <c r="D11" s="30">
        <f>60*'Tariffs 2017'!H5/100</f>
        <v>35.58</v>
      </c>
      <c r="E11" s="30">
        <f>IF($C$5&gt;='Tariffs 2017'!J5,('Tariffs 2017'!J5*'Tariffs 2017'!O5/100),($C$5*'Tariffs 2017'!O5/100))</f>
        <v>48.84</v>
      </c>
      <c r="F11" s="30">
        <f>IF($C$5&lt;'Tariffs 2017'!J5,0,IF(($C$5-'Tariffs 2017'!J5)&lt;='Tariffs 2017'!K5,(($C$5-'Tariffs 2017'!J5)*'Tariffs 2017'!P5/100),(('Tariffs 2017'!K5-'Tariffs 2017'!J5)*'Tariffs 2017'!P5/100)))</f>
        <v>32.640000000000008</v>
      </c>
      <c r="G11" s="30">
        <f>IF($C$5&lt;'Tariffs 2017'!K5,0,IF(($C$5-'Tariffs 2017'!K5)&lt;='Tariffs 2017'!L5,(($C$5-'Tariffs 2017'!K5)*'Tariffs 2017'!Q5/100),(('Tariffs 2017'!L5-'Tariffs 2017'!K5)*'Tariffs 2017'!Q5/100)))</f>
        <v>41.6</v>
      </c>
      <c r="H11" s="30">
        <v>0</v>
      </c>
      <c r="I11" s="30">
        <v>0</v>
      </c>
      <c r="J11" s="30">
        <f>IF(($C$5&lt;'Tariffs 2017'!N5),(0),($C$5-'Tariffs 2017'!N5)*'Tariffs 2017'!R5/100)</f>
        <v>0</v>
      </c>
      <c r="K11" s="30">
        <f t="shared" si="0"/>
        <v>158.66</v>
      </c>
      <c r="L11" s="166">
        <f t="shared" si="1"/>
        <v>951.96</v>
      </c>
      <c r="M11" s="145">
        <f t="shared" si="2"/>
        <v>1047.1560000000002</v>
      </c>
      <c r="N11" s="163"/>
      <c r="O11" s="163"/>
      <c r="P11" s="163"/>
      <c r="Q11" s="163"/>
      <c r="R11" s="163"/>
      <c r="S11" s="163"/>
      <c r="T11" s="163"/>
      <c r="U11" s="163"/>
      <c r="V11" s="163"/>
      <c r="W11" s="163"/>
    </row>
    <row r="12" spans="1:175" ht="25" customHeight="1" x14ac:dyDescent="0.15">
      <c r="A12" s="143" t="str">
        <f>'Tariffs 2017'!F6</f>
        <v>Origin Energy</v>
      </c>
      <c r="B12" s="24" t="str">
        <f>'Tariffs 2017'!D6</f>
        <v>Jemena</v>
      </c>
      <c r="C12" s="144">
        <f>'Tariffs 2017'!E6</f>
        <v>41455</v>
      </c>
      <c r="D12" s="30">
        <f>60*'Tariffs 2017'!H6/100</f>
        <v>37.673999999999999</v>
      </c>
      <c r="E12" s="30">
        <f>IF($C$5&gt;='Tariffs 2017'!J6,('Tariffs 2017'!J6*'Tariffs 2017'!O6/100),($C$5*'Tariffs 2017'!O6/100))</f>
        <v>44.4</v>
      </c>
      <c r="F12" s="30">
        <f>IF($C$5&lt;'Tariffs 2017'!J6,0,IF(($C$5-'Tariffs 2017'!J6)&lt;='Tariffs 2017'!K6,(($C$5-'Tariffs 2017'!J6)*'Tariffs 2017'!P6/100),(('Tariffs 2017'!K6-'Tariffs 2017'!J6)*'Tariffs 2017'!P6/100)))</f>
        <v>30</v>
      </c>
      <c r="G12" s="30">
        <f>IF($C$5&lt;'Tariffs 2017'!K6,0,IF(($C$5-'Tariffs 2017'!K6)&lt;='Tariffs 2017'!L6,(($C$5-'Tariffs 2017'!K6)*'Tariffs 2017'!Q6/100),(('Tariffs 2017'!L6-'Tariffs 2017'!K6)*'Tariffs 2017'!Q6/100)))</f>
        <v>38.4</v>
      </c>
      <c r="H12" s="30">
        <v>0</v>
      </c>
      <c r="I12" s="30">
        <v>0</v>
      </c>
      <c r="J12" s="30">
        <f>IF(($C$5&lt;'Tariffs 2017'!N6),(0),($C$5-'Tariffs 2017'!N6)*'Tariffs 2017'!R6/100)</f>
        <v>0</v>
      </c>
      <c r="K12" s="30">
        <f t="shared" si="0"/>
        <v>150.47399999999999</v>
      </c>
      <c r="L12" s="166">
        <f t="shared" si="1"/>
        <v>902.84399999999994</v>
      </c>
      <c r="M12" s="145">
        <f t="shared" si="2"/>
        <v>993.12840000000006</v>
      </c>
      <c r="N12" s="163"/>
      <c r="O12" s="163"/>
      <c r="P12" s="163"/>
      <c r="Q12" s="163"/>
      <c r="R12" s="163"/>
      <c r="S12" s="163"/>
      <c r="T12" s="163"/>
      <c r="U12" s="163"/>
      <c r="V12" s="163"/>
      <c r="W12" s="163"/>
    </row>
    <row r="13" spans="1:175" s="40" customFormat="1" ht="25" customHeight="1" x14ac:dyDescent="0.15">
      <c r="A13" s="143" t="str">
        <f>'Tariffs 2017'!F7</f>
        <v>Red Energy</v>
      </c>
      <c r="B13" s="24" t="str">
        <f>'Tariffs 2017'!D7</f>
        <v>Jemena</v>
      </c>
      <c r="C13" s="144">
        <f>'Tariffs 2017'!E7</f>
        <v>41479</v>
      </c>
      <c r="D13" s="30">
        <f>60*'Tariffs 2017'!H7/100</f>
        <v>35.033999999999999</v>
      </c>
      <c r="E13" s="30">
        <f>IF($C$5&gt;='Tariffs 2017'!J7,('Tariffs 2017'!J7*'Tariffs 2017'!O7/100),($C$5*'Tariffs 2017'!O7/100))</f>
        <v>47.52</v>
      </c>
      <c r="F13" s="30">
        <f>IF($C$5&lt;'Tariffs 2017'!J7,0,IF(($C$5-'Tariffs 2017'!J7)&lt;='Tariffs 2017'!K7,(($C$5-'Tariffs 2017'!J7)*'Tariffs 2017'!P7/100),(('Tariffs 2017'!K7-'Tariffs 2017'!J7)*'Tariffs 2017'!P7/100)))</f>
        <v>32.4</v>
      </c>
      <c r="G13" s="30">
        <f>IF($C$5&lt;'Tariffs 2017'!K7,0,IF(($C$5-'Tariffs 2017'!K7)&lt;='Tariffs 2017'!L7,(($C$5-'Tariffs 2017'!K7)*'Tariffs 2017'!Q7/100),(('Tariffs 2017'!L7-'Tariffs 2017'!K7)*'Tariffs 2017'!Q7/100)))</f>
        <v>39.840000000000003</v>
      </c>
      <c r="H13" s="30">
        <v>0</v>
      </c>
      <c r="I13" s="30">
        <v>0</v>
      </c>
      <c r="J13" s="30">
        <f>IF(($C$5&lt;'Tariffs 2017'!N7),(0),($C$5-'Tariffs 2017'!N7)*'Tariffs 2017'!R7/100)</f>
        <v>0</v>
      </c>
      <c r="K13" s="30">
        <f t="shared" ref="K13" si="3">SUM(D13:J13)</f>
        <v>154.79400000000001</v>
      </c>
      <c r="L13" s="166">
        <f t="shared" ref="L13" si="4">K13*6</f>
        <v>928.76400000000012</v>
      </c>
      <c r="M13" s="145">
        <f t="shared" ref="M13" si="5">L13*1.1</f>
        <v>1021.6404000000002</v>
      </c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</row>
    <row r="14" spans="1:175" ht="25" customHeight="1" x14ac:dyDescent="0.15">
      <c r="A14" s="143" t="str">
        <f>'Tariffs 2017'!F7</f>
        <v>Red Energy</v>
      </c>
      <c r="B14" s="24" t="str">
        <f>'Tariffs 2017'!D7</f>
        <v>Jemena</v>
      </c>
      <c r="C14" s="144">
        <f>'Tariffs 2017'!E7</f>
        <v>41479</v>
      </c>
      <c r="D14" s="30">
        <f>60*'Tariffs 2017'!H7/100</f>
        <v>35.033999999999999</v>
      </c>
      <c r="E14" s="30">
        <f>IF($C$5&gt;='Tariffs 2017'!J8,('Tariffs 2017'!J8*'Tariffs 2017'!O8/100),($C$5*'Tariffs 2017'!O8/100))</f>
        <v>44.963999999999999</v>
      </c>
      <c r="F14" s="30">
        <f>IF($C$5&lt;'Tariffs 2017'!J8,0,IF(($C$5-'Tariffs 2017'!J8)&lt;='Tariffs 2017'!K8,(($C$5-'Tariffs 2017'!J8)*'Tariffs 2017'!P8/100),(('Tariffs 2017'!K8-'Tariffs 2017'!J8)*'Tariffs 2017'!P8/100)))</f>
        <v>30.78</v>
      </c>
      <c r="G14" s="30">
        <f>IF($C$5&lt;'Tariffs 2017'!K8,0,IF(($C$5-'Tariffs 2017'!K8)&lt;='Tariffs 2017'!L8,(($C$5-'Tariffs 2017'!K8)*'Tariffs 2017'!Q8/100),(('Tariffs 2017'!L8-'Tariffs 2017'!K8)*'Tariffs 2017'!Q8/100)))</f>
        <v>39.872</v>
      </c>
      <c r="H14" s="30">
        <v>0</v>
      </c>
      <c r="I14" s="30">
        <v>0</v>
      </c>
      <c r="J14" s="30">
        <f>IF(($C$5&lt;'Tariffs 2017'!N8),(0),($C$5-'Tariffs 2017'!N8)*'Tariffs 2017'!R8/100)</f>
        <v>0</v>
      </c>
      <c r="K14" s="30">
        <f t="shared" si="0"/>
        <v>150.64999999999998</v>
      </c>
      <c r="L14" s="166">
        <f t="shared" si="1"/>
        <v>903.89999999999986</v>
      </c>
      <c r="M14" s="145">
        <f t="shared" si="2"/>
        <v>994.29</v>
      </c>
      <c r="N14" s="163"/>
      <c r="O14" s="163"/>
      <c r="P14" s="163"/>
      <c r="Q14" s="163"/>
      <c r="R14" s="163"/>
      <c r="S14" s="163"/>
      <c r="T14" s="163"/>
      <c r="U14" s="163"/>
      <c r="V14" s="163"/>
      <c r="W14" s="163"/>
    </row>
    <row r="15" spans="1:175" s="158" customFormat="1" ht="15" customHeight="1" x14ac:dyDescent="0.15">
      <c r="A15" s="161"/>
      <c r="C15" s="159"/>
      <c r="D15" s="160"/>
      <c r="E15" s="160"/>
      <c r="F15" s="160"/>
      <c r="G15" s="160"/>
      <c r="H15" s="160"/>
      <c r="I15" s="160"/>
      <c r="J15" s="160"/>
      <c r="K15" s="160"/>
      <c r="M15" s="162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</row>
    <row r="16" spans="1:175" ht="25" customHeight="1" x14ac:dyDescent="0.15">
      <c r="A16" s="143" t="str">
        <f>'Tariffs 2017'!F8</f>
        <v>ActewAGL</v>
      </c>
      <c r="B16" s="24" t="str">
        <f>'Tariffs 2017'!D8</f>
        <v>ActewAGL Boorowa</v>
      </c>
      <c r="C16" s="144">
        <f>'Tariffs 2017'!E8</f>
        <v>41455</v>
      </c>
      <c r="D16" s="30">
        <f>60*'Tariffs 2017'!H8/100</f>
        <v>39.840000000000003</v>
      </c>
      <c r="E16" s="30">
        <f>IF($C$5&gt;='Tariffs 2017'!J8,('Tariffs 2017'!J8*'Tariffs 2017'!O8/100),($C$5*'Tariffs 2017'!O8/100))</f>
        <v>44.963999999999999</v>
      </c>
      <c r="F16" s="30">
        <f>IF($C$5&lt;'Tariffs 2017'!J8,0,IF(($C$5-'Tariffs 2017'!J8)&lt;='Tariffs 2017'!K8,(($C$5-'Tariffs 2017'!J8)*'Tariffs 2017'!P8/100),(('Tariffs 2017'!K8-'Tariffs 2017'!J8)*'Tariffs 2017'!P8/100)))</f>
        <v>30.78</v>
      </c>
      <c r="G16" s="30">
        <f>IF($C$5&lt;'Tariffs 2017'!K8,0,IF(($C$5-'Tariffs 2017'!K8)&lt;='Tariffs 2017'!L8,(($C$5-'Tariffs 2017'!K8)*'Tariffs 2017'!Q8/100),(('Tariffs 2017'!L8-'Tariffs 2017'!K8)*'Tariffs 2017'!Q8/100)))</f>
        <v>39.872</v>
      </c>
      <c r="H16" s="30">
        <v>0</v>
      </c>
      <c r="I16" s="30">
        <v>0</v>
      </c>
      <c r="J16" s="30">
        <f>IF(($C$5&lt;'Tariffs 2017'!N8),(0),($C$5-'Tariffs 2017'!N8)*'Tariffs 2017'!R8/100)</f>
        <v>0</v>
      </c>
      <c r="K16" s="30">
        <f t="shared" si="0"/>
        <v>155.45600000000002</v>
      </c>
      <c r="L16" s="24">
        <f t="shared" si="1"/>
        <v>932.7360000000001</v>
      </c>
      <c r="M16" s="145">
        <f t="shared" si="2"/>
        <v>1026.0096000000001</v>
      </c>
      <c r="N16" s="163"/>
      <c r="O16" s="163"/>
      <c r="P16" s="163"/>
      <c r="Q16" s="163"/>
      <c r="R16" s="163"/>
      <c r="S16" s="163"/>
      <c r="T16" s="163"/>
      <c r="U16" s="163"/>
      <c r="V16" s="163"/>
      <c r="W16" s="163"/>
    </row>
    <row r="17" spans="1:175" ht="25" customHeight="1" x14ac:dyDescent="0.15">
      <c r="A17" s="143" t="str">
        <f>'Tariffs 2017'!F9</f>
        <v>EnergyAustralia</v>
      </c>
      <c r="B17" s="24" t="str">
        <f>'Tariffs 2017'!D9</f>
        <v>ActewAGL Boorowa</v>
      </c>
      <c r="C17" s="144">
        <f>'Tariffs 2017'!E9</f>
        <v>41467</v>
      </c>
      <c r="D17" s="30">
        <f>60*'Tariffs 2017'!H9/100</f>
        <v>35.58</v>
      </c>
      <c r="E17" s="30">
        <f>IF($C$5&gt;='Tariffs 2017'!J9,('Tariffs 2017'!J9*'Tariffs 2017'!O9/100),($C$5*'Tariffs 2017'!O9/100))</f>
        <v>48.84</v>
      </c>
      <c r="F17" s="30">
        <f>IF($C$5&lt;'Tariffs 2017'!J9,0,IF(($C$5-'Tariffs 2017'!J9)&lt;='Tariffs 2017'!K9,(($C$5-'Tariffs 2017'!J9)*'Tariffs 2017'!P9/100),(('Tariffs 2017'!K9-'Tariffs 2017'!J9)*'Tariffs 2017'!P9/100)))</f>
        <v>32.640000000000008</v>
      </c>
      <c r="G17" s="30">
        <f>IF($C$5&lt;'Tariffs 2017'!K9,0,IF(($C$5-'Tariffs 2017'!K9)&lt;='Tariffs 2017'!L9,(($C$5-'Tariffs 2017'!K9)*'Tariffs 2017'!Q9/100),(('Tariffs 2017'!L9-'Tariffs 2017'!K9)*'Tariffs 2017'!Q9/100)))</f>
        <v>41.6</v>
      </c>
      <c r="H17" s="30">
        <v>0</v>
      </c>
      <c r="I17" s="30">
        <v>0</v>
      </c>
      <c r="J17" s="30">
        <f>IF(($C$5&lt;'Tariffs 2017'!N9),(0),($C$5-'Tariffs 2017'!N9)*'Tariffs 2017'!R9/100)</f>
        <v>0</v>
      </c>
      <c r="K17" s="30">
        <f t="shared" si="0"/>
        <v>158.66</v>
      </c>
      <c r="L17" s="24">
        <f t="shared" si="1"/>
        <v>951.96</v>
      </c>
      <c r="M17" s="145">
        <f t="shared" si="2"/>
        <v>1047.1560000000002</v>
      </c>
      <c r="N17" s="163"/>
      <c r="O17" s="163"/>
      <c r="P17" s="163"/>
      <c r="Q17" s="163"/>
      <c r="R17" s="163"/>
      <c r="S17" s="163"/>
      <c r="T17" s="163"/>
      <c r="U17" s="163"/>
      <c r="V17" s="163"/>
      <c r="W17" s="163"/>
    </row>
    <row r="18" spans="1:175" ht="15" customHeight="1" x14ac:dyDescent="0.15">
      <c r="A18" s="161"/>
      <c r="B18" s="158"/>
      <c r="C18" s="159"/>
      <c r="D18" s="160"/>
      <c r="E18" s="160"/>
      <c r="F18" s="160"/>
      <c r="G18" s="160"/>
      <c r="H18" s="160"/>
      <c r="I18" s="160"/>
      <c r="J18" s="160"/>
      <c r="K18" s="160"/>
      <c r="L18" s="158"/>
      <c r="M18" s="162"/>
      <c r="N18" s="163"/>
      <c r="O18" s="163"/>
      <c r="P18" s="163"/>
      <c r="Q18" s="163"/>
      <c r="R18" s="163"/>
      <c r="S18" s="163"/>
      <c r="T18" s="163"/>
      <c r="U18" s="163"/>
      <c r="V18" s="163"/>
      <c r="W18" s="163"/>
    </row>
    <row r="19" spans="1:175" ht="25" customHeight="1" x14ac:dyDescent="0.15">
      <c r="A19" s="143" t="str">
        <f>'Tariffs 2017'!F10</f>
        <v>ActewAGL</v>
      </c>
      <c r="B19" s="24" t="str">
        <f>'Tariffs 2017'!D10</f>
        <v>ActewAGL Queanbeyan</v>
      </c>
      <c r="C19" s="144">
        <f>'Tariffs 2017'!E10</f>
        <v>41455</v>
      </c>
      <c r="D19" s="30">
        <f>60*'Tariffs 2017'!H10/100</f>
        <v>44.94</v>
      </c>
      <c r="E19" s="30">
        <f>IF($C$5&gt;='Tariffs 2017'!J10,('Tariffs 2017'!J10*'Tariffs 2017'!O10/100),($C$5*'Tariffs 2017'!O10/100))</f>
        <v>72.45</v>
      </c>
      <c r="F19" s="30">
        <f>IF($C$5&lt;'Tariffs 2017'!J10,0,IF(($C$5-'Tariffs 2017'!J10)&lt;='Tariffs 2017'!K10,(($C$5-'Tariffs 2017'!J10)*'Tariffs 2017'!P10/100),(('Tariffs 2017'!K10-'Tariffs 2017'!J10)*'Tariffs 2017'!P10/100)))</f>
        <v>36.405000000000001</v>
      </c>
      <c r="G19" s="30">
        <f>IF($C$5&lt;'Tariffs 2017'!K10,0,IF(($C$5-'Tariffs 2017'!K10)&lt;='Tariffs 2017'!L10,(($C$5-'Tariffs 2017'!K10)*'Tariffs 2017'!Q10/100),(('Tariffs 2017'!L10-'Tariffs 2017'!K10)*'Tariffs 2017'!Q10/100)))</f>
        <v>0</v>
      </c>
      <c r="H19" s="30">
        <v>0</v>
      </c>
      <c r="I19" s="30">
        <v>0</v>
      </c>
      <c r="J19" s="30">
        <f>IF(($C$5&lt;'Tariffs 2017'!N10),(0),($C$5-'Tariffs 2017'!N10)*'Tariffs 2017'!R10/100)</f>
        <v>0</v>
      </c>
      <c r="K19" s="30">
        <f t="shared" ref="K19:K20" si="6">SUM(D19:J19)</f>
        <v>153.79500000000002</v>
      </c>
      <c r="L19" s="24">
        <f t="shared" ref="L19:L20" si="7">K19*6</f>
        <v>922.7700000000001</v>
      </c>
      <c r="M19" s="145">
        <f t="shared" ref="M19:M20" si="8">L19*1.1</f>
        <v>1015.0470000000001</v>
      </c>
      <c r="N19" s="163"/>
      <c r="O19" s="163"/>
      <c r="P19" s="163"/>
      <c r="Q19" s="163"/>
      <c r="R19" s="163"/>
      <c r="S19" s="163"/>
      <c r="T19" s="163"/>
      <c r="U19" s="163"/>
      <c r="V19" s="163"/>
      <c r="W19" s="163"/>
    </row>
    <row r="20" spans="1:175" s="158" customFormat="1" ht="25" customHeight="1" x14ac:dyDescent="0.15">
      <c r="A20" s="143" t="str">
        <f>'Tariffs 2017'!F11</f>
        <v>EnergyAustralia</v>
      </c>
      <c r="B20" s="24" t="str">
        <f>'Tariffs 2017'!D11</f>
        <v>ActewAGL Queanbeyan</v>
      </c>
      <c r="C20" s="144">
        <f>'Tariffs 2017'!E11</f>
        <v>41467</v>
      </c>
      <c r="D20" s="30">
        <f>60*'Tariffs 2017'!H11/100</f>
        <v>43.2</v>
      </c>
      <c r="E20" s="30">
        <f>IF($C$5&gt;='Tariffs 2017'!J11,('Tariffs 2017'!J11*'Tariffs 2017'!O11/100),($C$5*'Tariffs 2017'!O11/100))</f>
        <v>74.750000000000014</v>
      </c>
      <c r="F20" s="30">
        <f>IF($C$5&lt;'Tariffs 2017'!J11,0,IF(($C$5-'Tariffs 2017'!J11)&lt;='Tariffs 2017'!K11,(($C$5-'Tariffs 2017'!J11)*'Tariffs 2017'!P11/100),(('Tariffs 2017'!K11-'Tariffs 2017'!J11)*'Tariffs 2017'!P11/100)))</f>
        <v>40.800000000000004</v>
      </c>
      <c r="G20" s="30">
        <f>IF($C$5&lt;'Tariffs 2017'!K11,0,IF(($C$5-'Tariffs 2017'!K11)&lt;='Tariffs 2017'!L11,(($C$5-'Tariffs 2017'!K11)*'Tariffs 2017'!Q11/100),(('Tariffs 2017'!L11-'Tariffs 2017'!K11)*'Tariffs 2017'!Q11/100)))</f>
        <v>0</v>
      </c>
      <c r="H20" s="30">
        <v>0</v>
      </c>
      <c r="I20" s="30">
        <v>0</v>
      </c>
      <c r="J20" s="30">
        <f>IF(($C$5&lt;'Tariffs 2017'!N11),(0),($C$5-'Tariffs 2017'!N11)*'Tariffs 2017'!R11/100)</f>
        <v>0</v>
      </c>
      <c r="K20" s="30">
        <f t="shared" si="6"/>
        <v>158.75000000000003</v>
      </c>
      <c r="L20" s="24">
        <f t="shared" si="7"/>
        <v>952.50000000000023</v>
      </c>
      <c r="M20" s="145">
        <f t="shared" si="8"/>
        <v>1047.7500000000002</v>
      </c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64"/>
      <c r="FS20" s="164"/>
    </row>
    <row r="21" spans="1:175" s="158" customFormat="1" ht="15" customHeight="1" x14ac:dyDescent="0.15">
      <c r="A21" s="161"/>
      <c r="C21" s="159"/>
      <c r="D21" s="160"/>
      <c r="E21" s="160"/>
      <c r="F21" s="160"/>
      <c r="G21" s="160"/>
      <c r="H21" s="160"/>
      <c r="I21" s="160"/>
      <c r="J21" s="160"/>
      <c r="K21" s="160"/>
      <c r="M21" s="162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4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4"/>
      <c r="CS21" s="164"/>
      <c r="CT21" s="164"/>
      <c r="CU21" s="164"/>
      <c r="CV21" s="164"/>
      <c r="CW21" s="164"/>
      <c r="CX21" s="164"/>
      <c r="CY21" s="164"/>
      <c r="CZ21" s="164"/>
      <c r="DA21" s="164"/>
      <c r="DB21" s="164"/>
      <c r="DC21" s="164"/>
      <c r="DD21" s="164"/>
      <c r="DE21" s="164"/>
      <c r="DF21" s="164"/>
      <c r="DG21" s="164"/>
      <c r="DH21" s="164"/>
      <c r="DI21" s="164"/>
      <c r="DJ21" s="164"/>
      <c r="DK21" s="164"/>
      <c r="DL21" s="164"/>
      <c r="DM21" s="164"/>
      <c r="DN21" s="164"/>
      <c r="DO21" s="164"/>
      <c r="DP21" s="164"/>
      <c r="DQ21" s="164"/>
      <c r="DR21" s="164"/>
      <c r="DS21" s="164"/>
      <c r="DT21" s="164"/>
      <c r="DU21" s="164"/>
      <c r="DV21" s="164"/>
      <c r="DW21" s="164"/>
      <c r="DX21" s="164"/>
      <c r="DY21" s="164"/>
      <c r="DZ21" s="164"/>
      <c r="EA21" s="164"/>
      <c r="EB21" s="164"/>
      <c r="EC21" s="164"/>
      <c r="ED21" s="164"/>
      <c r="EE21" s="164"/>
      <c r="EF21" s="164"/>
      <c r="EG21" s="164"/>
      <c r="EH21" s="164"/>
      <c r="EI21" s="164"/>
      <c r="EJ21" s="164"/>
      <c r="EK21" s="164"/>
      <c r="EL21" s="164"/>
      <c r="EM21" s="164"/>
      <c r="EN21" s="164"/>
      <c r="EO21" s="164"/>
      <c r="EP21" s="164"/>
      <c r="EQ21" s="164"/>
      <c r="ER21" s="164"/>
      <c r="ES21" s="164"/>
      <c r="ET21" s="164"/>
      <c r="EU21" s="164"/>
      <c r="EV21" s="164"/>
      <c r="EW21" s="164"/>
      <c r="EX21" s="164"/>
      <c r="EY21" s="164"/>
      <c r="EZ21" s="164"/>
      <c r="FA21" s="164"/>
      <c r="FB21" s="164"/>
      <c r="FC21" s="164"/>
      <c r="FD21" s="164"/>
      <c r="FE21" s="164"/>
      <c r="FF21" s="164"/>
      <c r="FG21" s="164"/>
      <c r="FH21" s="164"/>
      <c r="FI21" s="164"/>
      <c r="FJ21" s="164"/>
      <c r="FK21" s="164"/>
      <c r="FL21" s="164"/>
      <c r="FM21" s="164"/>
      <c r="FN21" s="164"/>
      <c r="FO21" s="164"/>
      <c r="FP21" s="164"/>
      <c r="FQ21" s="164"/>
      <c r="FR21" s="164"/>
      <c r="FS21" s="164"/>
    </row>
    <row r="22" spans="1:175" s="158" customFormat="1" ht="25" customHeight="1" x14ac:dyDescent="0.15">
      <c r="A22" s="143" t="str">
        <f>'Tariffs 2017'!F12</f>
        <v>ActewAGL</v>
      </c>
      <c r="B22" s="24" t="str">
        <f>'Tariffs 2017'!D12</f>
        <v>ActewAGL Shoalhaven</v>
      </c>
      <c r="C22" s="144">
        <f>'Tariffs 2017'!E12</f>
        <v>41455</v>
      </c>
      <c r="D22" s="30">
        <f>60*'Tariffs 2017'!H12/100</f>
        <v>48.695999999999998</v>
      </c>
      <c r="E22" s="30">
        <f>C5*'Tariffs 2017'!O12/100</f>
        <v>107.52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f t="shared" ref="K22" si="9">SUM(D22:J22)</f>
        <v>156.21600000000001</v>
      </c>
      <c r="L22" s="24">
        <f t="shared" ref="L22" si="10">K22*6</f>
        <v>937.29600000000005</v>
      </c>
      <c r="M22" s="145">
        <f t="shared" ref="M22" si="11">L22*1.1</f>
        <v>1031.0256000000002</v>
      </c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  <c r="FR22" s="164"/>
      <c r="FS22" s="164"/>
    </row>
    <row r="23" spans="1:175" s="158" customFormat="1" ht="15" customHeight="1" x14ac:dyDescent="0.15">
      <c r="A23" s="161"/>
      <c r="C23" s="159"/>
      <c r="D23" s="160"/>
      <c r="E23" s="160"/>
      <c r="F23" s="160"/>
      <c r="G23" s="160"/>
      <c r="H23" s="160"/>
      <c r="I23" s="160"/>
      <c r="J23" s="160"/>
      <c r="K23" s="160"/>
      <c r="M23" s="162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</row>
    <row r="24" spans="1:175" ht="25" customHeight="1" x14ac:dyDescent="0.15">
      <c r="A24" s="143" t="str">
        <f>'Tariffs 2017'!F13</f>
        <v>EnergyAustralia</v>
      </c>
      <c r="B24" s="24" t="str">
        <f>'Tariffs 2017'!D13</f>
        <v>Envestra Albury</v>
      </c>
      <c r="C24" s="144">
        <f>'Tariffs 2017'!E13</f>
        <v>41467</v>
      </c>
      <c r="D24" s="30">
        <f>60*'Tariffs 2017'!H13/100</f>
        <v>46.98</v>
      </c>
      <c r="E24" s="30">
        <f>IF($C$5&gt;='Tariffs 2017'!J13,('Tariffs 2017'!J13*'Tariffs 2017'!O13/100),($C$5*'Tariffs 2017'!O13/100))</f>
        <v>98.4</v>
      </c>
      <c r="F24" s="30">
        <f>IF($C$5&lt;'Tariffs 2017'!J13,0,IF(($C$5-'Tariffs 2017'!J13)&lt;='Tariffs 2017'!K13,(($C$5-'Tariffs 2017'!J13)*'Tariffs 2017'!P13/100),(('Tariffs 2017'!K13-'Tariffs 2017'!J13)*'Tariffs 2017'!P13/100)))</f>
        <v>0</v>
      </c>
      <c r="G24" s="30">
        <f>IF($C$5&lt;'Tariffs 2017'!K13,0,IF(($C$5-'Tariffs 2017'!K13)&lt;='Tariffs 2017'!L13,(($C$5-'Tariffs 2017'!K13)*'Tariffs 2017'!Q13/100),(('Tariffs 2017'!L13-'Tariffs 2017'!K13)*'Tariffs 2017'!Q13/100)))</f>
        <v>0</v>
      </c>
      <c r="H24" s="30">
        <v>0</v>
      </c>
      <c r="I24" s="30">
        <v>0</v>
      </c>
      <c r="J24" s="30">
        <f>IF(($C$5&lt;'Tariffs 2017'!N13),(0),($C$5-'Tariffs 2017'!N13)*'Tariffs 2017'!R13/100)</f>
        <v>0</v>
      </c>
      <c r="K24" s="30">
        <f t="shared" si="0"/>
        <v>145.38</v>
      </c>
      <c r="L24" s="24">
        <f t="shared" si="1"/>
        <v>872.28</v>
      </c>
      <c r="M24" s="145">
        <f t="shared" si="2"/>
        <v>959.50800000000004</v>
      </c>
      <c r="N24" s="163"/>
      <c r="O24" s="163"/>
      <c r="P24" s="163"/>
      <c r="Q24" s="163"/>
      <c r="R24" s="163"/>
      <c r="S24" s="163"/>
      <c r="T24" s="163"/>
      <c r="U24" s="163"/>
      <c r="V24" s="163"/>
      <c r="W24" s="163"/>
    </row>
    <row r="25" spans="1:175" ht="25" customHeight="1" x14ac:dyDescent="0.15">
      <c r="A25" s="143" t="str">
        <f>'Tariffs 2017'!F14</f>
        <v>Origin Energy</v>
      </c>
      <c r="B25" s="24" t="str">
        <f>'Tariffs 2017'!D14</f>
        <v>Envestra Albury</v>
      </c>
      <c r="C25" s="144">
        <f>'Tariffs 2017'!E14</f>
        <v>41455</v>
      </c>
      <c r="D25" s="30">
        <f>60*'Tariffs 2017'!H14/100</f>
        <v>33.42</v>
      </c>
      <c r="E25" s="30">
        <f>IF($C$5&gt;='Tariffs 2017'!J14,('Tariffs 2017'!J14*'Tariffs 2017'!O14/100),($C$5*'Tariffs 2017'!O14/100))</f>
        <v>35.145000000000003</v>
      </c>
      <c r="F25" s="30">
        <f>IF($C$5&lt;'Tariffs 2017'!J14,0,IF(($C$5-'Tariffs 2017'!J14)&lt;='Tariffs 2017'!K14,(($C$5-'Tariffs 2017'!J14)*'Tariffs 2017'!P14/100),(('Tariffs 2017'!K14-'Tariffs 2017'!J14)*'Tariffs 2017'!P14/100)))</f>
        <v>44.884999999999998</v>
      </c>
      <c r="G25" s="30">
        <f>IF($C$5&lt;'Tariffs 2017'!K14,0,IF(($C$5-'Tariffs 2017'!K14)&lt;='Tariffs 2017'!L14,(($C$5-'Tariffs 2017'!K14)*'Tariffs 2017'!Q14/100),(('Tariffs 2017'!L14-'Tariffs 2017'!K14)*'Tariffs 2017'!Q14/100)))</f>
        <v>18.512</v>
      </c>
      <c r="H25" s="30">
        <v>0</v>
      </c>
      <c r="I25" s="30">
        <v>0</v>
      </c>
      <c r="J25" s="30">
        <f>IF(($C$5&lt;'Tariffs 2017'!N14),(0),($C$5-'Tariffs 2017'!N14)*'Tariffs 2017'!R14/100)</f>
        <v>0</v>
      </c>
      <c r="K25" s="30">
        <f t="shared" si="0"/>
        <v>131.96199999999999</v>
      </c>
      <c r="L25" s="24">
        <f t="shared" si="1"/>
        <v>791.77199999999993</v>
      </c>
      <c r="M25" s="145">
        <f t="shared" si="2"/>
        <v>870.94920000000002</v>
      </c>
      <c r="N25" s="163"/>
      <c r="O25" s="163"/>
      <c r="P25" s="163"/>
      <c r="Q25" s="163"/>
      <c r="R25" s="163"/>
      <c r="S25" s="163"/>
      <c r="T25" s="163"/>
      <c r="U25" s="163"/>
      <c r="V25" s="163"/>
      <c r="W25" s="163"/>
    </row>
    <row r="26" spans="1:175" s="158" customFormat="1" ht="15" customHeight="1" x14ac:dyDescent="0.15">
      <c r="A26" s="161"/>
      <c r="C26" s="159"/>
      <c r="D26" s="160"/>
      <c r="E26" s="160"/>
      <c r="F26" s="160"/>
      <c r="G26" s="160"/>
      <c r="H26" s="160"/>
      <c r="I26" s="160"/>
      <c r="J26" s="160"/>
      <c r="K26" s="160"/>
      <c r="M26" s="162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  <c r="CW26" s="164"/>
      <c r="CX26" s="164"/>
      <c r="CY26" s="164"/>
      <c r="CZ26" s="164"/>
      <c r="DA26" s="164"/>
      <c r="DB26" s="164"/>
      <c r="DC26" s="164"/>
      <c r="DD26" s="164"/>
      <c r="DE26" s="164"/>
      <c r="DF26" s="164"/>
      <c r="DG26" s="164"/>
      <c r="DH26" s="164"/>
      <c r="DI26" s="164"/>
      <c r="DJ26" s="164"/>
      <c r="DK26" s="164"/>
      <c r="DL26" s="164"/>
      <c r="DM26" s="164"/>
      <c r="DN26" s="164"/>
      <c r="DO26" s="164"/>
      <c r="DP26" s="164"/>
      <c r="DQ26" s="164"/>
      <c r="DR26" s="164"/>
      <c r="DS26" s="164"/>
      <c r="DT26" s="164"/>
      <c r="DU26" s="164"/>
      <c r="DV26" s="164"/>
      <c r="DW26" s="164"/>
      <c r="DX26" s="164"/>
      <c r="DY26" s="164"/>
      <c r="DZ26" s="164"/>
      <c r="EA26" s="164"/>
      <c r="EB26" s="164"/>
      <c r="EC26" s="164"/>
      <c r="ED26" s="164"/>
      <c r="EE26" s="164"/>
      <c r="EF26" s="164"/>
      <c r="EG26" s="164"/>
      <c r="EH26" s="164"/>
      <c r="EI26" s="164"/>
      <c r="EJ26" s="164"/>
      <c r="EK26" s="164"/>
      <c r="EL26" s="164"/>
      <c r="EM26" s="164"/>
      <c r="EN26" s="164"/>
      <c r="EO26" s="164"/>
      <c r="EP26" s="164"/>
      <c r="EQ26" s="164"/>
      <c r="ER26" s="164"/>
      <c r="ES26" s="164"/>
      <c r="ET26" s="164"/>
      <c r="EU26" s="164"/>
      <c r="EV26" s="164"/>
      <c r="EW26" s="164"/>
      <c r="EX26" s="164"/>
      <c r="EY26" s="164"/>
      <c r="EZ26" s="164"/>
      <c r="FA26" s="164"/>
      <c r="FB26" s="164"/>
      <c r="FC26" s="164"/>
      <c r="FD26" s="164"/>
      <c r="FE26" s="164"/>
      <c r="FF26" s="164"/>
      <c r="FG26" s="164"/>
      <c r="FH26" s="164"/>
      <c r="FI26" s="164"/>
      <c r="FJ26" s="164"/>
      <c r="FK26" s="164"/>
      <c r="FL26" s="164"/>
      <c r="FM26" s="164"/>
      <c r="FN26" s="164"/>
      <c r="FO26" s="164"/>
      <c r="FP26" s="164"/>
      <c r="FQ26" s="164"/>
      <c r="FR26" s="164"/>
      <c r="FS26" s="164"/>
    </row>
    <row r="27" spans="1:175" ht="25" customHeight="1" x14ac:dyDescent="0.15">
      <c r="A27" s="143" t="str">
        <f>'Tariffs 2017'!F15</f>
        <v>EnergyAustralia</v>
      </c>
      <c r="B27" s="24" t="str">
        <f>'Tariffs 2017'!D15</f>
        <v>Envestra Murray Valley</v>
      </c>
      <c r="C27" s="144">
        <f>'Tariffs 2017'!E15</f>
        <v>41467</v>
      </c>
      <c r="D27" s="30">
        <f>60*'Tariffs 2017'!H15/100</f>
        <v>45.12</v>
      </c>
      <c r="E27" s="30">
        <f>IF($C$5&gt;='Tariffs 2017'!J15,('Tariffs 2017'!J15*'Tariffs 2017'!O15/100),($C$5*'Tariffs 2017'!O15/100))</f>
        <v>143.19999999999999</v>
      </c>
      <c r="F27" s="30">
        <f>IF($C$5&lt;'Tariffs 2017'!J15,0,IF(($C$5-'Tariffs 2017'!J15)&lt;='Tariffs 2017'!K15,(($C$5-'Tariffs 2017'!J15)*'Tariffs 2017'!P15/100),(('Tariffs 2017'!K15-'Tariffs 2017'!J15)*'Tariffs 2017'!P15/100)))</f>
        <v>0</v>
      </c>
      <c r="G27" s="30">
        <f>IF($C$5&lt;'Tariffs 2017'!K15,0,IF(($C$5-'Tariffs 2017'!K15)&lt;='Tariffs 2017'!L15,(($C$5-'Tariffs 2017'!K15)*'Tariffs 2017'!Q15/100),(('Tariffs 2017'!L15-'Tariffs 2017'!K15)*'Tariffs 2017'!Q15/100)))</f>
        <v>0</v>
      </c>
      <c r="H27" s="30">
        <v>0</v>
      </c>
      <c r="I27" s="30">
        <v>0</v>
      </c>
      <c r="J27" s="30">
        <f>IF(($C$5&lt;'Tariffs 2017'!N15),(0),($C$5-'Tariffs 2017'!N15)*'Tariffs 2017'!R15/100)</f>
        <v>0</v>
      </c>
      <c r="K27" s="30">
        <f t="shared" si="0"/>
        <v>188.32</v>
      </c>
      <c r="L27" s="24">
        <f t="shared" si="1"/>
        <v>1129.92</v>
      </c>
      <c r="M27" s="145">
        <f t="shared" si="2"/>
        <v>1242.9120000000003</v>
      </c>
      <c r="N27" s="163"/>
      <c r="O27" s="163"/>
      <c r="P27" s="163"/>
      <c r="Q27" s="163"/>
      <c r="R27" s="163"/>
      <c r="S27" s="163"/>
      <c r="T27" s="163"/>
      <c r="U27" s="163"/>
      <c r="V27" s="163"/>
      <c r="W27" s="163"/>
    </row>
    <row r="28" spans="1:175" s="135" customFormat="1" ht="25" customHeight="1" x14ac:dyDescent="0.15">
      <c r="A28" s="143" t="str">
        <f>'Tariffs 2017'!F16</f>
        <v>Origin Energy</v>
      </c>
      <c r="B28" s="24" t="str">
        <f>'Tariffs 2017'!D16</f>
        <v>Envestra Murray Valley</v>
      </c>
      <c r="C28" s="144">
        <f>'Tariffs 2017'!E16</f>
        <v>41455</v>
      </c>
      <c r="D28" s="30">
        <f>60*'Tariffs 2017'!H16/100</f>
        <v>38.4</v>
      </c>
      <c r="E28" s="30">
        <f>IF($C$5&gt;='Tariffs 2017'!J16,('Tariffs 2017'!J16*'Tariffs 2017'!O16/100),($C$5*'Tariffs 2017'!O16/100))</f>
        <v>49.005000000000003</v>
      </c>
      <c r="F28" s="30">
        <f>IF($C$5&lt;'Tariffs 2017'!J16,0,IF(($C$5-'Tariffs 2017'!J16)&lt;='Tariffs 2017'!K16,(($C$5-'Tariffs 2017'!J16)*'Tariffs 2017'!P16/100),(('Tariffs 2017'!K16-'Tariffs 2017'!J16)*'Tariffs 2017'!P16/100)))</f>
        <v>65.329999999999984</v>
      </c>
      <c r="G28" s="30">
        <f>IF($C$5&lt;'Tariffs 2017'!K16,0,IF(($C$5-'Tariffs 2017'!K16)&lt;='Tariffs 2017'!L16,(($C$5-'Tariffs 2017'!K16)*'Tariffs 2017'!Q16/100),(('Tariffs 2017'!L16-'Tariffs 2017'!K16)*'Tariffs 2017'!Q16/100)))</f>
        <v>22.776</v>
      </c>
      <c r="H28" s="30">
        <v>0</v>
      </c>
      <c r="I28" s="30">
        <v>0</v>
      </c>
      <c r="J28" s="30">
        <f>IF(($C$5&lt;'Tariffs 2017'!N16),(0),($C$5-'Tariffs 2017'!N16)*'Tariffs 2017'!R16/100)</f>
        <v>0</v>
      </c>
      <c r="K28" s="30">
        <f t="shared" ref="K28:K40" si="12">SUM(D28:J28)</f>
        <v>175.511</v>
      </c>
      <c r="L28" s="24">
        <f t="shared" ref="L28:L40" si="13">K28*6</f>
        <v>1053.066</v>
      </c>
      <c r="M28" s="145">
        <f t="shared" ref="M28:M40" si="14">L28*1.1</f>
        <v>1158.3726000000001</v>
      </c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  <c r="CM28" s="164"/>
      <c r="CN28" s="164"/>
      <c r="CO28" s="164"/>
      <c r="CP28" s="164"/>
      <c r="CQ28" s="164"/>
      <c r="CR28" s="164"/>
      <c r="CS28" s="164"/>
      <c r="CT28" s="164"/>
      <c r="CU28" s="164"/>
      <c r="CV28" s="164"/>
      <c r="CW28" s="164"/>
      <c r="CX28" s="164"/>
      <c r="CY28" s="164"/>
      <c r="CZ28" s="164"/>
      <c r="DA28" s="164"/>
      <c r="DB28" s="164"/>
      <c r="DC28" s="164"/>
      <c r="DD28" s="164"/>
      <c r="DE28" s="164"/>
      <c r="DF28" s="164"/>
      <c r="DG28" s="164"/>
      <c r="DH28" s="164"/>
      <c r="DI28" s="164"/>
      <c r="DJ28" s="164"/>
      <c r="DK28" s="164"/>
      <c r="DL28" s="164"/>
      <c r="DM28" s="164"/>
      <c r="DN28" s="164"/>
      <c r="DO28" s="164"/>
      <c r="DP28" s="164"/>
      <c r="DQ28" s="164"/>
      <c r="DR28" s="164"/>
      <c r="DS28" s="164"/>
      <c r="DT28" s="164"/>
      <c r="DU28" s="164"/>
      <c r="DV28" s="164"/>
      <c r="DW28" s="164"/>
      <c r="DX28" s="164"/>
      <c r="DY28" s="164"/>
      <c r="DZ28" s="164"/>
      <c r="EA28" s="164"/>
      <c r="EB28" s="164"/>
      <c r="EC28" s="164"/>
      <c r="ED28" s="164"/>
      <c r="EE28" s="164"/>
      <c r="EF28" s="164"/>
      <c r="EG28" s="164"/>
      <c r="EH28" s="164"/>
      <c r="EI28" s="164"/>
      <c r="EJ28" s="164"/>
      <c r="EK28" s="164"/>
      <c r="EL28" s="164"/>
      <c r="EM28" s="164"/>
      <c r="EN28" s="164"/>
      <c r="EO28" s="164"/>
      <c r="EP28" s="164"/>
      <c r="EQ28" s="164"/>
      <c r="ER28" s="164"/>
      <c r="ES28" s="164"/>
      <c r="ET28" s="164"/>
      <c r="EU28" s="164"/>
      <c r="EV28" s="164"/>
      <c r="EW28" s="164"/>
      <c r="EX28" s="164"/>
      <c r="EY28" s="164"/>
      <c r="EZ28" s="164"/>
      <c r="FA28" s="164"/>
      <c r="FB28" s="164"/>
      <c r="FC28" s="164"/>
      <c r="FD28" s="164"/>
      <c r="FE28" s="164"/>
      <c r="FF28" s="164"/>
      <c r="FG28" s="164"/>
      <c r="FH28" s="164"/>
      <c r="FI28" s="164"/>
      <c r="FJ28" s="164"/>
      <c r="FK28" s="164"/>
      <c r="FL28" s="164"/>
      <c r="FM28" s="164"/>
      <c r="FN28" s="164"/>
      <c r="FO28" s="164"/>
      <c r="FP28" s="164"/>
      <c r="FQ28" s="164"/>
      <c r="FR28" s="164"/>
      <c r="FS28" s="164"/>
    </row>
    <row r="29" spans="1:175" s="158" customFormat="1" ht="15" customHeight="1" x14ac:dyDescent="0.15">
      <c r="A29" s="161"/>
      <c r="C29" s="159"/>
      <c r="D29" s="160"/>
      <c r="E29" s="160"/>
      <c r="F29" s="160"/>
      <c r="G29" s="160"/>
      <c r="H29" s="160"/>
      <c r="I29" s="160"/>
      <c r="J29" s="160"/>
      <c r="K29" s="160"/>
      <c r="M29" s="162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  <c r="CM29" s="164"/>
      <c r="CN29" s="164"/>
      <c r="CO29" s="164"/>
      <c r="CP29" s="164"/>
      <c r="CQ29" s="164"/>
      <c r="CR29" s="164"/>
      <c r="CS29" s="164"/>
      <c r="CT29" s="164"/>
      <c r="CU29" s="164"/>
      <c r="CV29" s="164"/>
      <c r="CW29" s="164"/>
      <c r="CX29" s="164"/>
      <c r="CY29" s="164"/>
      <c r="CZ29" s="164"/>
      <c r="DA29" s="164"/>
      <c r="DB29" s="164"/>
      <c r="DC29" s="164"/>
      <c r="DD29" s="164"/>
      <c r="DE29" s="164"/>
      <c r="DF29" s="164"/>
      <c r="DG29" s="164"/>
      <c r="DH29" s="164"/>
      <c r="DI29" s="164"/>
      <c r="DJ29" s="164"/>
      <c r="DK29" s="164"/>
      <c r="DL29" s="164"/>
      <c r="DM29" s="164"/>
      <c r="DN29" s="164"/>
      <c r="DO29" s="164"/>
      <c r="DP29" s="164"/>
      <c r="DQ29" s="164"/>
      <c r="DR29" s="164"/>
      <c r="DS29" s="164"/>
      <c r="DT29" s="164"/>
      <c r="DU29" s="164"/>
      <c r="DV29" s="164"/>
      <c r="DW29" s="164"/>
      <c r="DX29" s="164"/>
      <c r="DY29" s="164"/>
      <c r="DZ29" s="164"/>
      <c r="EA29" s="164"/>
      <c r="EB29" s="164"/>
      <c r="EC29" s="164"/>
      <c r="ED29" s="164"/>
      <c r="EE29" s="164"/>
      <c r="EF29" s="164"/>
      <c r="EG29" s="164"/>
      <c r="EH29" s="164"/>
      <c r="EI29" s="164"/>
      <c r="EJ29" s="164"/>
      <c r="EK29" s="164"/>
      <c r="EL29" s="164"/>
      <c r="EM29" s="164"/>
      <c r="EN29" s="164"/>
      <c r="EO29" s="164"/>
      <c r="EP29" s="164"/>
      <c r="EQ29" s="164"/>
      <c r="ER29" s="164"/>
      <c r="ES29" s="164"/>
      <c r="ET29" s="164"/>
      <c r="EU29" s="164"/>
      <c r="EV29" s="164"/>
      <c r="EW29" s="164"/>
      <c r="EX29" s="164"/>
      <c r="EY29" s="164"/>
      <c r="EZ29" s="164"/>
      <c r="FA29" s="164"/>
      <c r="FB29" s="164"/>
      <c r="FC29" s="164"/>
      <c r="FD29" s="164"/>
      <c r="FE29" s="164"/>
      <c r="FF29" s="164"/>
      <c r="FG29" s="164"/>
      <c r="FH29" s="164"/>
      <c r="FI29" s="164"/>
      <c r="FJ29" s="164"/>
      <c r="FK29" s="164"/>
      <c r="FL29" s="164"/>
      <c r="FM29" s="164"/>
      <c r="FN29" s="164"/>
      <c r="FO29" s="164"/>
      <c r="FP29" s="164"/>
      <c r="FQ29" s="164"/>
      <c r="FR29" s="164"/>
      <c r="FS29" s="164"/>
    </row>
    <row r="30" spans="1:175" s="135" customFormat="1" ht="25" customHeight="1" x14ac:dyDescent="0.15">
      <c r="A30" s="143" t="str">
        <f>'Tariffs 2017'!F17</f>
        <v>Origin Energy</v>
      </c>
      <c r="B30" s="24" t="str">
        <f>'Tariffs 2017'!D17</f>
        <v>Envestra Cooma</v>
      </c>
      <c r="C30" s="144">
        <f>'Tariffs 2017'!E17</f>
        <v>41455</v>
      </c>
      <c r="D30" s="30">
        <f>60*'Tariffs 2017'!H17/100</f>
        <v>43.566000000000003</v>
      </c>
      <c r="E30" s="30">
        <f>$C$5*'Tariffs 2017'!O17/100</f>
        <v>106.8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f t="shared" si="12"/>
        <v>150.36599999999999</v>
      </c>
      <c r="L30" s="24">
        <f t="shared" si="13"/>
        <v>902.19599999999991</v>
      </c>
      <c r="M30" s="145">
        <f t="shared" si="14"/>
        <v>992.41560000000004</v>
      </c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4"/>
      <c r="FF30" s="164"/>
      <c r="FG30" s="164"/>
      <c r="FH30" s="164"/>
      <c r="FI30" s="164"/>
      <c r="FJ30" s="164"/>
      <c r="FK30" s="164"/>
      <c r="FL30" s="164"/>
      <c r="FM30" s="164"/>
      <c r="FN30" s="164"/>
      <c r="FO30" s="164"/>
      <c r="FP30" s="164"/>
      <c r="FQ30" s="164"/>
      <c r="FR30" s="164"/>
      <c r="FS30" s="164"/>
    </row>
    <row r="31" spans="1:175" s="135" customFormat="1" ht="25" customHeight="1" x14ac:dyDescent="0.15">
      <c r="A31" s="143" t="str">
        <f>'Tariffs 2017'!F18</f>
        <v>Red Energy</v>
      </c>
      <c r="B31" s="24" t="str">
        <f>'Tariffs 2017'!D18</f>
        <v>Envestra Cooma</v>
      </c>
      <c r="C31" s="144">
        <f>'Tariffs 2017'!E18</f>
        <v>41479</v>
      </c>
      <c r="D31" s="30">
        <f>60*'Tariffs 2017'!H18/100</f>
        <v>43.566000000000003</v>
      </c>
      <c r="E31" s="30">
        <f>$C$5*'Tariffs 2017'!O18/100</f>
        <v>106.8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f t="shared" si="12"/>
        <v>150.36599999999999</v>
      </c>
      <c r="L31" s="24">
        <f t="shared" si="13"/>
        <v>902.19599999999991</v>
      </c>
      <c r="M31" s="145">
        <f t="shared" si="14"/>
        <v>992.41560000000004</v>
      </c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164"/>
      <c r="DH31" s="164"/>
      <c r="DI31" s="164"/>
      <c r="DJ31" s="164"/>
      <c r="DK31" s="164"/>
      <c r="DL31" s="164"/>
      <c r="DM31" s="164"/>
      <c r="DN31" s="164"/>
      <c r="DO31" s="164"/>
      <c r="DP31" s="164"/>
      <c r="DQ31" s="164"/>
      <c r="DR31" s="164"/>
      <c r="DS31" s="164"/>
      <c r="DT31" s="164"/>
      <c r="DU31" s="164"/>
      <c r="DV31" s="164"/>
      <c r="DW31" s="164"/>
      <c r="DX31" s="164"/>
      <c r="DY31" s="164"/>
      <c r="DZ31" s="164"/>
      <c r="EA31" s="164"/>
      <c r="EB31" s="164"/>
      <c r="EC31" s="164"/>
      <c r="ED31" s="164"/>
      <c r="EE31" s="164"/>
      <c r="EF31" s="164"/>
      <c r="EG31" s="164"/>
      <c r="EH31" s="164"/>
      <c r="EI31" s="164"/>
      <c r="EJ31" s="164"/>
      <c r="EK31" s="164"/>
      <c r="EL31" s="164"/>
      <c r="EM31" s="164"/>
      <c r="EN31" s="164"/>
      <c r="EO31" s="164"/>
      <c r="EP31" s="164"/>
      <c r="EQ31" s="164"/>
      <c r="ER31" s="164"/>
      <c r="ES31" s="164"/>
      <c r="ET31" s="164"/>
      <c r="EU31" s="164"/>
      <c r="EV31" s="164"/>
      <c r="EW31" s="164"/>
      <c r="EX31" s="164"/>
      <c r="EY31" s="164"/>
      <c r="EZ31" s="164"/>
      <c r="FA31" s="164"/>
      <c r="FB31" s="164"/>
      <c r="FC31" s="164"/>
      <c r="FD31" s="164"/>
      <c r="FE31" s="164"/>
      <c r="FF31" s="164"/>
      <c r="FG31" s="164"/>
      <c r="FH31" s="164"/>
      <c r="FI31" s="164"/>
      <c r="FJ31" s="164"/>
      <c r="FK31" s="164"/>
      <c r="FL31" s="164"/>
      <c r="FM31" s="164"/>
      <c r="FN31" s="164"/>
      <c r="FO31" s="164"/>
      <c r="FP31" s="164"/>
      <c r="FQ31" s="164"/>
      <c r="FR31" s="164"/>
      <c r="FS31" s="164"/>
    </row>
    <row r="32" spans="1:175" s="158" customFormat="1" ht="15" customHeight="1" x14ac:dyDescent="0.15">
      <c r="A32" s="161"/>
      <c r="C32" s="159"/>
      <c r="D32" s="160"/>
      <c r="E32" s="160"/>
      <c r="F32" s="160"/>
      <c r="G32" s="160"/>
      <c r="H32" s="160"/>
      <c r="I32" s="160"/>
      <c r="J32" s="160"/>
      <c r="K32" s="160"/>
      <c r="M32" s="162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4"/>
      <c r="CS32" s="164"/>
      <c r="CT32" s="164"/>
      <c r="CU32" s="164"/>
      <c r="CV32" s="164"/>
      <c r="CW32" s="164"/>
      <c r="CX32" s="164"/>
      <c r="CY32" s="164"/>
      <c r="CZ32" s="164"/>
      <c r="DA32" s="164"/>
      <c r="DB32" s="164"/>
      <c r="DC32" s="164"/>
      <c r="DD32" s="164"/>
      <c r="DE32" s="164"/>
      <c r="DF32" s="164"/>
      <c r="DG32" s="164"/>
      <c r="DH32" s="164"/>
      <c r="DI32" s="164"/>
      <c r="DJ32" s="164"/>
      <c r="DK32" s="164"/>
      <c r="DL32" s="164"/>
      <c r="DM32" s="164"/>
      <c r="DN32" s="164"/>
      <c r="DO32" s="164"/>
      <c r="DP32" s="164"/>
      <c r="DQ32" s="164"/>
      <c r="DR32" s="164"/>
      <c r="DS32" s="164"/>
      <c r="DT32" s="164"/>
      <c r="DU32" s="164"/>
      <c r="DV32" s="164"/>
      <c r="DW32" s="164"/>
      <c r="DX32" s="164"/>
      <c r="DY32" s="164"/>
      <c r="DZ32" s="164"/>
      <c r="EA32" s="164"/>
      <c r="EB32" s="164"/>
      <c r="EC32" s="164"/>
      <c r="ED32" s="164"/>
      <c r="EE32" s="164"/>
      <c r="EF32" s="164"/>
      <c r="EG32" s="164"/>
      <c r="EH32" s="164"/>
      <c r="EI32" s="164"/>
      <c r="EJ32" s="164"/>
      <c r="EK32" s="164"/>
      <c r="EL32" s="164"/>
      <c r="EM32" s="164"/>
      <c r="EN32" s="164"/>
      <c r="EO32" s="164"/>
      <c r="EP32" s="164"/>
      <c r="EQ32" s="164"/>
      <c r="ER32" s="164"/>
      <c r="ES32" s="164"/>
      <c r="ET32" s="164"/>
      <c r="EU32" s="164"/>
      <c r="EV32" s="164"/>
      <c r="EW32" s="164"/>
      <c r="EX32" s="164"/>
      <c r="EY32" s="164"/>
      <c r="EZ32" s="164"/>
      <c r="FA32" s="164"/>
      <c r="FB32" s="164"/>
      <c r="FC32" s="164"/>
      <c r="FD32" s="164"/>
      <c r="FE32" s="164"/>
      <c r="FF32" s="164"/>
      <c r="FG32" s="164"/>
      <c r="FH32" s="164"/>
      <c r="FI32" s="164"/>
      <c r="FJ32" s="164"/>
      <c r="FK32" s="164"/>
      <c r="FL32" s="164"/>
      <c r="FM32" s="164"/>
      <c r="FN32" s="164"/>
      <c r="FO32" s="164"/>
      <c r="FP32" s="164"/>
      <c r="FQ32" s="164"/>
      <c r="FR32" s="164"/>
      <c r="FS32" s="164"/>
    </row>
    <row r="33" spans="1:175" s="135" customFormat="1" ht="25" customHeight="1" x14ac:dyDescent="0.15">
      <c r="A33" s="143" t="str">
        <f>'Tariffs 2017'!F19</f>
        <v>Origin Energy</v>
      </c>
      <c r="B33" s="24" t="str">
        <f>'Tariffs 2017'!D19</f>
        <v>Envestra Temora</v>
      </c>
      <c r="C33" s="144">
        <f>'Tariffs 2017'!E19</f>
        <v>41455</v>
      </c>
      <c r="D33" s="30">
        <f>60*'Tariffs 2017'!H19/100</f>
        <v>46.59</v>
      </c>
      <c r="E33" s="30">
        <f>$C$5*'Tariffs 2017'!O19/100</f>
        <v>108.4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f t="shared" si="12"/>
        <v>154.99</v>
      </c>
      <c r="L33" s="24">
        <f t="shared" si="13"/>
        <v>929.94</v>
      </c>
      <c r="M33" s="145">
        <f t="shared" si="14"/>
        <v>1022.9340000000002</v>
      </c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4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4"/>
      <c r="CD33" s="164"/>
      <c r="CE33" s="164"/>
      <c r="CF33" s="164"/>
      <c r="CG33" s="164"/>
      <c r="CH33" s="164"/>
      <c r="CI33" s="164"/>
      <c r="CJ33" s="164"/>
      <c r="CK33" s="164"/>
      <c r="CL33" s="164"/>
      <c r="CM33" s="164"/>
      <c r="CN33" s="164"/>
      <c r="CO33" s="164"/>
      <c r="CP33" s="164"/>
      <c r="CQ33" s="164"/>
      <c r="CR33" s="164"/>
      <c r="CS33" s="164"/>
      <c r="CT33" s="164"/>
      <c r="CU33" s="164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164"/>
      <c r="DG33" s="164"/>
      <c r="DH33" s="164"/>
      <c r="DI33" s="164"/>
      <c r="DJ33" s="164"/>
      <c r="DK33" s="164"/>
      <c r="DL33" s="164"/>
      <c r="DM33" s="164"/>
      <c r="DN33" s="164"/>
      <c r="DO33" s="164"/>
      <c r="DP33" s="164"/>
      <c r="DQ33" s="164"/>
      <c r="DR33" s="164"/>
      <c r="DS33" s="164"/>
      <c r="DT33" s="164"/>
      <c r="DU33" s="164"/>
      <c r="DV33" s="164"/>
      <c r="DW33" s="164"/>
      <c r="DX33" s="164"/>
      <c r="DY33" s="164"/>
      <c r="DZ33" s="164"/>
      <c r="EA33" s="164"/>
      <c r="EB33" s="164"/>
      <c r="EC33" s="164"/>
      <c r="ED33" s="164"/>
      <c r="EE33" s="164"/>
      <c r="EF33" s="164"/>
      <c r="EG33" s="164"/>
      <c r="EH33" s="164"/>
      <c r="EI33" s="164"/>
      <c r="EJ33" s="164"/>
      <c r="EK33" s="164"/>
      <c r="EL33" s="164"/>
      <c r="EM33" s="164"/>
      <c r="EN33" s="164"/>
      <c r="EO33" s="164"/>
      <c r="EP33" s="164"/>
      <c r="EQ33" s="164"/>
      <c r="ER33" s="164"/>
      <c r="ES33" s="164"/>
      <c r="ET33" s="164"/>
      <c r="EU33" s="164"/>
      <c r="EV33" s="164"/>
      <c r="EW33" s="164"/>
      <c r="EX33" s="164"/>
      <c r="EY33" s="164"/>
      <c r="EZ33" s="164"/>
      <c r="FA33" s="164"/>
      <c r="FB33" s="164"/>
      <c r="FC33" s="164"/>
      <c r="FD33" s="164"/>
      <c r="FE33" s="164"/>
      <c r="FF33" s="164"/>
      <c r="FG33" s="164"/>
      <c r="FH33" s="164"/>
      <c r="FI33" s="164"/>
      <c r="FJ33" s="164"/>
      <c r="FK33" s="164"/>
      <c r="FL33" s="164"/>
      <c r="FM33" s="164"/>
      <c r="FN33" s="164"/>
      <c r="FO33" s="164"/>
      <c r="FP33" s="164"/>
      <c r="FQ33" s="164"/>
      <c r="FR33" s="164"/>
      <c r="FS33" s="164"/>
    </row>
    <row r="34" spans="1:175" s="158" customFormat="1" ht="15" customHeight="1" x14ac:dyDescent="0.15">
      <c r="A34" s="161"/>
      <c r="C34" s="159"/>
      <c r="D34" s="160"/>
      <c r="E34" s="160"/>
      <c r="F34" s="160"/>
      <c r="G34" s="160"/>
      <c r="H34" s="160"/>
      <c r="I34" s="160"/>
      <c r="J34" s="160"/>
      <c r="K34" s="160"/>
      <c r="M34" s="162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  <c r="CB34" s="164"/>
      <c r="CC34" s="164"/>
      <c r="CD34" s="164"/>
      <c r="CE34" s="164"/>
      <c r="CF34" s="164"/>
      <c r="CG34" s="164"/>
      <c r="CH34" s="164"/>
      <c r="CI34" s="164"/>
      <c r="CJ34" s="164"/>
      <c r="CK34" s="164"/>
      <c r="CL34" s="164"/>
      <c r="CM34" s="164"/>
      <c r="CN34" s="164"/>
      <c r="CO34" s="164"/>
      <c r="CP34" s="164"/>
      <c r="CQ34" s="164"/>
      <c r="CR34" s="164"/>
      <c r="CS34" s="164"/>
      <c r="CT34" s="164"/>
      <c r="CU34" s="164"/>
      <c r="CV34" s="164"/>
      <c r="CW34" s="164"/>
      <c r="CX34" s="164"/>
      <c r="CY34" s="164"/>
      <c r="CZ34" s="164"/>
      <c r="DA34" s="164"/>
      <c r="DB34" s="164"/>
      <c r="DC34" s="164"/>
      <c r="DD34" s="164"/>
      <c r="DE34" s="164"/>
      <c r="DF34" s="164"/>
      <c r="DG34" s="164"/>
      <c r="DH34" s="164"/>
      <c r="DI34" s="164"/>
      <c r="DJ34" s="164"/>
      <c r="DK34" s="164"/>
      <c r="DL34" s="164"/>
      <c r="DM34" s="164"/>
      <c r="DN34" s="164"/>
      <c r="DO34" s="164"/>
      <c r="DP34" s="164"/>
      <c r="DQ34" s="164"/>
      <c r="DR34" s="164"/>
      <c r="DS34" s="164"/>
      <c r="DT34" s="164"/>
      <c r="DU34" s="164"/>
      <c r="DV34" s="164"/>
      <c r="DW34" s="164"/>
      <c r="DX34" s="164"/>
      <c r="DY34" s="164"/>
      <c r="DZ34" s="164"/>
      <c r="EA34" s="164"/>
      <c r="EB34" s="164"/>
      <c r="EC34" s="164"/>
      <c r="ED34" s="164"/>
      <c r="EE34" s="164"/>
      <c r="EF34" s="164"/>
      <c r="EG34" s="164"/>
      <c r="EH34" s="164"/>
      <c r="EI34" s="164"/>
      <c r="EJ34" s="164"/>
      <c r="EK34" s="164"/>
      <c r="EL34" s="164"/>
      <c r="EM34" s="164"/>
      <c r="EN34" s="164"/>
      <c r="EO34" s="164"/>
      <c r="EP34" s="164"/>
      <c r="EQ34" s="164"/>
      <c r="ER34" s="164"/>
      <c r="ES34" s="164"/>
      <c r="ET34" s="164"/>
      <c r="EU34" s="164"/>
      <c r="EV34" s="164"/>
      <c r="EW34" s="164"/>
      <c r="EX34" s="164"/>
      <c r="EY34" s="164"/>
      <c r="EZ34" s="164"/>
      <c r="FA34" s="164"/>
      <c r="FB34" s="164"/>
      <c r="FC34" s="164"/>
      <c r="FD34" s="164"/>
      <c r="FE34" s="164"/>
      <c r="FF34" s="164"/>
      <c r="FG34" s="164"/>
      <c r="FH34" s="164"/>
      <c r="FI34" s="164"/>
      <c r="FJ34" s="164"/>
      <c r="FK34" s="164"/>
      <c r="FL34" s="164"/>
      <c r="FM34" s="164"/>
      <c r="FN34" s="164"/>
      <c r="FO34" s="164"/>
      <c r="FP34" s="164"/>
      <c r="FQ34" s="164"/>
      <c r="FR34" s="164"/>
      <c r="FS34" s="164"/>
    </row>
    <row r="35" spans="1:175" s="135" customFormat="1" ht="25" customHeight="1" x14ac:dyDescent="0.15">
      <c r="A35" s="143" t="str">
        <f>'Tariffs 2017'!F20</f>
        <v>Origin Energy</v>
      </c>
      <c r="B35" s="24" t="str">
        <f>'Tariffs 2017'!D20</f>
        <v>Envestra Tumut</v>
      </c>
      <c r="C35" s="144">
        <f>'Tariffs 2017'!E20</f>
        <v>41455</v>
      </c>
      <c r="D35" s="30">
        <f>60*'Tariffs 2017'!H20/100</f>
        <v>49.811999999999998</v>
      </c>
      <c r="E35" s="30">
        <f>$C$5*'Tariffs 2017'!O20/100</f>
        <v>111.2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f t="shared" si="12"/>
        <v>161.012</v>
      </c>
      <c r="L35" s="24">
        <f t="shared" si="13"/>
        <v>966.072</v>
      </c>
      <c r="M35" s="145">
        <f t="shared" si="14"/>
        <v>1062.6792</v>
      </c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4"/>
      <c r="BD35" s="164"/>
      <c r="BE35" s="164"/>
      <c r="BF35" s="164"/>
      <c r="BG35" s="164"/>
      <c r="BH35" s="164"/>
      <c r="BI35" s="164"/>
      <c r="BJ35" s="164"/>
      <c r="BK35" s="164"/>
      <c r="BL35" s="164"/>
      <c r="BM35" s="164"/>
      <c r="BN35" s="164"/>
      <c r="BO35" s="164"/>
      <c r="BP35" s="164"/>
      <c r="BQ35" s="164"/>
      <c r="BR35" s="164"/>
      <c r="BS35" s="164"/>
      <c r="BT35" s="164"/>
      <c r="BU35" s="164"/>
      <c r="BV35" s="164"/>
      <c r="BW35" s="164"/>
      <c r="BX35" s="164"/>
      <c r="BY35" s="164"/>
      <c r="BZ35" s="164"/>
      <c r="CA35" s="164"/>
      <c r="CB35" s="164"/>
      <c r="CC35" s="164"/>
      <c r="CD35" s="164"/>
      <c r="CE35" s="164"/>
      <c r="CF35" s="164"/>
      <c r="CG35" s="164"/>
      <c r="CH35" s="164"/>
      <c r="CI35" s="164"/>
      <c r="CJ35" s="164"/>
      <c r="CK35" s="164"/>
      <c r="CL35" s="164"/>
      <c r="CM35" s="164"/>
      <c r="CN35" s="164"/>
      <c r="CO35" s="164"/>
      <c r="CP35" s="164"/>
      <c r="CQ35" s="164"/>
      <c r="CR35" s="164"/>
      <c r="CS35" s="164"/>
      <c r="CT35" s="164"/>
      <c r="CU35" s="164"/>
      <c r="CV35" s="164"/>
      <c r="CW35" s="164"/>
      <c r="CX35" s="164"/>
      <c r="CY35" s="164"/>
      <c r="CZ35" s="164"/>
      <c r="DA35" s="164"/>
      <c r="DB35" s="164"/>
      <c r="DC35" s="164"/>
      <c r="DD35" s="164"/>
      <c r="DE35" s="164"/>
      <c r="DF35" s="164"/>
      <c r="DG35" s="164"/>
      <c r="DH35" s="164"/>
      <c r="DI35" s="164"/>
      <c r="DJ35" s="164"/>
      <c r="DK35" s="164"/>
      <c r="DL35" s="164"/>
      <c r="DM35" s="164"/>
      <c r="DN35" s="164"/>
      <c r="DO35" s="164"/>
      <c r="DP35" s="164"/>
      <c r="DQ35" s="164"/>
      <c r="DR35" s="164"/>
      <c r="DS35" s="164"/>
      <c r="DT35" s="164"/>
      <c r="DU35" s="164"/>
      <c r="DV35" s="164"/>
      <c r="DW35" s="164"/>
      <c r="DX35" s="164"/>
      <c r="DY35" s="164"/>
      <c r="DZ35" s="164"/>
      <c r="EA35" s="164"/>
      <c r="EB35" s="164"/>
      <c r="EC35" s="164"/>
      <c r="ED35" s="164"/>
      <c r="EE35" s="164"/>
      <c r="EF35" s="164"/>
      <c r="EG35" s="164"/>
      <c r="EH35" s="164"/>
      <c r="EI35" s="164"/>
      <c r="EJ35" s="164"/>
      <c r="EK35" s="164"/>
      <c r="EL35" s="164"/>
      <c r="EM35" s="164"/>
      <c r="EN35" s="164"/>
      <c r="EO35" s="164"/>
      <c r="EP35" s="164"/>
      <c r="EQ35" s="164"/>
      <c r="ER35" s="164"/>
      <c r="ES35" s="164"/>
      <c r="ET35" s="164"/>
      <c r="EU35" s="164"/>
      <c r="EV35" s="164"/>
      <c r="EW35" s="164"/>
      <c r="EX35" s="164"/>
      <c r="EY35" s="164"/>
      <c r="EZ35" s="164"/>
      <c r="FA35" s="164"/>
      <c r="FB35" s="164"/>
      <c r="FC35" s="164"/>
      <c r="FD35" s="164"/>
      <c r="FE35" s="164"/>
      <c r="FF35" s="164"/>
      <c r="FG35" s="164"/>
      <c r="FH35" s="164"/>
      <c r="FI35" s="164"/>
      <c r="FJ35" s="164"/>
      <c r="FK35" s="164"/>
      <c r="FL35" s="164"/>
      <c r="FM35" s="164"/>
      <c r="FN35" s="164"/>
      <c r="FO35" s="164"/>
      <c r="FP35" s="164"/>
      <c r="FQ35" s="164"/>
      <c r="FR35" s="164"/>
      <c r="FS35" s="164"/>
    </row>
    <row r="36" spans="1:175" s="135" customFormat="1" ht="25" customHeight="1" x14ac:dyDescent="0.15">
      <c r="A36" s="143" t="str">
        <f>'Tariffs 2017'!F21</f>
        <v>Red Energy</v>
      </c>
      <c r="B36" s="24" t="str">
        <f>'Tariffs 2017'!D21</f>
        <v>Envestra Tumut</v>
      </c>
      <c r="C36" s="144">
        <f>'Tariffs 2017'!E21</f>
        <v>41479</v>
      </c>
      <c r="D36" s="30">
        <f>60*'Tariffs 2017'!H21/100</f>
        <v>49.811999999999998</v>
      </c>
      <c r="E36" s="30">
        <f>$C$5*'Tariffs 2017'!O21/100</f>
        <v>111.2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f t="shared" si="12"/>
        <v>161.012</v>
      </c>
      <c r="L36" s="24">
        <f t="shared" si="13"/>
        <v>966.072</v>
      </c>
      <c r="M36" s="145">
        <f t="shared" si="14"/>
        <v>1062.6792</v>
      </c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4"/>
      <c r="BD36" s="164"/>
      <c r="BE36" s="164"/>
      <c r="BF36" s="164"/>
      <c r="BG36" s="164"/>
      <c r="BH36" s="164"/>
      <c r="BI36" s="164"/>
      <c r="BJ36" s="164"/>
      <c r="BK36" s="164"/>
      <c r="BL36" s="164"/>
      <c r="BM36" s="164"/>
      <c r="BN36" s="164"/>
      <c r="BO36" s="164"/>
      <c r="BP36" s="164"/>
      <c r="BQ36" s="164"/>
      <c r="BR36" s="164"/>
      <c r="BS36" s="164"/>
      <c r="BT36" s="164"/>
      <c r="BU36" s="164"/>
      <c r="BV36" s="164"/>
      <c r="BW36" s="164"/>
      <c r="BX36" s="164"/>
      <c r="BY36" s="164"/>
      <c r="BZ36" s="164"/>
      <c r="CA36" s="164"/>
      <c r="CB36" s="164"/>
      <c r="CC36" s="164"/>
      <c r="CD36" s="164"/>
      <c r="CE36" s="164"/>
      <c r="CF36" s="164"/>
      <c r="CG36" s="164"/>
      <c r="CH36" s="164"/>
      <c r="CI36" s="164"/>
      <c r="CJ36" s="164"/>
      <c r="CK36" s="164"/>
      <c r="CL36" s="164"/>
      <c r="CM36" s="164"/>
      <c r="CN36" s="164"/>
      <c r="CO36" s="164"/>
      <c r="CP36" s="164"/>
      <c r="CQ36" s="164"/>
      <c r="CR36" s="164"/>
      <c r="CS36" s="164"/>
      <c r="CT36" s="164"/>
      <c r="CU36" s="164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164"/>
      <c r="DG36" s="164"/>
      <c r="DH36" s="164"/>
      <c r="DI36" s="164"/>
      <c r="DJ36" s="164"/>
      <c r="DK36" s="164"/>
      <c r="DL36" s="164"/>
      <c r="DM36" s="164"/>
      <c r="DN36" s="164"/>
      <c r="DO36" s="164"/>
      <c r="DP36" s="164"/>
      <c r="DQ36" s="164"/>
      <c r="DR36" s="164"/>
      <c r="DS36" s="164"/>
      <c r="DT36" s="164"/>
      <c r="DU36" s="164"/>
      <c r="DV36" s="164"/>
      <c r="DW36" s="164"/>
      <c r="DX36" s="164"/>
      <c r="DY36" s="164"/>
      <c r="DZ36" s="164"/>
      <c r="EA36" s="164"/>
      <c r="EB36" s="164"/>
      <c r="EC36" s="164"/>
      <c r="ED36" s="164"/>
      <c r="EE36" s="164"/>
      <c r="EF36" s="164"/>
      <c r="EG36" s="164"/>
      <c r="EH36" s="164"/>
      <c r="EI36" s="164"/>
      <c r="EJ36" s="164"/>
      <c r="EK36" s="164"/>
      <c r="EL36" s="164"/>
      <c r="EM36" s="164"/>
      <c r="EN36" s="164"/>
      <c r="EO36" s="164"/>
      <c r="EP36" s="164"/>
      <c r="EQ36" s="164"/>
      <c r="ER36" s="164"/>
      <c r="ES36" s="164"/>
      <c r="ET36" s="164"/>
      <c r="EU36" s="164"/>
      <c r="EV36" s="164"/>
      <c r="EW36" s="164"/>
      <c r="EX36" s="164"/>
      <c r="EY36" s="164"/>
      <c r="EZ36" s="164"/>
      <c r="FA36" s="164"/>
      <c r="FB36" s="164"/>
      <c r="FC36" s="164"/>
      <c r="FD36" s="164"/>
      <c r="FE36" s="164"/>
      <c r="FF36" s="164"/>
      <c r="FG36" s="164"/>
      <c r="FH36" s="164"/>
      <c r="FI36" s="164"/>
      <c r="FJ36" s="164"/>
      <c r="FK36" s="164"/>
      <c r="FL36" s="164"/>
      <c r="FM36" s="164"/>
      <c r="FN36" s="164"/>
      <c r="FO36" s="164"/>
      <c r="FP36" s="164"/>
      <c r="FQ36" s="164"/>
      <c r="FR36" s="164"/>
      <c r="FS36" s="164"/>
    </row>
    <row r="37" spans="1:175" s="158" customFormat="1" ht="15" customHeight="1" x14ac:dyDescent="0.15">
      <c r="A37" s="161"/>
      <c r="C37" s="159"/>
      <c r="D37" s="160"/>
      <c r="E37" s="160"/>
      <c r="F37" s="160"/>
      <c r="G37" s="160"/>
      <c r="H37" s="160"/>
      <c r="I37" s="160"/>
      <c r="J37" s="160"/>
      <c r="K37" s="160"/>
      <c r="M37" s="162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  <c r="DZ37" s="164"/>
      <c r="EA37" s="164"/>
      <c r="EB37" s="164"/>
      <c r="EC37" s="164"/>
      <c r="ED37" s="164"/>
      <c r="EE37" s="164"/>
      <c r="EF37" s="164"/>
      <c r="EG37" s="164"/>
      <c r="EH37" s="164"/>
      <c r="EI37" s="164"/>
      <c r="EJ37" s="164"/>
      <c r="EK37" s="164"/>
      <c r="EL37" s="164"/>
      <c r="EM37" s="164"/>
      <c r="EN37" s="164"/>
      <c r="EO37" s="164"/>
      <c r="EP37" s="164"/>
      <c r="EQ37" s="164"/>
      <c r="ER37" s="164"/>
      <c r="ES37" s="164"/>
      <c r="ET37" s="164"/>
      <c r="EU37" s="164"/>
      <c r="EV37" s="164"/>
      <c r="EW37" s="164"/>
      <c r="EX37" s="164"/>
      <c r="EY37" s="164"/>
      <c r="EZ37" s="164"/>
      <c r="FA37" s="164"/>
      <c r="FB37" s="164"/>
      <c r="FC37" s="164"/>
      <c r="FD37" s="164"/>
      <c r="FE37" s="164"/>
      <c r="FF37" s="164"/>
      <c r="FG37" s="164"/>
      <c r="FH37" s="164"/>
      <c r="FI37" s="164"/>
      <c r="FJ37" s="164"/>
      <c r="FK37" s="164"/>
      <c r="FL37" s="164"/>
      <c r="FM37" s="164"/>
      <c r="FN37" s="164"/>
      <c r="FO37" s="164"/>
      <c r="FP37" s="164"/>
      <c r="FQ37" s="164"/>
      <c r="FR37" s="164"/>
      <c r="FS37" s="164"/>
    </row>
    <row r="38" spans="1:175" s="135" customFormat="1" ht="25" customHeight="1" x14ac:dyDescent="0.15">
      <c r="A38" s="143" t="str">
        <f>'Tariffs 2017'!F22</f>
        <v>Origin Energy</v>
      </c>
      <c r="B38" s="24" t="str">
        <f>'Tariffs 2017'!D22</f>
        <v>Envestra Wagga Wagga</v>
      </c>
      <c r="C38" s="144">
        <f>'Tariffs 2017'!E22</f>
        <v>41455</v>
      </c>
      <c r="D38" s="30">
        <f>60*'Tariffs 2017'!H22/100</f>
        <v>52.872000000000007</v>
      </c>
      <c r="E38" s="30">
        <f>$C$5*'Tariffs 2017'!O22/100</f>
        <v>90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f t="shared" si="12"/>
        <v>142.87200000000001</v>
      </c>
      <c r="L38" s="24">
        <f t="shared" si="13"/>
        <v>857.23200000000008</v>
      </c>
      <c r="M38" s="145">
        <f t="shared" si="14"/>
        <v>942.95520000000022</v>
      </c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  <c r="DW38" s="164"/>
      <c r="DX38" s="164"/>
      <c r="DY38" s="164"/>
      <c r="DZ38" s="164"/>
      <c r="EA38" s="164"/>
      <c r="EB38" s="164"/>
      <c r="EC38" s="164"/>
      <c r="ED38" s="164"/>
      <c r="EE38" s="164"/>
      <c r="EF38" s="164"/>
      <c r="EG38" s="164"/>
      <c r="EH38" s="164"/>
      <c r="EI38" s="164"/>
      <c r="EJ38" s="164"/>
      <c r="EK38" s="164"/>
      <c r="EL38" s="164"/>
      <c r="EM38" s="164"/>
      <c r="EN38" s="164"/>
      <c r="EO38" s="164"/>
      <c r="EP38" s="164"/>
      <c r="EQ38" s="164"/>
      <c r="ER38" s="164"/>
      <c r="ES38" s="164"/>
      <c r="ET38" s="164"/>
      <c r="EU38" s="164"/>
      <c r="EV38" s="164"/>
      <c r="EW38" s="164"/>
      <c r="EX38" s="164"/>
      <c r="EY38" s="164"/>
      <c r="EZ38" s="164"/>
      <c r="FA38" s="164"/>
      <c r="FB38" s="164"/>
      <c r="FC38" s="164"/>
      <c r="FD38" s="164"/>
      <c r="FE38" s="164"/>
      <c r="FF38" s="164"/>
      <c r="FG38" s="164"/>
      <c r="FH38" s="164"/>
      <c r="FI38" s="164"/>
      <c r="FJ38" s="164"/>
      <c r="FK38" s="164"/>
      <c r="FL38" s="164"/>
      <c r="FM38" s="164"/>
      <c r="FN38" s="164"/>
      <c r="FO38" s="164"/>
      <c r="FP38" s="164"/>
      <c r="FQ38" s="164"/>
      <c r="FR38" s="164"/>
      <c r="FS38" s="164"/>
    </row>
    <row r="39" spans="1:175" s="158" customFormat="1" ht="15" customHeight="1" x14ac:dyDescent="0.15">
      <c r="A39" s="161"/>
      <c r="C39" s="159"/>
      <c r="D39" s="160"/>
      <c r="E39" s="160"/>
      <c r="F39" s="160"/>
      <c r="G39" s="160"/>
      <c r="H39" s="160"/>
      <c r="I39" s="160"/>
      <c r="J39" s="160"/>
      <c r="K39" s="160"/>
      <c r="M39" s="162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  <c r="DZ39" s="164"/>
      <c r="EA39" s="164"/>
      <c r="EB39" s="164"/>
      <c r="EC39" s="164"/>
      <c r="ED39" s="164"/>
      <c r="EE39" s="164"/>
      <c r="EF39" s="164"/>
      <c r="EG39" s="164"/>
      <c r="EH39" s="164"/>
      <c r="EI39" s="164"/>
      <c r="EJ39" s="164"/>
      <c r="EK39" s="164"/>
      <c r="EL39" s="164"/>
      <c r="EM39" s="164"/>
      <c r="EN39" s="164"/>
      <c r="EO39" s="164"/>
      <c r="EP39" s="164"/>
      <c r="EQ39" s="164"/>
      <c r="ER39" s="164"/>
      <c r="ES39" s="164"/>
      <c r="ET39" s="164"/>
      <c r="EU39" s="164"/>
      <c r="EV39" s="164"/>
      <c r="EW39" s="164"/>
      <c r="EX39" s="164"/>
      <c r="EY39" s="164"/>
      <c r="EZ39" s="164"/>
      <c r="FA39" s="164"/>
      <c r="FB39" s="164"/>
      <c r="FC39" s="164"/>
      <c r="FD39" s="164"/>
      <c r="FE39" s="164"/>
      <c r="FF39" s="164"/>
      <c r="FG39" s="164"/>
      <c r="FH39" s="164"/>
      <c r="FI39" s="164"/>
      <c r="FJ39" s="164"/>
      <c r="FK39" s="164"/>
      <c r="FL39" s="164"/>
      <c r="FM39" s="164"/>
      <c r="FN39" s="164"/>
      <c r="FO39" s="164"/>
      <c r="FP39" s="164"/>
      <c r="FQ39" s="164"/>
      <c r="FR39" s="164"/>
      <c r="FS39" s="164"/>
    </row>
    <row r="40" spans="1:175" s="135" customFormat="1" ht="25" customHeight="1" thickBot="1" x14ac:dyDescent="0.2">
      <c r="A40" s="150" t="str">
        <f>'Tariffs 2017'!F23</f>
        <v>Origin Energy</v>
      </c>
      <c r="B40" s="151" t="str">
        <f>'Tariffs 2017'!D23</f>
        <v>Central Ranges Tamworth</v>
      </c>
      <c r="C40" s="152">
        <f>'Tariffs 2017'!E23</f>
        <v>41455</v>
      </c>
      <c r="D40" s="153">
        <f>60*'Tariffs 2017'!H23/100</f>
        <v>39.6</v>
      </c>
      <c r="E40" s="153">
        <f>$C$5*'Tariffs 2017'!O23/100</f>
        <v>158.80000000000001</v>
      </c>
      <c r="F40" s="153">
        <v>0</v>
      </c>
      <c r="G40" s="153">
        <v>0</v>
      </c>
      <c r="H40" s="153">
        <v>0</v>
      </c>
      <c r="I40" s="153">
        <v>0</v>
      </c>
      <c r="J40" s="153">
        <v>0</v>
      </c>
      <c r="K40" s="153">
        <f t="shared" si="12"/>
        <v>198.4</v>
      </c>
      <c r="L40" s="151">
        <f t="shared" si="13"/>
        <v>1190.4000000000001</v>
      </c>
      <c r="M40" s="154">
        <f t="shared" si="14"/>
        <v>1309.4400000000003</v>
      </c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  <c r="BG40" s="164"/>
      <c r="BH40" s="164"/>
      <c r="BI40" s="164"/>
      <c r="BJ40" s="164"/>
      <c r="BK40" s="164"/>
      <c r="BL40" s="164"/>
      <c r="BM40" s="164"/>
      <c r="BN40" s="164"/>
      <c r="BO40" s="164"/>
      <c r="BP40" s="164"/>
      <c r="BQ40" s="164"/>
      <c r="BR40" s="164"/>
      <c r="BS40" s="164"/>
      <c r="BT40" s="164"/>
      <c r="BU40" s="164"/>
      <c r="BV40" s="164"/>
      <c r="BW40" s="164"/>
      <c r="BX40" s="164"/>
      <c r="BY40" s="164"/>
      <c r="BZ40" s="164"/>
      <c r="CA40" s="164"/>
      <c r="CB40" s="164"/>
      <c r="CC40" s="164"/>
      <c r="CD40" s="164"/>
      <c r="CE40" s="164"/>
      <c r="CF40" s="164"/>
      <c r="CG40" s="164"/>
      <c r="CH40" s="164"/>
      <c r="CI40" s="164"/>
      <c r="CJ40" s="164"/>
      <c r="CK40" s="164"/>
      <c r="CL40" s="164"/>
      <c r="CM40" s="164"/>
      <c r="CN40" s="164"/>
      <c r="CO40" s="164"/>
      <c r="CP40" s="164"/>
      <c r="CQ40" s="164"/>
      <c r="CR40" s="164"/>
      <c r="CS40" s="164"/>
      <c r="CT40" s="164"/>
      <c r="CU40" s="164"/>
      <c r="CV40" s="164"/>
      <c r="CW40" s="164"/>
      <c r="CX40" s="164"/>
      <c r="CY40" s="164"/>
      <c r="CZ40" s="164"/>
      <c r="DA40" s="164"/>
      <c r="DB40" s="164"/>
      <c r="DC40" s="164"/>
      <c r="DD40" s="164"/>
      <c r="DE40" s="164"/>
      <c r="DF40" s="164"/>
      <c r="DG40" s="164"/>
      <c r="DH40" s="164"/>
      <c r="DI40" s="164"/>
      <c r="DJ40" s="164"/>
      <c r="DK40" s="164"/>
      <c r="DL40" s="164"/>
      <c r="DM40" s="164"/>
      <c r="DN40" s="164"/>
      <c r="DO40" s="164"/>
      <c r="DP40" s="164"/>
      <c r="DQ40" s="164"/>
      <c r="DR40" s="164"/>
      <c r="DS40" s="164"/>
      <c r="DT40" s="164"/>
      <c r="DU40" s="164"/>
      <c r="DV40" s="164"/>
      <c r="DW40" s="164"/>
      <c r="DX40" s="164"/>
      <c r="DY40" s="164"/>
      <c r="DZ40" s="164"/>
      <c r="EA40" s="164"/>
      <c r="EB40" s="164"/>
      <c r="EC40" s="164"/>
      <c r="ED40" s="164"/>
      <c r="EE40" s="164"/>
      <c r="EF40" s="164"/>
      <c r="EG40" s="164"/>
      <c r="EH40" s="164"/>
      <c r="EI40" s="164"/>
      <c r="EJ40" s="164"/>
      <c r="EK40" s="164"/>
      <c r="EL40" s="164"/>
      <c r="EM40" s="164"/>
      <c r="EN40" s="164"/>
      <c r="EO40" s="164"/>
      <c r="EP40" s="164"/>
      <c r="EQ40" s="164"/>
      <c r="ER40" s="164"/>
      <c r="ES40" s="164"/>
      <c r="ET40" s="164"/>
      <c r="EU40" s="164"/>
      <c r="EV40" s="164"/>
      <c r="EW40" s="164"/>
      <c r="EX40" s="164"/>
      <c r="EY40" s="164"/>
      <c r="EZ40" s="164"/>
      <c r="FA40" s="164"/>
      <c r="FB40" s="164"/>
      <c r="FC40" s="164"/>
      <c r="FD40" s="164"/>
      <c r="FE40" s="164"/>
      <c r="FF40" s="164"/>
      <c r="FG40" s="164"/>
      <c r="FH40" s="164"/>
      <c r="FI40" s="164"/>
      <c r="FJ40" s="164"/>
      <c r="FK40" s="164"/>
      <c r="FL40" s="164"/>
      <c r="FM40" s="164"/>
      <c r="FN40" s="164"/>
      <c r="FO40" s="164"/>
      <c r="FP40" s="164"/>
      <c r="FQ40" s="164"/>
      <c r="FR40" s="164"/>
      <c r="FS40" s="164"/>
    </row>
    <row r="41" spans="1:175" s="164" customFormat="1" x14ac:dyDescent="0.15"/>
    <row r="42" spans="1:175" s="164" customFormat="1" x14ac:dyDescent="0.15"/>
    <row r="43" spans="1:175" s="164" customFormat="1" x14ac:dyDescent="0.15"/>
    <row r="44" spans="1:175" s="164" customFormat="1" x14ac:dyDescent="0.15"/>
    <row r="45" spans="1:175" s="164" customFormat="1" x14ac:dyDescent="0.15"/>
    <row r="46" spans="1:175" s="164" customFormat="1" x14ac:dyDescent="0.15"/>
    <row r="47" spans="1:175" s="164" customFormat="1" x14ac:dyDescent="0.15"/>
    <row r="48" spans="1:175" s="164" customFormat="1" x14ac:dyDescent="0.15"/>
    <row r="49" s="164" customFormat="1" x14ac:dyDescent="0.15"/>
    <row r="50" s="164" customFormat="1" x14ac:dyDescent="0.15"/>
    <row r="51" s="164" customFormat="1" x14ac:dyDescent="0.15"/>
    <row r="52" s="164" customFormat="1" x14ac:dyDescent="0.15"/>
    <row r="53" s="164" customFormat="1" x14ac:dyDescent="0.15"/>
    <row r="54" s="164" customFormat="1" x14ac:dyDescent="0.15"/>
    <row r="55" s="164" customFormat="1" x14ac:dyDescent="0.15"/>
    <row r="56" s="164" customFormat="1" x14ac:dyDescent="0.15"/>
    <row r="57" s="164" customFormat="1" x14ac:dyDescent="0.15"/>
    <row r="58" s="164" customFormat="1" x14ac:dyDescent="0.15"/>
    <row r="59" s="164" customFormat="1" x14ac:dyDescent="0.15"/>
    <row r="60" s="164" customFormat="1" x14ac:dyDescent="0.15"/>
    <row r="61" s="164" customFormat="1" x14ac:dyDescent="0.15"/>
    <row r="62" s="164" customFormat="1" x14ac:dyDescent="0.15"/>
    <row r="63" s="164" customFormat="1" x14ac:dyDescent="0.15"/>
    <row r="64" s="164" customFormat="1" x14ac:dyDescent="0.15"/>
    <row r="65" s="164" customFormat="1" x14ac:dyDescent="0.15"/>
    <row r="66" s="164" customFormat="1" x14ac:dyDescent="0.15"/>
    <row r="67" s="164" customFormat="1" x14ac:dyDescent="0.15"/>
    <row r="68" s="164" customFormat="1" x14ac:dyDescent="0.15"/>
    <row r="69" s="164" customFormat="1" x14ac:dyDescent="0.15"/>
    <row r="70" s="164" customFormat="1" x14ac:dyDescent="0.15"/>
    <row r="71" s="164" customFormat="1" x14ac:dyDescent="0.15"/>
    <row r="72" s="164" customFormat="1" x14ac:dyDescent="0.15"/>
    <row r="73" s="164" customFormat="1" x14ac:dyDescent="0.15"/>
    <row r="74" s="164" customFormat="1" x14ac:dyDescent="0.15"/>
    <row r="75" s="164" customFormat="1" x14ac:dyDescent="0.15"/>
    <row r="76" s="164" customFormat="1" x14ac:dyDescent="0.15"/>
    <row r="77" s="164" customFormat="1" x14ac:dyDescent="0.15"/>
    <row r="78" s="164" customFormat="1" x14ac:dyDescent="0.15"/>
    <row r="79" s="164" customFormat="1" x14ac:dyDescent="0.15"/>
    <row r="80" s="164" customFormat="1" x14ac:dyDescent="0.15"/>
    <row r="81" s="164" customFormat="1" x14ac:dyDescent="0.15"/>
    <row r="82" s="164" customFormat="1" x14ac:dyDescent="0.15"/>
    <row r="83" s="164" customFormat="1" x14ac:dyDescent="0.15"/>
    <row r="84" s="164" customFormat="1" x14ac:dyDescent="0.15"/>
    <row r="85" s="164" customFormat="1" x14ac:dyDescent="0.15"/>
    <row r="86" s="164" customFormat="1" x14ac:dyDescent="0.15"/>
    <row r="87" s="164" customFormat="1" x14ac:dyDescent="0.15"/>
    <row r="88" s="164" customFormat="1" x14ac:dyDescent="0.15"/>
    <row r="89" s="164" customFormat="1" x14ac:dyDescent="0.15"/>
    <row r="90" s="164" customFormat="1" x14ac:dyDescent="0.15"/>
    <row r="91" s="164" customFormat="1" x14ac:dyDescent="0.15"/>
    <row r="92" s="164" customFormat="1" x14ac:dyDescent="0.15"/>
    <row r="93" s="164" customFormat="1" x14ac:dyDescent="0.15"/>
    <row r="94" s="164" customFormat="1" x14ac:dyDescent="0.15"/>
    <row r="95" s="164" customFormat="1" x14ac:dyDescent="0.15"/>
    <row r="96" s="164" customFormat="1" x14ac:dyDescent="0.15"/>
    <row r="97" s="164" customFormat="1" x14ac:dyDescent="0.15"/>
    <row r="98" s="164" customFormat="1" x14ac:dyDescent="0.15"/>
    <row r="99" s="164" customFormat="1" x14ac:dyDescent="0.15"/>
    <row r="100" s="164" customFormat="1" x14ac:dyDescent="0.15"/>
    <row r="101" s="164" customFormat="1" x14ac:dyDescent="0.15"/>
    <row r="102" s="164" customFormat="1" x14ac:dyDescent="0.15"/>
    <row r="103" s="164" customFormat="1" x14ac:dyDescent="0.15"/>
    <row r="104" s="164" customFormat="1" x14ac:dyDescent="0.15"/>
    <row r="105" s="164" customFormat="1" x14ac:dyDescent="0.15"/>
    <row r="106" s="164" customFormat="1" x14ac:dyDescent="0.15"/>
    <row r="107" s="164" customFormat="1" x14ac:dyDescent="0.15"/>
    <row r="108" s="164" customFormat="1" x14ac:dyDescent="0.15"/>
    <row r="109" s="164" customFormat="1" x14ac:dyDescent="0.15"/>
    <row r="110" s="164" customFormat="1" x14ac:dyDescent="0.15"/>
    <row r="111" s="164" customFormat="1" x14ac:dyDescent="0.15"/>
    <row r="112" s="164" customFormat="1" x14ac:dyDescent="0.15"/>
    <row r="113" s="164" customFormat="1" x14ac:dyDescent="0.15"/>
    <row r="114" s="164" customFormat="1" x14ac:dyDescent="0.15"/>
    <row r="115" s="164" customFormat="1" x14ac:dyDescent="0.15"/>
    <row r="116" s="164" customFormat="1" x14ac:dyDescent="0.15"/>
    <row r="117" s="164" customFormat="1" x14ac:dyDescent="0.15"/>
    <row r="118" s="164" customFormat="1" x14ac:dyDescent="0.15"/>
    <row r="119" s="164" customFormat="1" x14ac:dyDescent="0.15"/>
    <row r="120" s="164" customFormat="1" x14ac:dyDescent="0.15"/>
    <row r="121" s="164" customFormat="1" x14ac:dyDescent="0.15"/>
    <row r="122" s="164" customFormat="1" x14ac:dyDescent="0.15"/>
    <row r="123" s="164" customFormat="1" x14ac:dyDescent="0.15"/>
    <row r="124" s="164" customFormat="1" x14ac:dyDescent="0.15"/>
    <row r="125" s="164" customFormat="1" x14ac:dyDescent="0.15"/>
    <row r="126" s="164" customFormat="1" x14ac:dyDescent="0.15"/>
    <row r="127" s="164" customFormat="1" x14ac:dyDescent="0.15"/>
    <row r="128" s="164" customFormat="1" x14ac:dyDescent="0.15"/>
    <row r="129" s="164" customFormat="1" x14ac:dyDescent="0.15"/>
    <row r="130" s="164" customFormat="1" x14ac:dyDescent="0.15"/>
    <row r="131" s="164" customFormat="1" x14ac:dyDescent="0.15"/>
    <row r="132" s="164" customFormat="1" x14ac:dyDescent="0.15"/>
    <row r="133" s="164" customFormat="1" x14ac:dyDescent="0.15"/>
    <row r="134" s="164" customFormat="1" x14ac:dyDescent="0.15"/>
    <row r="135" s="164" customFormat="1" x14ac:dyDescent="0.15"/>
    <row r="136" s="164" customFormat="1" x14ac:dyDescent="0.15"/>
    <row r="137" s="164" customFormat="1" x14ac:dyDescent="0.15"/>
    <row r="138" s="164" customFormat="1" x14ac:dyDescent="0.15"/>
    <row r="139" s="164" customFormat="1" x14ac:dyDescent="0.15"/>
    <row r="140" s="164" customFormat="1" x14ac:dyDescent="0.15"/>
    <row r="141" s="164" customFormat="1" x14ac:dyDescent="0.15"/>
    <row r="142" s="164" customFormat="1" x14ac:dyDescent="0.15"/>
    <row r="143" s="164" customFormat="1" x14ac:dyDescent="0.15"/>
    <row r="144" s="164" customFormat="1" x14ac:dyDescent="0.15"/>
    <row r="145" s="164" customFormat="1" x14ac:dyDescent="0.15"/>
    <row r="146" s="164" customFormat="1" x14ac:dyDescent="0.15"/>
    <row r="147" s="164" customFormat="1" x14ac:dyDescent="0.15"/>
    <row r="148" s="164" customFormat="1" x14ac:dyDescent="0.15"/>
    <row r="149" s="164" customFormat="1" x14ac:dyDescent="0.15"/>
    <row r="150" s="164" customFormat="1" x14ac:dyDescent="0.15"/>
    <row r="151" s="164" customFormat="1" x14ac:dyDescent="0.15"/>
    <row r="152" s="164" customFormat="1" x14ac:dyDescent="0.15"/>
    <row r="153" s="164" customFormat="1" x14ac:dyDescent="0.15"/>
    <row r="154" s="164" customFormat="1" x14ac:dyDescent="0.15"/>
    <row r="155" s="164" customFormat="1" x14ac:dyDescent="0.15"/>
    <row r="156" s="164" customFormat="1" x14ac:dyDescent="0.15"/>
    <row r="157" s="164" customFormat="1" x14ac:dyDescent="0.15"/>
    <row r="158" s="164" customFormat="1" x14ac:dyDescent="0.15"/>
    <row r="159" s="164" customFormat="1" x14ac:dyDescent="0.15"/>
    <row r="160" s="164" customFormat="1" x14ac:dyDescent="0.15"/>
    <row r="161" s="164" customFormat="1" x14ac:dyDescent="0.15"/>
    <row r="162" s="164" customFormat="1" x14ac:dyDescent="0.15"/>
    <row r="163" s="164" customFormat="1" x14ac:dyDescent="0.15"/>
    <row r="164" s="164" customFormat="1" x14ac:dyDescent="0.15"/>
    <row r="165" s="164" customFormat="1" x14ac:dyDescent="0.15"/>
    <row r="166" s="164" customFormat="1" x14ac:dyDescent="0.15"/>
    <row r="167" s="164" customFormat="1" x14ac:dyDescent="0.15"/>
    <row r="168" s="164" customFormat="1" x14ac:dyDescent="0.15"/>
    <row r="169" s="164" customFormat="1" x14ac:dyDescent="0.15"/>
    <row r="170" s="164" customFormat="1" x14ac:dyDescent="0.15"/>
    <row r="171" s="164" customFormat="1" x14ac:dyDescent="0.15"/>
    <row r="172" s="164" customFormat="1" x14ac:dyDescent="0.15"/>
    <row r="173" s="164" customFormat="1" x14ac:dyDescent="0.15"/>
    <row r="174" s="164" customFormat="1" x14ac:dyDescent="0.15"/>
    <row r="175" s="164" customFormat="1" x14ac:dyDescent="0.15"/>
    <row r="176" s="164" customFormat="1" x14ac:dyDescent="0.15"/>
    <row r="177" s="164" customFormat="1" x14ac:dyDescent="0.15"/>
    <row r="178" s="164" customFormat="1" x14ac:dyDescent="0.15"/>
    <row r="179" s="164" customFormat="1" x14ac:dyDescent="0.15"/>
    <row r="180" s="164" customFormat="1" x14ac:dyDescent="0.15"/>
    <row r="181" s="164" customFormat="1" x14ac:dyDescent="0.15"/>
    <row r="182" s="164" customFormat="1" x14ac:dyDescent="0.15"/>
    <row r="183" s="164" customFormat="1" x14ac:dyDescent="0.15"/>
    <row r="184" s="164" customFormat="1" x14ac:dyDescent="0.15"/>
    <row r="185" s="164" customFormat="1" x14ac:dyDescent="0.15"/>
    <row r="186" s="164" customFormat="1" x14ac:dyDescent="0.15"/>
    <row r="187" s="164" customFormat="1" x14ac:dyDescent="0.15"/>
    <row r="188" s="164" customFormat="1" x14ac:dyDescent="0.15"/>
    <row r="189" s="164" customFormat="1" x14ac:dyDescent="0.15"/>
    <row r="190" s="164" customFormat="1" x14ac:dyDescent="0.15"/>
    <row r="191" s="164" customFormat="1" x14ac:dyDescent="0.15"/>
    <row r="192" s="164" customFormat="1" x14ac:dyDescent="0.15"/>
    <row r="193" s="164" customFormat="1" x14ac:dyDescent="0.15"/>
    <row r="194" s="164" customFormat="1" x14ac:dyDescent="0.15"/>
  </sheetData>
  <sheetProtection algorithmName="SHA-512" hashValue="vco1PNTZ+HNfcGZzuDKu6gmof0XwAPNkSTb6V9gKLn+IP7+APp7RJ1HxpelZXLdWUAGzSxVkAojWywAK3v0ATw==" saltValue="gEVUDdCclBogndG37QEhSg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BI98"/>
  <sheetViews>
    <sheetView workbookViewId="0">
      <selection activeCell="A7" sqref="A7:M7"/>
    </sheetView>
  </sheetViews>
  <sheetFormatPr baseColWidth="10" defaultRowHeight="13" x14ac:dyDescent="0.15"/>
  <cols>
    <col min="1" max="1" width="13" style="24" customWidth="1"/>
    <col min="2" max="2" width="23.1640625" style="24" bestFit="1" customWidth="1"/>
    <col min="3" max="3" width="12.5" style="24" customWidth="1"/>
    <col min="4" max="11" width="12.1640625" style="24" customWidth="1"/>
    <col min="12" max="12" width="12.1640625" style="24" hidden="1" customWidth="1"/>
    <col min="13" max="13" width="12.1640625" style="24" customWidth="1"/>
    <col min="14" max="17" width="12.1640625" style="135" customWidth="1"/>
    <col min="18" max="19" width="10.6640625" style="135" customWidth="1"/>
    <col min="20" max="23" width="12.1640625" style="135" customWidth="1"/>
    <col min="24" max="61" width="10.83203125" style="135"/>
    <col min="62" max="16384" width="10.83203125" style="24"/>
  </cols>
  <sheetData>
    <row r="1" spans="1:61" ht="14" x14ac:dyDescent="0.15">
      <c r="A1" s="134" t="s">
        <v>191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</row>
    <row r="2" spans="1:61" ht="14" x14ac:dyDescent="0.15">
      <c r="A2" s="136" t="s">
        <v>198</v>
      </c>
      <c r="B2" s="136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</row>
    <row r="3" spans="1:61" ht="15" thickBot="1" x14ac:dyDescent="0.2">
      <c r="A3" s="134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</row>
    <row r="4" spans="1:61" ht="14" x14ac:dyDescent="0.15">
      <c r="A4" s="137" t="s">
        <v>199</v>
      </c>
      <c r="B4" s="138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40"/>
      <c r="N4" s="134"/>
      <c r="O4" s="134"/>
      <c r="P4" s="134"/>
      <c r="Q4" s="134"/>
      <c r="R4" s="134"/>
      <c r="S4" s="134"/>
      <c r="T4" s="134"/>
      <c r="U4" s="134"/>
      <c r="V4" s="134"/>
      <c r="W4" s="134"/>
    </row>
    <row r="5" spans="1:61" ht="14" x14ac:dyDescent="0.15">
      <c r="A5" s="141" t="s">
        <v>378</v>
      </c>
      <c r="B5" s="67"/>
      <c r="C5" s="155">
        <v>4000</v>
      </c>
      <c r="E5" s="67"/>
      <c r="F5" s="67"/>
      <c r="G5" s="67"/>
      <c r="H5" s="67"/>
      <c r="I5" s="67"/>
      <c r="J5" s="67"/>
      <c r="K5" s="67"/>
      <c r="L5" s="67"/>
      <c r="M5" s="142"/>
      <c r="N5" s="134"/>
      <c r="O5" s="134"/>
      <c r="P5" s="134"/>
      <c r="Q5" s="134"/>
      <c r="R5" s="134"/>
      <c r="S5" s="134"/>
      <c r="T5" s="134"/>
      <c r="U5" s="134"/>
      <c r="V5" s="134"/>
      <c r="W5" s="134"/>
    </row>
    <row r="6" spans="1:61" ht="14" x14ac:dyDescent="0.15">
      <c r="A6" s="141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142"/>
      <c r="N6" s="134"/>
      <c r="O6" s="134"/>
      <c r="P6" s="134"/>
      <c r="Q6" s="134"/>
      <c r="R6" s="134"/>
      <c r="S6" s="134"/>
      <c r="T6" s="134"/>
      <c r="U6" s="134"/>
      <c r="V6" s="134"/>
      <c r="W6" s="134"/>
    </row>
    <row r="7" spans="1:61" ht="30" x14ac:dyDescent="0.15">
      <c r="A7" s="224" t="s">
        <v>239</v>
      </c>
      <c r="B7" s="225" t="s">
        <v>200</v>
      </c>
      <c r="C7" s="225" t="s">
        <v>192</v>
      </c>
      <c r="D7" s="225" t="s">
        <v>196</v>
      </c>
      <c r="E7" s="225" t="s">
        <v>201</v>
      </c>
      <c r="F7" s="225" t="s">
        <v>202</v>
      </c>
      <c r="G7" s="225" t="s">
        <v>193</v>
      </c>
      <c r="H7" s="225" t="s">
        <v>194</v>
      </c>
      <c r="I7" s="225" t="s">
        <v>195</v>
      </c>
      <c r="J7" s="225" t="s">
        <v>203</v>
      </c>
      <c r="K7" s="225" t="s">
        <v>204</v>
      </c>
      <c r="L7" s="226" t="s">
        <v>197</v>
      </c>
      <c r="M7" s="227" t="s">
        <v>324</v>
      </c>
      <c r="N7" s="134"/>
      <c r="O7" s="134"/>
      <c r="P7" s="134"/>
      <c r="Q7" s="134"/>
      <c r="R7" s="134"/>
      <c r="S7" s="134"/>
      <c r="T7" s="134"/>
      <c r="U7" s="134"/>
      <c r="V7" s="134"/>
      <c r="W7" s="134"/>
    </row>
    <row r="8" spans="1:61" ht="23" customHeight="1" x14ac:dyDescent="0.15">
      <c r="A8" s="143" t="str">
        <f>'Tariffs 2016'!F2</f>
        <v>AGL</v>
      </c>
      <c r="B8" s="24" t="str">
        <f>'Tariffs 2016'!D2</f>
        <v>Jemena</v>
      </c>
      <c r="C8" s="144">
        <f>'Tariffs 2016'!E2</f>
        <v>41090</v>
      </c>
      <c r="D8" s="30">
        <f>60*'Tariffs 2016'!H2/100</f>
        <v>32.729999999999997</v>
      </c>
      <c r="E8" s="30">
        <f>IF($C$5&gt;='Tariffs 2016'!J2,('Tariffs 2016'!J2*'Tariffs 2016'!O2/100),($C$5*'Tariffs 2016'!O2/100))</f>
        <v>42.395999999999994</v>
      </c>
      <c r="F8" s="30">
        <f>IF($C$5&lt;'Tariffs 2016'!J2,0,IF(($C$5-'Tariffs 2016'!J2)&lt;='Tariffs 2016'!K2,(($C$5-'Tariffs 2016'!J2)*'Tariffs 2016'!P2/100),(('Tariffs 2016'!K2-'Tariffs 2016'!J2)*'Tariffs 2016'!P2/100)))</f>
        <v>28.26</v>
      </c>
      <c r="G8" s="30">
        <f>IF($C$5&lt;'Tariffs 2016'!K2,0,IF(($C$5-'Tariffs 2016'!K2)&lt;='Tariffs 2016'!L2,(($C$5-'Tariffs 2016'!K2)*'Tariffs 2016'!Q2/100),(('Tariffs 2016'!L2-'Tariffs 2016'!K2)*'Tariffs 2016'!Q2/100)))</f>
        <v>34.847999999999999</v>
      </c>
      <c r="H8" s="30">
        <f>IF($C$5&lt;'Tariffs 2016'!L2,0,IF(($C$5-'Tariffs 2016'!L2)&lt;='Tariffs 2016'!M2,(($C$5-'Tariffs 2016'!L2)*'Tariffs 2016'!R2/100),(('Tariffs 2016'!M2-'Tariffs 2016'!L2)*'Tariffs 2016'!R2/100)))</f>
        <v>0</v>
      </c>
      <c r="I8" s="30">
        <f>IF($C$5&lt;'Tariffs 2016'!M2,0,IF(($C$5-'Tariffs 2016'!M2)&lt;='Tariffs 2016'!N2,(($C$5-'Tariffs 2016'!M2)*'Tariffs 2016'!S2/100),(('Tariffs 2016'!N2-'Tariffs 2016'!M2)*'Tariffs 2016'!S2/100)))</f>
        <v>0</v>
      </c>
      <c r="J8" s="30">
        <f>IF(($C$5&lt;'Tariffs 2016'!N2),(0),($C$5-'Tariffs 2016'!N2)*'Tariffs 2016'!T2/100)</f>
        <v>0</v>
      </c>
      <c r="K8" s="30">
        <f>SUM(D8:J8)</f>
        <v>138.23399999999998</v>
      </c>
      <c r="L8" s="166">
        <f>K8*6</f>
        <v>829.40399999999988</v>
      </c>
      <c r="M8" s="145">
        <f>L8*1.1</f>
        <v>912.34439999999995</v>
      </c>
      <c r="N8" s="134"/>
      <c r="O8" s="134"/>
      <c r="P8" s="134"/>
      <c r="Q8" s="134"/>
      <c r="R8" s="134"/>
      <c r="S8" s="134"/>
      <c r="T8" s="134"/>
      <c r="U8" s="134"/>
      <c r="V8" s="134"/>
      <c r="W8" s="134"/>
    </row>
    <row r="9" spans="1:61" ht="23" customHeight="1" x14ac:dyDescent="0.15">
      <c r="A9" s="143" t="str">
        <f>'Tariffs 2016'!F3</f>
        <v>ActewAGL</v>
      </c>
      <c r="B9" s="24" t="str">
        <f>'Tariffs 2016'!D3</f>
        <v>ActewAGL Boorowa</v>
      </c>
      <c r="C9" s="144">
        <f>'Tariffs 2016'!E3</f>
        <v>41090</v>
      </c>
      <c r="D9" s="30">
        <f>60*'Tariffs 2016'!H3/100</f>
        <v>33.552</v>
      </c>
      <c r="E9" s="30">
        <f>IF($C$5&gt;='Tariffs 2016'!J3,('Tariffs 2016'!J3*'Tariffs 2016'!O3/100),($C$5*'Tariffs 2016'!O3/100))</f>
        <v>39.276000000000003</v>
      </c>
      <c r="F9" s="30">
        <f>IF($C$5&lt;'Tariffs 2016'!J3,0,IF(($C$5-'Tariffs 2016'!J3)&lt;='Tariffs 2016'!K3,(($C$5-'Tariffs 2016'!J3)*'Tariffs 2016'!P3/100),(('Tariffs 2016'!K3-'Tariffs 2016'!J3)*'Tariffs 2016'!P3/100)))</f>
        <v>28.140000000000004</v>
      </c>
      <c r="G9" s="30">
        <f>IF($C$5&lt;'Tariffs 2016'!K3,0,IF(($C$5-'Tariffs 2016'!K3)&lt;='Tariffs 2016'!L3,(($C$5-'Tariffs 2016'!K3)*'Tariffs 2016'!Q3/100),(('Tariffs 2016'!L3-'Tariffs 2016'!K3)*'Tariffs 2016'!Q3/100)))</f>
        <v>36.576000000000001</v>
      </c>
      <c r="H9" s="30">
        <f>IF($C$5&lt;'Tariffs 2016'!L3,0,IF(($C$5-'Tariffs 2016'!L3)&lt;='Tariffs 2016'!M3,(($C$5-'Tariffs 2016'!L3)*'Tariffs 2016'!R3/100),(('Tariffs 2016'!M3-'Tariffs 2016'!L3)*'Tariffs 2016'!R3/100)))</f>
        <v>0</v>
      </c>
      <c r="I9" s="30">
        <f>IF($C$5&lt;'Tariffs 2016'!M3,0,IF(($C$5-'Tariffs 2016'!M3)&lt;='Tariffs 2016'!N3,(($C$5-'Tariffs 2016'!M3)*'Tariffs 2016'!S3/100),(('Tariffs 2016'!N3-'Tariffs 2016'!M3)*'Tariffs 2016'!S3/100)))</f>
        <v>0</v>
      </c>
      <c r="J9" s="30">
        <f>IF(($C$5&lt;'Tariffs 2016'!N3),(0),($C$5-'Tariffs 2016'!N3)*'Tariffs 2016'!T3/100)</f>
        <v>0</v>
      </c>
      <c r="K9" s="30">
        <f t="shared" ref="K9:K24" si="0">SUM(D9:J9)</f>
        <v>137.54400000000001</v>
      </c>
      <c r="L9" s="166">
        <f t="shared" ref="L9:L24" si="1">K9*6</f>
        <v>825.26400000000012</v>
      </c>
      <c r="M9" s="145">
        <f t="shared" ref="M9:M24" si="2">L9*1.1</f>
        <v>907.7904000000002</v>
      </c>
      <c r="N9" s="134"/>
      <c r="O9" s="134"/>
      <c r="P9" s="134"/>
      <c r="Q9" s="134"/>
      <c r="R9" s="134"/>
      <c r="S9" s="134"/>
      <c r="T9" s="134"/>
      <c r="U9" s="134"/>
      <c r="V9" s="134"/>
      <c r="W9" s="134"/>
    </row>
    <row r="10" spans="1:61" ht="23" customHeight="1" x14ac:dyDescent="0.15">
      <c r="A10" s="143" t="str">
        <f>'Tariffs 2016'!F4</f>
        <v>ActewAGL</v>
      </c>
      <c r="B10" s="24" t="str">
        <f>'Tariffs 2016'!D4</f>
        <v xml:space="preserve">ActewAGL Queanbeyan </v>
      </c>
      <c r="C10" s="144">
        <f>'Tariffs 2016'!E4</f>
        <v>41090</v>
      </c>
      <c r="D10" s="30">
        <f>60*'Tariffs 2016'!H4/100</f>
        <v>38.052</v>
      </c>
      <c r="E10" s="30">
        <f>IF($C$5&gt;='Tariffs 2016'!J4,('Tariffs 2016'!J4*'Tariffs 2016'!O4/100),($C$5*'Tariffs 2016'!O4/100))</f>
        <v>61.625</v>
      </c>
      <c r="F10" s="30">
        <f>IF($C$5&lt;'Tariffs 2016'!J4,0,IF(($C$5-'Tariffs 2016'!J4)&lt;='Tariffs 2016'!K4,(($C$5-'Tariffs 2016'!J4)*'Tariffs 2016'!P4/100),(('Tariffs 2016'!K4-'Tariffs 2016'!J4)*'Tariffs 2016'!P4/100)))</f>
        <v>31.14</v>
      </c>
      <c r="G10" s="30">
        <f>IF($C$5&lt;'Tariffs 2016'!K4,0,IF(($C$5-'Tariffs 2016'!K4)&lt;='Tariffs 2016'!L4,(($C$5-'Tariffs 2016'!K4)*'Tariffs 2016'!Q4/100),(('Tariffs 2016'!L4-'Tariffs 2016'!K4)*'Tariffs 2016'!Q4/100)))</f>
        <v>0</v>
      </c>
      <c r="H10" s="30">
        <v>0</v>
      </c>
      <c r="I10" s="30">
        <v>0</v>
      </c>
      <c r="J10" s="30">
        <f>IF(($C$5&lt;'Tariffs 2016'!N4),(0),($C$5-'Tariffs 2016'!N4)*'Tariffs 2016'!R4/100)</f>
        <v>0</v>
      </c>
      <c r="K10" s="30">
        <f t="shared" ref="K10:K11" si="3">SUM(D10:J10)</f>
        <v>130.81700000000001</v>
      </c>
      <c r="L10" s="166">
        <f t="shared" ref="L10:L11" si="4">K10*6</f>
        <v>784.90200000000004</v>
      </c>
      <c r="M10" s="145">
        <f t="shared" ref="M10:M11" si="5">L10*1.1</f>
        <v>863.39220000000012</v>
      </c>
      <c r="N10" s="134"/>
      <c r="O10" s="134"/>
      <c r="P10" s="134"/>
      <c r="Q10" s="134"/>
      <c r="R10" s="134"/>
      <c r="S10" s="134"/>
      <c r="T10" s="134"/>
      <c r="U10" s="134"/>
      <c r="V10" s="134"/>
      <c r="W10" s="134"/>
    </row>
    <row r="11" spans="1:61" ht="23" customHeight="1" x14ac:dyDescent="0.15">
      <c r="A11" s="143" t="str">
        <f>'Tariffs 2016'!F5</f>
        <v>ActewAGL</v>
      </c>
      <c r="B11" s="24" t="str">
        <f>'Tariffs 2016'!D5</f>
        <v>ActewAGL Shoalhaven</v>
      </c>
      <c r="C11" s="144">
        <f>'Tariffs 2016'!E5</f>
        <v>41090</v>
      </c>
      <c r="D11" s="30">
        <f>60*'Tariffs 2016'!H5/100</f>
        <v>39.875999999999998</v>
      </c>
      <c r="E11" s="30">
        <f>C5*'Tariffs 2016'!O5/100</f>
        <v>95.96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f t="shared" si="3"/>
        <v>135.83599999999998</v>
      </c>
      <c r="L11" s="166">
        <f t="shared" si="4"/>
        <v>815.01599999999985</v>
      </c>
      <c r="M11" s="145">
        <f t="shared" si="5"/>
        <v>896.5175999999999</v>
      </c>
      <c r="N11" s="134"/>
      <c r="O11" s="134"/>
      <c r="P11" s="134"/>
      <c r="Q11" s="134"/>
      <c r="R11" s="134"/>
      <c r="S11" s="134"/>
      <c r="T11" s="134"/>
      <c r="U11" s="134"/>
      <c r="V11" s="134"/>
      <c r="W11" s="134"/>
    </row>
    <row r="12" spans="1:61" ht="23" customHeight="1" x14ac:dyDescent="0.15">
      <c r="A12" s="143" t="str">
        <f>'Tariffs 2016'!F6</f>
        <v>Origin Energy</v>
      </c>
      <c r="B12" s="24" t="str">
        <f>'Tariffs 2016'!D6</f>
        <v>Envestra Albury</v>
      </c>
      <c r="C12" s="144">
        <f>'Tariffs 2016'!E6</f>
        <v>41090</v>
      </c>
      <c r="D12" s="30">
        <f>60*'Tariffs 2016'!H6/100</f>
        <v>33.6</v>
      </c>
      <c r="E12" s="30">
        <f>IF($C$5&gt;='Tariffs 2016'!J6,('Tariffs 2016'!J6*'Tariffs 2016'!O6/100),($C$5*'Tariffs 2016'!O6/100))</f>
        <v>32.01</v>
      </c>
      <c r="F12" s="30">
        <f>IF($C$5&lt;'Tariffs 2016'!J6,0,IF(($C$5-'Tariffs 2016'!J6)&lt;='Tariffs 2016'!K6,(('Tariffs 2016'!K6-'Tariffs 2016'!J6)*'Tariffs 2016'!P6/100),(($C$5-'Tariffs 2016'!J6)*'Tariffs 2016'!P6/100)))</f>
        <v>23.055999999999997</v>
      </c>
      <c r="G12" s="30">
        <f>IF($C$5&lt;'Tariffs 2016'!K6,0,IF(($C$5-'Tariffs 2016'!K6)&lt;='Tariffs 2016'!L6,(($C$5-'Tariffs 2016'!K6)*'Tariffs 2016'!Q6/100),(('Tariffs 2016'!L6-'Tariffs 2016'!K6)*'Tariffs 2016'!Q6/100)))</f>
        <v>16.848000000000003</v>
      </c>
      <c r="H12" s="30">
        <f>IF($C$5&lt;'Tariffs 2016'!L6,0,IF(($C$5-'Tariffs 2016'!L6)&lt;='Tariffs 2016'!M6,(($C$5-'Tariffs 2016'!L6)*'Tariffs 2016'!R6/100),(('Tariffs 2016'!M6-'Tariffs 2016'!L6)*'Tariffs 2016'!R6/100)))</f>
        <v>0</v>
      </c>
      <c r="I12" s="30">
        <f>IF($C$5&lt;'Tariffs 2016'!M6,0,IF(($C$5-'Tariffs 2016'!M6)&lt;='Tariffs 2016'!N6,(($C$5-'Tariffs 2016'!M6)*'Tariffs 2016'!S6/100),(('Tariffs 2016'!N6-'Tariffs 2016'!M6)*'Tariffs 2016'!S6/100)))</f>
        <v>0</v>
      </c>
      <c r="J12" s="30">
        <f>IF(($C$5&lt;'Tariffs 2016'!N6),(0),($C$5-'Tariffs 2016'!N6)*'Tariffs 2016'!T6/100)</f>
        <v>0</v>
      </c>
      <c r="K12" s="30">
        <f t="shared" si="0"/>
        <v>105.514</v>
      </c>
      <c r="L12" s="166">
        <f t="shared" si="1"/>
        <v>633.08399999999995</v>
      </c>
      <c r="M12" s="145">
        <f t="shared" si="2"/>
        <v>696.39239999999995</v>
      </c>
      <c r="N12" s="134"/>
      <c r="O12" s="134"/>
      <c r="P12" s="134"/>
      <c r="Q12" s="134"/>
      <c r="R12" s="134"/>
      <c r="S12" s="134"/>
      <c r="T12" s="134"/>
      <c r="U12" s="134"/>
      <c r="V12" s="134"/>
      <c r="W12" s="134"/>
    </row>
    <row r="13" spans="1:61" s="40" customFormat="1" ht="14" x14ac:dyDescent="0.15">
      <c r="A13" s="146"/>
      <c r="C13" s="147"/>
      <c r="D13" s="148"/>
      <c r="E13" s="148"/>
      <c r="F13" s="148"/>
      <c r="G13" s="148"/>
      <c r="H13" s="148"/>
      <c r="I13" s="148"/>
      <c r="J13" s="148"/>
      <c r="K13" s="148"/>
      <c r="M13" s="149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</row>
    <row r="14" spans="1:61" ht="23" customHeight="1" x14ac:dyDescent="0.15">
      <c r="A14" s="143" t="str">
        <f>'Tariffs 2016'!F7</f>
        <v>Origin Energy</v>
      </c>
      <c r="B14" s="24" t="str">
        <f>'Tariffs 2016'!D7</f>
        <v>Envestra Murray Valley</v>
      </c>
      <c r="C14" s="144">
        <f>'Tariffs 2016'!E7</f>
        <v>41090</v>
      </c>
      <c r="D14" s="30">
        <f>60*'Tariffs 2016'!H7/100</f>
        <v>38.4</v>
      </c>
      <c r="E14" s="30">
        <f>IF($C$5&gt;='Tariffs 2016'!J7,('Tariffs 2016'!J7*'Tariffs 2016'!O7/100),($C$5*'Tariffs 2016'!O7/100))</f>
        <v>49.005000000000003</v>
      </c>
      <c r="F14" s="30">
        <f>IF($C$5&lt;'Tariffs 2016'!J7,0,IF(($C$5-'Tariffs 2016'!J7)&lt;='Tariffs 2016'!K7,(('Tariffs 2016'!K7-'Tariffs 2016'!J7)*'Tariffs 2016'!P7/100),(($C$5-'Tariffs 2016'!J7)*'Tariffs 2016'!P7/100)))</f>
        <v>36.417999999999999</v>
      </c>
      <c r="G14" s="30">
        <f>IF($C$5&lt;'Tariffs 2016'!K7,0,IF(($C$5-'Tariffs 2016'!K7)&lt;='Tariffs 2016'!L7,(($C$5-'Tariffs 2016'!K7)*'Tariffs 2016'!Q7/100),(('Tariffs 2016'!L7-'Tariffs 2016'!K7)*'Tariffs 2016'!Q7/100)))</f>
        <v>22.776</v>
      </c>
      <c r="H14" s="30">
        <f>IF($C$5&lt;'Tariffs 2016'!L7,0,IF(($C$5-'Tariffs 2016'!L7)&lt;='Tariffs 2016'!M7,(($C$5-'Tariffs 2016'!L7)*'Tariffs 2016'!R7/100),(('Tariffs 2016'!M7-'Tariffs 2016'!L7)*'Tariffs 2016'!R7/100)))</f>
        <v>0</v>
      </c>
      <c r="I14" s="30">
        <f>IF($C$5&lt;'Tariffs 2016'!M7,0,IF(($C$5-'Tariffs 2016'!M7)&lt;='Tariffs 2016'!N7,(($C$5-'Tariffs 2016'!M7)*'Tariffs 2016'!S7/100),(('Tariffs 2016'!N7-'Tariffs 2016'!M7)*'Tariffs 2016'!S7/100)))</f>
        <v>0</v>
      </c>
      <c r="J14" s="30">
        <f>IF(($C$5&lt;'Tariffs 2016'!N7),(0),($C$5-'Tariffs 2016'!N7)*'Tariffs 2016'!T7/100)</f>
        <v>0</v>
      </c>
      <c r="K14" s="30">
        <f t="shared" si="0"/>
        <v>146.59900000000002</v>
      </c>
      <c r="L14" s="24">
        <f t="shared" si="1"/>
        <v>879.59400000000005</v>
      </c>
      <c r="M14" s="145">
        <f t="shared" si="2"/>
        <v>967.55340000000012</v>
      </c>
      <c r="N14" s="134"/>
      <c r="O14" s="134"/>
      <c r="P14" s="134"/>
      <c r="Q14" s="134"/>
      <c r="R14" s="134"/>
      <c r="S14" s="134"/>
      <c r="T14" s="134"/>
      <c r="U14" s="134"/>
      <c r="V14" s="134"/>
      <c r="W14" s="134"/>
    </row>
    <row r="15" spans="1:61" s="40" customFormat="1" ht="14" x14ac:dyDescent="0.15">
      <c r="A15" s="146"/>
      <c r="C15" s="147"/>
      <c r="D15" s="148"/>
      <c r="E15" s="148"/>
      <c r="F15" s="148"/>
      <c r="G15" s="148"/>
      <c r="H15" s="148"/>
      <c r="I15" s="148"/>
      <c r="J15" s="148"/>
      <c r="K15" s="148"/>
      <c r="M15" s="149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</row>
    <row r="16" spans="1:61" ht="23" customHeight="1" x14ac:dyDescent="0.15">
      <c r="A16" s="143" t="str">
        <f>'Tariffs 2016'!F8</f>
        <v>Origin Energy</v>
      </c>
      <c r="B16" s="24" t="str">
        <f>'Tariffs 2016'!D8</f>
        <v>Envestra Cooma</v>
      </c>
      <c r="C16" s="144">
        <f>'Tariffs 2016'!E8</f>
        <v>41090</v>
      </c>
      <c r="D16" s="30">
        <f>60*'Tariffs 2016'!H8/100</f>
        <v>43.2</v>
      </c>
      <c r="E16" s="30">
        <f>$C$5*'Tariffs 2016'!O8/100</f>
        <v>100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f t="shared" si="0"/>
        <v>143.19999999999999</v>
      </c>
      <c r="L16" s="24">
        <f t="shared" si="1"/>
        <v>859.19999999999993</v>
      </c>
      <c r="M16" s="145">
        <f t="shared" si="2"/>
        <v>945.12</v>
      </c>
      <c r="N16" s="134"/>
      <c r="O16" s="134"/>
      <c r="P16" s="134"/>
      <c r="Q16" s="134"/>
      <c r="R16" s="134"/>
      <c r="S16" s="134"/>
      <c r="T16" s="134"/>
      <c r="U16" s="134"/>
      <c r="V16" s="134"/>
      <c r="W16" s="134"/>
    </row>
    <row r="17" spans="1:61" s="40" customFormat="1" ht="14" x14ac:dyDescent="0.15">
      <c r="A17" s="146"/>
      <c r="C17" s="147"/>
      <c r="D17" s="148"/>
      <c r="E17" s="148"/>
      <c r="F17" s="148"/>
      <c r="G17" s="148"/>
      <c r="H17" s="148"/>
      <c r="I17" s="148"/>
      <c r="J17" s="148"/>
      <c r="K17" s="148"/>
      <c r="M17" s="149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</row>
    <row r="18" spans="1:61" ht="23" customHeight="1" x14ac:dyDescent="0.15">
      <c r="A18" s="143" t="str">
        <f>'Tariffs 2016'!F9</f>
        <v>Origin Energy</v>
      </c>
      <c r="B18" s="24" t="str">
        <f>'Tariffs 2016'!D9</f>
        <v>Envestra Temora</v>
      </c>
      <c r="C18" s="144">
        <f>'Tariffs 2016'!E9</f>
        <v>41090</v>
      </c>
      <c r="D18" s="30">
        <f>60*'Tariffs 2016'!H9/100</f>
        <v>46.2</v>
      </c>
      <c r="E18" s="30">
        <f>$C$5*'Tariffs 2016'!O9/100</f>
        <v>101.2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f t="shared" si="0"/>
        <v>147.4</v>
      </c>
      <c r="L18" s="24">
        <f t="shared" si="1"/>
        <v>884.40000000000009</v>
      </c>
      <c r="M18" s="145">
        <f t="shared" si="2"/>
        <v>972.84000000000015</v>
      </c>
      <c r="N18" s="134"/>
      <c r="O18" s="134"/>
      <c r="P18" s="134"/>
      <c r="Q18" s="134"/>
      <c r="R18" s="134"/>
      <c r="S18" s="134"/>
      <c r="T18" s="134"/>
      <c r="U18" s="134"/>
      <c r="V18" s="134"/>
      <c r="W18" s="134"/>
    </row>
    <row r="19" spans="1:61" s="40" customFormat="1" ht="14" x14ac:dyDescent="0.15">
      <c r="A19" s="146"/>
      <c r="C19" s="147"/>
      <c r="D19" s="148"/>
      <c r="E19" s="148"/>
      <c r="F19" s="148"/>
      <c r="G19" s="148"/>
      <c r="H19" s="148"/>
      <c r="I19" s="148"/>
      <c r="J19" s="148"/>
      <c r="K19" s="148"/>
      <c r="M19" s="149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</row>
    <row r="20" spans="1:61" ht="23" customHeight="1" x14ac:dyDescent="0.15">
      <c r="A20" s="143" t="str">
        <f>'Tariffs 2016'!F10</f>
        <v>Origin Energy</v>
      </c>
      <c r="B20" s="24" t="str">
        <f>'Tariffs 2016'!D10</f>
        <v>Envestra Tumut</v>
      </c>
      <c r="C20" s="144">
        <f>'Tariffs 2016'!E10</f>
        <v>41090</v>
      </c>
      <c r="D20" s="30">
        <f>60*'Tariffs 2016'!H10/100</f>
        <v>49.2</v>
      </c>
      <c r="E20" s="30">
        <f>$C$5*'Tariffs 2016'!O10/100</f>
        <v>104.4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f t="shared" si="0"/>
        <v>153.60000000000002</v>
      </c>
      <c r="L20" s="24">
        <f t="shared" si="1"/>
        <v>921.60000000000014</v>
      </c>
      <c r="M20" s="145">
        <f t="shared" si="2"/>
        <v>1013.7600000000002</v>
      </c>
      <c r="N20" s="134"/>
      <c r="O20" s="134"/>
      <c r="P20" s="134"/>
      <c r="Q20" s="134"/>
      <c r="R20" s="134"/>
      <c r="S20" s="134"/>
      <c r="T20" s="134"/>
      <c r="U20" s="134"/>
      <c r="V20" s="134"/>
      <c r="W20" s="134"/>
    </row>
    <row r="21" spans="1:61" s="40" customFormat="1" ht="14" x14ac:dyDescent="0.15">
      <c r="A21" s="146"/>
      <c r="C21" s="147"/>
      <c r="D21" s="148"/>
      <c r="E21" s="148"/>
      <c r="F21" s="148"/>
      <c r="G21" s="148"/>
      <c r="H21" s="148"/>
      <c r="I21" s="148"/>
      <c r="J21" s="148"/>
      <c r="K21" s="148"/>
      <c r="M21" s="149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</row>
    <row r="22" spans="1:61" ht="23" customHeight="1" x14ac:dyDescent="0.15">
      <c r="A22" s="143" t="str">
        <f>'Tariffs 2016'!F11</f>
        <v>Origin Energy</v>
      </c>
      <c r="B22" s="24" t="str">
        <f>'Tariffs 2016'!D11</f>
        <v>Envestra Wagga Wagga</v>
      </c>
      <c r="C22" s="144">
        <f>'Tariffs 2016'!E11</f>
        <v>41090</v>
      </c>
      <c r="D22" s="30">
        <f>60*'Tariffs 2016'!H11/100</f>
        <v>52.2</v>
      </c>
      <c r="E22" s="30">
        <f>$C$5*'Tariffs 2016'!O11/100</f>
        <v>83.2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f t="shared" si="0"/>
        <v>135.4</v>
      </c>
      <c r="L22" s="24">
        <f t="shared" si="1"/>
        <v>812.40000000000009</v>
      </c>
      <c r="M22" s="145">
        <f t="shared" si="2"/>
        <v>893.64000000000021</v>
      </c>
      <c r="N22" s="134"/>
      <c r="O22" s="134"/>
      <c r="P22" s="134"/>
      <c r="Q22" s="134"/>
      <c r="R22" s="134"/>
      <c r="S22" s="134"/>
      <c r="T22" s="134"/>
      <c r="U22" s="134"/>
      <c r="V22" s="134"/>
      <c r="W22" s="134"/>
    </row>
    <row r="23" spans="1:61" s="40" customFormat="1" ht="14" x14ac:dyDescent="0.15">
      <c r="A23" s="146"/>
      <c r="C23" s="147"/>
      <c r="D23" s="148"/>
      <c r="E23" s="148"/>
      <c r="F23" s="148"/>
      <c r="G23" s="148"/>
      <c r="H23" s="148"/>
      <c r="I23" s="148"/>
      <c r="J23" s="148"/>
      <c r="K23" s="148"/>
      <c r="M23" s="149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</row>
    <row r="24" spans="1:61" ht="23" customHeight="1" thickBot="1" x14ac:dyDescent="0.2">
      <c r="A24" s="150" t="str">
        <f>'Tariffs 2016'!F12</f>
        <v>Origin Energy</v>
      </c>
      <c r="B24" s="151" t="str">
        <f>'Tariffs 2016'!D12</f>
        <v>Central Ranges Tamworth</v>
      </c>
      <c r="C24" s="152">
        <f>'Tariffs 2016'!E12</f>
        <v>41090</v>
      </c>
      <c r="D24" s="153">
        <f>60*'Tariffs 2016'!H12/100</f>
        <v>39.6</v>
      </c>
      <c r="E24" s="153">
        <f>$C$5*'Tariffs 2016'!O12/100</f>
        <v>152.4</v>
      </c>
      <c r="F24" s="153">
        <v>0</v>
      </c>
      <c r="G24" s="153">
        <v>0</v>
      </c>
      <c r="H24" s="153">
        <v>0</v>
      </c>
      <c r="I24" s="153">
        <v>0</v>
      </c>
      <c r="J24" s="153">
        <v>0</v>
      </c>
      <c r="K24" s="153">
        <f t="shared" si="0"/>
        <v>192</v>
      </c>
      <c r="L24" s="151">
        <f t="shared" si="1"/>
        <v>1152</v>
      </c>
      <c r="M24" s="154">
        <f t="shared" si="2"/>
        <v>1267.2</v>
      </c>
      <c r="N24" s="134"/>
      <c r="O24" s="134"/>
      <c r="P24" s="134"/>
      <c r="Q24" s="134"/>
      <c r="R24" s="134"/>
      <c r="S24" s="134"/>
      <c r="T24" s="134"/>
      <c r="U24" s="134"/>
      <c r="V24" s="134"/>
      <c r="W24" s="134"/>
    </row>
    <row r="25" spans="1:61" s="135" customFormat="1" ht="14" x14ac:dyDescent="0.15">
      <c r="N25" s="134"/>
      <c r="O25" s="134"/>
      <c r="P25" s="134"/>
      <c r="Q25" s="134"/>
      <c r="R25" s="134"/>
      <c r="S25" s="134"/>
      <c r="T25" s="134"/>
      <c r="U25" s="134"/>
      <c r="V25" s="134"/>
      <c r="W25" s="134"/>
    </row>
    <row r="26" spans="1:61" s="135" customFormat="1" x14ac:dyDescent="0.15"/>
    <row r="27" spans="1:61" s="135" customFormat="1" x14ac:dyDescent="0.15"/>
    <row r="28" spans="1:61" s="135" customFormat="1" x14ac:dyDescent="0.15"/>
    <row r="29" spans="1:61" s="135" customFormat="1" x14ac:dyDescent="0.15"/>
    <row r="30" spans="1:61" s="135" customFormat="1" x14ac:dyDescent="0.15"/>
    <row r="31" spans="1:61" s="135" customFormat="1" x14ac:dyDescent="0.15"/>
    <row r="32" spans="1:61" s="135" customFormat="1" x14ac:dyDescent="0.15"/>
    <row r="33" s="135" customFormat="1" x14ac:dyDescent="0.15"/>
    <row r="34" s="135" customFormat="1" x14ac:dyDescent="0.15"/>
    <row r="35" s="135" customFormat="1" x14ac:dyDescent="0.15"/>
    <row r="36" s="135" customFormat="1" x14ac:dyDescent="0.15"/>
    <row r="37" s="135" customFormat="1" x14ac:dyDescent="0.15"/>
    <row r="38" s="135" customFormat="1" x14ac:dyDescent="0.15"/>
    <row r="39" s="135" customFormat="1" x14ac:dyDescent="0.15"/>
    <row r="40" s="135" customFormat="1" x14ac:dyDescent="0.15"/>
    <row r="41" s="135" customFormat="1" x14ac:dyDescent="0.15"/>
    <row r="42" s="135" customFormat="1" x14ac:dyDescent="0.15"/>
    <row r="43" s="135" customFormat="1" x14ac:dyDescent="0.15"/>
    <row r="44" s="135" customFormat="1" x14ac:dyDescent="0.15"/>
    <row r="45" s="135" customFormat="1" x14ac:dyDescent="0.15"/>
    <row r="46" s="135" customFormat="1" x14ac:dyDescent="0.15"/>
    <row r="47" s="135" customFormat="1" x14ac:dyDescent="0.15"/>
    <row r="48" s="135" customFormat="1" x14ac:dyDescent="0.15"/>
    <row r="49" s="135" customFormat="1" x14ac:dyDescent="0.15"/>
    <row r="50" s="135" customFormat="1" x14ac:dyDescent="0.15"/>
    <row r="51" s="135" customFormat="1" x14ac:dyDescent="0.15"/>
    <row r="52" s="135" customFormat="1" x14ac:dyDescent="0.15"/>
    <row r="53" s="135" customFormat="1" x14ac:dyDescent="0.15"/>
    <row r="54" s="135" customFormat="1" x14ac:dyDescent="0.15"/>
    <row r="55" s="135" customFormat="1" x14ac:dyDescent="0.15"/>
    <row r="56" s="135" customFormat="1" x14ac:dyDescent="0.15"/>
    <row r="57" s="135" customFormat="1" x14ac:dyDescent="0.15"/>
    <row r="58" s="135" customFormat="1" x14ac:dyDescent="0.15"/>
    <row r="59" s="135" customFormat="1" x14ac:dyDescent="0.15"/>
    <row r="60" s="135" customFormat="1" x14ac:dyDescent="0.15"/>
    <row r="61" s="135" customFormat="1" x14ac:dyDescent="0.15"/>
    <row r="62" s="135" customFormat="1" x14ac:dyDescent="0.15"/>
    <row r="63" s="135" customFormat="1" x14ac:dyDescent="0.15"/>
    <row r="64" s="135" customFormat="1" x14ac:dyDescent="0.15"/>
    <row r="65" s="135" customFormat="1" x14ac:dyDescent="0.15"/>
    <row r="66" s="135" customFormat="1" x14ac:dyDescent="0.15"/>
    <row r="67" s="135" customFormat="1" x14ac:dyDescent="0.15"/>
    <row r="68" s="135" customFormat="1" x14ac:dyDescent="0.15"/>
    <row r="69" s="135" customFormat="1" x14ac:dyDescent="0.15"/>
    <row r="70" s="135" customFormat="1" x14ac:dyDescent="0.15"/>
    <row r="71" s="135" customFormat="1" x14ac:dyDescent="0.15"/>
    <row r="72" s="135" customFormat="1" x14ac:dyDescent="0.15"/>
    <row r="73" s="135" customFormat="1" x14ac:dyDescent="0.15"/>
    <row r="74" s="135" customFormat="1" x14ac:dyDescent="0.15"/>
    <row r="75" s="135" customFormat="1" x14ac:dyDescent="0.15"/>
    <row r="76" s="135" customFormat="1" x14ac:dyDescent="0.15"/>
    <row r="77" s="135" customFormat="1" x14ac:dyDescent="0.15"/>
    <row r="78" s="135" customFormat="1" x14ac:dyDescent="0.15"/>
    <row r="79" s="135" customFormat="1" x14ac:dyDescent="0.15"/>
    <row r="80" s="135" customFormat="1" x14ac:dyDescent="0.15"/>
    <row r="81" s="135" customFormat="1" x14ac:dyDescent="0.15"/>
    <row r="82" s="135" customFormat="1" x14ac:dyDescent="0.15"/>
    <row r="83" s="135" customFormat="1" x14ac:dyDescent="0.15"/>
    <row r="84" s="135" customFormat="1" x14ac:dyDescent="0.15"/>
    <row r="85" s="135" customFormat="1" x14ac:dyDescent="0.15"/>
    <row r="86" s="135" customFormat="1" x14ac:dyDescent="0.15"/>
    <row r="87" s="135" customFormat="1" x14ac:dyDescent="0.15"/>
    <row r="88" s="135" customFormat="1" x14ac:dyDescent="0.15"/>
    <row r="89" s="135" customFormat="1" x14ac:dyDescent="0.15"/>
    <row r="90" s="135" customFormat="1" x14ac:dyDescent="0.15"/>
    <row r="91" s="135" customFormat="1" x14ac:dyDescent="0.15"/>
    <row r="92" s="135" customFormat="1" x14ac:dyDescent="0.15"/>
    <row r="93" s="135" customFormat="1" x14ac:dyDescent="0.15"/>
    <row r="94" s="135" customFormat="1" x14ac:dyDescent="0.15"/>
    <row r="95" s="135" customFormat="1" x14ac:dyDescent="0.15"/>
    <row r="96" s="135" customFormat="1" x14ac:dyDescent="0.15"/>
    <row r="97" s="135" customFormat="1" x14ac:dyDescent="0.15"/>
    <row r="98" s="135" customFormat="1" x14ac:dyDescent="0.15"/>
  </sheetData>
  <sheetProtection algorithmName="SHA-512" hashValue="WTDtu0/S7bea9BwSaCj+IsLsQ+DpwGPLWG1RPPxIAeqtHqL47tjVeArwUcU6euAn4nGaZ3sL7mayGfCwAAEEEQ==" saltValue="gWYUhb37opt+8Hvxy5gTnQ==" spinCount="100000" sheet="1" objects="1" scenarios="1"/>
  <phoneticPr fontId="6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051FCF-7B77-4954-A22D-16A818CD7FE9}"/>
</file>

<file path=customXml/itemProps2.xml><?xml version="1.0" encoding="utf-8"?>
<ds:datastoreItem xmlns:ds="http://schemas.openxmlformats.org/officeDocument/2006/customXml" ds:itemID="{A97814C2-D33D-42AA-AFF3-BEB78D00D5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Summary</vt:lpstr>
      <vt:lpstr>Bills Jul'23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Jul'12</vt:lpstr>
      <vt:lpstr>Bills Jul'11</vt:lpstr>
      <vt:lpstr>Bills Jul'10</vt:lpstr>
      <vt:lpstr>Bills Jul'09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Jul'15 AGL</vt:lpstr>
      <vt:lpstr>Jul'15 Country</vt:lpstr>
      <vt:lpstr>Jul'15 Actew</vt:lpstr>
      <vt:lpstr>Jul'15 Origin</vt:lpstr>
      <vt:lpstr>Jul'14 AGL</vt:lpstr>
      <vt:lpstr>Jul'14 Country</vt:lpstr>
      <vt:lpstr>Jul'14 Actew</vt:lpstr>
      <vt:lpstr>Jul'14 Origin</vt:lpstr>
      <vt:lpstr>Jul'13 AGL</vt:lpstr>
      <vt:lpstr>Jul'13 Country</vt:lpstr>
      <vt:lpstr>Jul'13 Actew</vt:lpstr>
      <vt:lpstr>Jul'13 Origin</vt:lpstr>
      <vt:lpstr>Jul'12 AGL</vt:lpstr>
      <vt:lpstr>Jul'12 Country</vt:lpstr>
      <vt:lpstr>Jul'12 Actew</vt:lpstr>
      <vt:lpstr>Jul'12 Origin</vt:lpstr>
      <vt:lpstr>Jul'11 AGL</vt:lpstr>
      <vt:lpstr>Jul'11 Country</vt:lpstr>
      <vt:lpstr>Jul'11 Actew</vt:lpstr>
      <vt:lpstr>Jul'11 Origin</vt:lpstr>
      <vt:lpstr>Jul'10 AGL</vt:lpstr>
      <vt:lpstr>Jul'10 Country</vt:lpstr>
      <vt:lpstr>Jul'10 Actew</vt:lpstr>
      <vt:lpstr>Jul'10 Origin</vt:lpstr>
      <vt:lpstr>Jul'09 AGL</vt:lpstr>
      <vt:lpstr>Jul'09 Country</vt:lpstr>
      <vt:lpstr>Jul'09 Actew</vt:lpstr>
      <vt:lpstr>Jul'09 Origin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May Mauseth</cp:lastModifiedBy>
  <dcterms:created xsi:type="dcterms:W3CDTF">2011-03-24T03:08:12Z</dcterms:created>
  <dcterms:modified xsi:type="dcterms:W3CDTF">2023-09-04T02:10:15Z</dcterms:modified>
</cp:coreProperties>
</file>