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3.xml" ContentType="application/vnd.openxmlformats-officedocument.spreadsheetml.comments+xml"/>
  <Override PartName="/xl/comments32.xml" ContentType="application/vnd.openxmlformats-officedocument.spreadsheetml.comments+xml"/>
  <Override PartName="/xl/comments31.xml" ContentType="application/vnd.openxmlformats-officedocument.spreadsheetml.comments+xml"/>
  <Override PartName="/xl/comments30.xml" ContentType="application/vnd.openxmlformats-officedocument.spreadsheetml.comments+xml"/>
  <Override PartName="/xl/comments29.xml" ContentType="application/vnd.openxmlformats-officedocument.spreadsheetml.comments+xml"/>
  <Override PartName="/xl/comments28.xml" ContentType="application/vnd.openxmlformats-officedocument.spreadsheetml.comments+xml"/>
  <Override PartName="/xl/comments27.xml" ContentType="application/vnd.openxmlformats-officedocument.spreadsheetml.comments+xml"/>
  <Override PartName="/xl/comments26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QLD/QLD Workbooks/Locked WB/"/>
    </mc:Choice>
  </mc:AlternateContent>
  <xr:revisionPtr revIDLastSave="0" documentId="13_ncr:1_{5800B7C6-7600-C947-B2E2-A307DDCB0EBC}" xr6:coauthVersionLast="47" xr6:coauthVersionMax="47" xr10:uidLastSave="{00000000-0000-0000-0000-000000000000}"/>
  <workbookProtection workbookAlgorithmName="SHA-512" workbookHashValue="u1RHOVx1Z7INSc+S2xElx7uDyX03VUbonAk2ZGyjCltMaDUFtKN7v3Tk09h8N/4hSWWY866rWzIC5fP2TliH3A==" workbookSaltValue="5/w64gn+VVMH15vvWsf/MA==" workbookSpinCount="100000" lockStructure="1"/>
  <bookViews>
    <workbookView xWindow="6740" yWindow="880" windowWidth="36000" windowHeight="21120" tabRatio="500" activeTab="1" xr2:uid="{00000000-000D-0000-FFFF-FFFF00000000}"/>
  </bookViews>
  <sheets>
    <sheet name="Summary" sheetId="1" r:id="rId1"/>
    <sheet name="Bills Jul'23" sheetId="39" r:id="rId2"/>
    <sheet name="Bills Jul'22" sheetId="37" r:id="rId3"/>
    <sheet name="Bills Jul'21" sheetId="35" r:id="rId4"/>
    <sheet name="Bills Jul'20" sheetId="33" r:id="rId5"/>
    <sheet name="Bills Jul'19" sheetId="31" r:id="rId6"/>
    <sheet name="Bills Jul'18" sheetId="29" r:id="rId7"/>
    <sheet name="Bills Jul'17" sheetId="26" r:id="rId8"/>
    <sheet name="Bills Jul'16" sheetId="25" r:id="rId9"/>
    <sheet name="Bills Jul'15" sheetId="20" r:id="rId10"/>
    <sheet name="Bills Jul'14" sheetId="17" r:id="rId11"/>
    <sheet name="Bills Jul'13" sheetId="14" r:id="rId12"/>
    <sheet name="Bills Jul'12" sheetId="2" r:id="rId13"/>
    <sheet name="Bills Jul'11" sheetId="3" r:id="rId14"/>
    <sheet name="Bills Jul'10" sheetId="4" r:id="rId15"/>
    <sheet name="Bills Jul'09" sheetId="5" r:id="rId16"/>
    <sheet name="Tariffs 2023" sheetId="38" state="hidden" r:id="rId17"/>
    <sheet name="Tariffs 2022" sheetId="36" state="hidden" r:id="rId18"/>
    <sheet name="Tariffs 2021" sheetId="34" state="hidden" r:id="rId19"/>
    <sheet name="Tariffs 2020" sheetId="32" state="hidden" r:id="rId20"/>
    <sheet name="Tariffs 2019" sheetId="30" state="hidden" r:id="rId21"/>
    <sheet name="Tariffs 2018" sheetId="28" state="hidden" r:id="rId22"/>
    <sheet name="Tariffs 2017" sheetId="27" state="hidden" r:id="rId23"/>
    <sheet name="Tariffs 2016" sheetId="23" state="hidden" r:id="rId24"/>
    <sheet name="APT Jul'15" sheetId="21" state="hidden" r:id="rId25"/>
    <sheet name="Envestra Jul'15" sheetId="22" state="hidden" r:id="rId26"/>
    <sheet name="APT Jul'14" sheetId="18" state="hidden" r:id="rId27"/>
    <sheet name="Envestra Jul'14" sheetId="19" state="hidden" r:id="rId28"/>
    <sheet name="APT Jul'13" sheetId="15" state="hidden" r:id="rId29"/>
    <sheet name="Envestra Jul'13" sheetId="16" state="hidden" r:id="rId30"/>
    <sheet name="APT Jul'12" sheetId="6" state="hidden" r:id="rId31"/>
    <sheet name="Envestra Jul'12" sheetId="7" state="hidden" r:id="rId32"/>
    <sheet name="APT Jul'11" sheetId="8" state="hidden" r:id="rId33"/>
    <sheet name="Envestra Jul'11" sheetId="9" state="hidden" r:id="rId34"/>
    <sheet name="APT Jul'10" sheetId="10" state="hidden" r:id="rId35"/>
    <sheet name="Envestra Jul'10" sheetId="11" state="hidden" r:id="rId36"/>
    <sheet name="APT Jul'09" sheetId="12" state="hidden" r:id="rId37"/>
    <sheet name="Envestra Jul'09" sheetId="13" state="hidden" r:id="rId38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4" i="39" l="1"/>
  <c r="D34" i="39"/>
  <c r="C34" i="39"/>
  <c r="B34" i="39"/>
  <c r="A34" i="39"/>
  <c r="F29" i="39"/>
  <c r="E29" i="39"/>
  <c r="D29" i="39"/>
  <c r="C29" i="39"/>
  <c r="B29" i="39"/>
  <c r="A29" i="39"/>
  <c r="F24" i="39"/>
  <c r="E24" i="39"/>
  <c r="D24" i="39"/>
  <c r="C24" i="39"/>
  <c r="B24" i="39"/>
  <c r="A24" i="39"/>
  <c r="F23" i="39"/>
  <c r="D23" i="39"/>
  <c r="C23" i="39"/>
  <c r="B23" i="39"/>
  <c r="A23" i="39"/>
  <c r="F22" i="39"/>
  <c r="E22" i="39"/>
  <c r="D22" i="39"/>
  <c r="C22" i="39"/>
  <c r="B22" i="39"/>
  <c r="A22" i="39"/>
  <c r="F21" i="39"/>
  <c r="E21" i="39"/>
  <c r="D21" i="39"/>
  <c r="C21" i="39"/>
  <c r="B21" i="39"/>
  <c r="A21" i="39"/>
  <c r="F20" i="39"/>
  <c r="E20" i="39"/>
  <c r="D20" i="39"/>
  <c r="C20" i="39"/>
  <c r="B20" i="39"/>
  <c r="A20" i="39"/>
  <c r="F19" i="39"/>
  <c r="E19" i="39"/>
  <c r="D19" i="39"/>
  <c r="C19" i="39"/>
  <c r="B19" i="39"/>
  <c r="A19" i="39"/>
  <c r="F14" i="39"/>
  <c r="E14" i="39"/>
  <c r="D14" i="39"/>
  <c r="C14" i="39"/>
  <c r="B14" i="39"/>
  <c r="A14" i="39"/>
  <c r="F13" i="39"/>
  <c r="D13" i="39"/>
  <c r="C13" i="39"/>
  <c r="B13" i="39"/>
  <c r="A13" i="39"/>
  <c r="F12" i="39"/>
  <c r="E12" i="39"/>
  <c r="D12" i="39"/>
  <c r="C12" i="39"/>
  <c r="B12" i="39"/>
  <c r="A12" i="39"/>
  <c r="F11" i="39"/>
  <c r="G11" i="39" s="1"/>
  <c r="H11" i="39" s="1"/>
  <c r="I11" i="39" s="1"/>
  <c r="D11" i="39"/>
  <c r="C11" i="39"/>
  <c r="B11" i="39"/>
  <c r="A11" i="39"/>
  <c r="F10" i="39"/>
  <c r="D10" i="39"/>
  <c r="C10" i="39"/>
  <c r="B10" i="39"/>
  <c r="A10" i="39"/>
  <c r="D9" i="39"/>
  <c r="C9" i="39"/>
  <c r="B9" i="39"/>
  <c r="A9" i="39"/>
  <c r="G34" i="39"/>
  <c r="H34" i="39" s="1"/>
  <c r="I34" i="39" s="1"/>
  <c r="G9" i="39"/>
  <c r="H9" i="39" s="1"/>
  <c r="I9" i="39" s="1"/>
  <c r="F34" i="37"/>
  <c r="G34" i="37" s="1"/>
  <c r="H34" i="37" s="1"/>
  <c r="I34" i="37" s="1"/>
  <c r="D34" i="37"/>
  <c r="C34" i="37"/>
  <c r="B34" i="37"/>
  <c r="A34" i="37"/>
  <c r="F29" i="37"/>
  <c r="E29" i="37"/>
  <c r="D29" i="37"/>
  <c r="G29" i="37" s="1"/>
  <c r="H29" i="37" s="1"/>
  <c r="I29" i="37" s="1"/>
  <c r="C29" i="37"/>
  <c r="B29" i="37"/>
  <c r="A29" i="37"/>
  <c r="F24" i="37"/>
  <c r="E24" i="37"/>
  <c r="D24" i="37"/>
  <c r="G24" i="37" s="1"/>
  <c r="H24" i="37" s="1"/>
  <c r="I24" i="37" s="1"/>
  <c r="C24" i="37"/>
  <c r="B24" i="37"/>
  <c r="A24" i="37"/>
  <c r="F23" i="37"/>
  <c r="D23" i="37"/>
  <c r="C23" i="37"/>
  <c r="B23" i="37"/>
  <c r="A23" i="37"/>
  <c r="F22" i="37"/>
  <c r="E22" i="37"/>
  <c r="D22" i="37"/>
  <c r="G22" i="37" s="1"/>
  <c r="H22" i="37" s="1"/>
  <c r="I22" i="37" s="1"/>
  <c r="C22" i="37"/>
  <c r="B22" i="37"/>
  <c r="A22" i="37"/>
  <c r="F21" i="37"/>
  <c r="E21" i="37"/>
  <c r="G21" i="37" s="1"/>
  <c r="H21" i="37" s="1"/>
  <c r="I21" i="37" s="1"/>
  <c r="D21" i="37"/>
  <c r="C21" i="37"/>
  <c r="B21" i="37"/>
  <c r="A21" i="37"/>
  <c r="F20" i="37"/>
  <c r="E20" i="37"/>
  <c r="D20" i="37"/>
  <c r="G20" i="37" s="1"/>
  <c r="H20" i="37" s="1"/>
  <c r="I20" i="37" s="1"/>
  <c r="C20" i="37"/>
  <c r="B20" i="37"/>
  <c r="A20" i="37"/>
  <c r="F19" i="37"/>
  <c r="E19" i="37"/>
  <c r="D19" i="37"/>
  <c r="G19" i="37" s="1"/>
  <c r="H19" i="37" s="1"/>
  <c r="I19" i="37" s="1"/>
  <c r="C19" i="37"/>
  <c r="B19" i="37"/>
  <c r="A19" i="37"/>
  <c r="F14" i="37"/>
  <c r="D14" i="37"/>
  <c r="E14" i="37"/>
  <c r="G14" i="37"/>
  <c r="H14" i="37"/>
  <c r="I14" i="37" s="1"/>
  <c r="C14" i="37"/>
  <c r="B14" i="37"/>
  <c r="A14" i="37"/>
  <c r="F13" i="37"/>
  <c r="D13" i="37"/>
  <c r="C13" i="37"/>
  <c r="B13" i="37"/>
  <c r="A13" i="37"/>
  <c r="F12" i="37"/>
  <c r="E12" i="37"/>
  <c r="G12" i="37" s="1"/>
  <c r="H12" i="37" s="1"/>
  <c r="I12" i="37" s="1"/>
  <c r="D12" i="37"/>
  <c r="C12" i="37"/>
  <c r="B12" i="37"/>
  <c r="A12" i="37"/>
  <c r="F11" i="37"/>
  <c r="G11" i="37" s="1"/>
  <c r="H11" i="37" s="1"/>
  <c r="I11" i="37" s="1"/>
  <c r="D11" i="37"/>
  <c r="C11" i="37"/>
  <c r="B11" i="37"/>
  <c r="A11" i="37"/>
  <c r="F10" i="37"/>
  <c r="G10" i="37" s="1"/>
  <c r="H10" i="37" s="1"/>
  <c r="I10" i="37" s="1"/>
  <c r="D10" i="37"/>
  <c r="C10" i="37"/>
  <c r="B10" i="37"/>
  <c r="A10" i="37"/>
  <c r="D9" i="37"/>
  <c r="G9" i="37" s="1"/>
  <c r="H9" i="37" s="1"/>
  <c r="I9" i="37" s="1"/>
  <c r="C9" i="37"/>
  <c r="B9" i="37"/>
  <c r="A9" i="37"/>
  <c r="F34" i="35"/>
  <c r="D34" i="35"/>
  <c r="C34" i="35"/>
  <c r="G34" i="35"/>
  <c r="H34" i="35"/>
  <c r="I34" i="35"/>
  <c r="B34" i="35"/>
  <c r="A34" i="35"/>
  <c r="F29" i="35"/>
  <c r="E29" i="35"/>
  <c r="D29" i="35"/>
  <c r="C29" i="35"/>
  <c r="B29" i="35"/>
  <c r="A29" i="35"/>
  <c r="F24" i="35"/>
  <c r="E24" i="35"/>
  <c r="G24" i="35"/>
  <c r="H24" i="35"/>
  <c r="I24" i="35"/>
  <c r="D24" i="35"/>
  <c r="C24" i="35"/>
  <c r="B24" i="35"/>
  <c r="A24" i="35"/>
  <c r="F23" i="35"/>
  <c r="D23" i="35"/>
  <c r="C23" i="35"/>
  <c r="B23" i="35"/>
  <c r="A23" i="35"/>
  <c r="F22" i="35"/>
  <c r="E22" i="35"/>
  <c r="D22" i="35"/>
  <c r="C22" i="35"/>
  <c r="B22" i="35"/>
  <c r="A22" i="35"/>
  <c r="F21" i="35"/>
  <c r="E21" i="35"/>
  <c r="D21" i="35"/>
  <c r="C21" i="35"/>
  <c r="B21" i="35"/>
  <c r="A21" i="35"/>
  <c r="F20" i="35"/>
  <c r="E20" i="35"/>
  <c r="D20" i="35"/>
  <c r="C20" i="35"/>
  <c r="B20" i="35"/>
  <c r="A20" i="35"/>
  <c r="F19" i="35"/>
  <c r="E19" i="35"/>
  <c r="D19" i="35"/>
  <c r="C19" i="35"/>
  <c r="G19" i="35"/>
  <c r="H19" i="35"/>
  <c r="I19" i="35"/>
  <c r="B19" i="35"/>
  <c r="A19" i="35"/>
  <c r="F14" i="35"/>
  <c r="E14" i="35"/>
  <c r="D14" i="35"/>
  <c r="C14" i="35"/>
  <c r="B14" i="35"/>
  <c r="A14" i="35"/>
  <c r="F13" i="35"/>
  <c r="D13" i="35"/>
  <c r="C13" i="35"/>
  <c r="B13" i="35"/>
  <c r="A13" i="35"/>
  <c r="F12" i="35"/>
  <c r="E12" i="35"/>
  <c r="D12" i="35"/>
  <c r="C12" i="35"/>
  <c r="B12" i="35"/>
  <c r="A12" i="35"/>
  <c r="F11" i="35"/>
  <c r="D11" i="35"/>
  <c r="C11" i="35"/>
  <c r="B11" i="35"/>
  <c r="A11" i="35"/>
  <c r="F10" i="35"/>
  <c r="D10" i="35"/>
  <c r="C10" i="35"/>
  <c r="B10" i="35"/>
  <c r="A10" i="35"/>
  <c r="D9" i="35"/>
  <c r="C9" i="35"/>
  <c r="B9" i="35"/>
  <c r="A9" i="35"/>
  <c r="F14" i="33"/>
  <c r="E14" i="33"/>
  <c r="D14" i="33"/>
  <c r="F12" i="33"/>
  <c r="F20" i="33"/>
  <c r="E12" i="33"/>
  <c r="E20" i="33"/>
  <c r="D12" i="33"/>
  <c r="D20" i="33"/>
  <c r="D21" i="33"/>
  <c r="F24" i="33"/>
  <c r="E24" i="33"/>
  <c r="D24" i="33"/>
  <c r="C24" i="33"/>
  <c r="B24" i="33"/>
  <c r="A24" i="33"/>
  <c r="F23" i="33"/>
  <c r="D23" i="33"/>
  <c r="C23" i="33"/>
  <c r="B23" i="33"/>
  <c r="A23" i="33"/>
  <c r="F22" i="33"/>
  <c r="E22" i="33"/>
  <c r="D22" i="33"/>
  <c r="G22" i="33"/>
  <c r="H22" i="33"/>
  <c r="I22" i="33"/>
  <c r="C22" i="33"/>
  <c r="B22" i="33"/>
  <c r="A22" i="33"/>
  <c r="F21" i="33"/>
  <c r="E21" i="33"/>
  <c r="C21" i="33"/>
  <c r="B21" i="33"/>
  <c r="A21" i="33"/>
  <c r="C14" i="33"/>
  <c r="B14" i="33"/>
  <c r="A14" i="33"/>
  <c r="F13" i="33"/>
  <c r="D13" i="33"/>
  <c r="C13" i="33"/>
  <c r="G13" i="33"/>
  <c r="H13" i="33"/>
  <c r="I13" i="33"/>
  <c r="B13" i="33"/>
  <c r="A13" i="33"/>
  <c r="C12" i="33"/>
  <c r="B12" i="33"/>
  <c r="A12" i="33"/>
  <c r="F11" i="33"/>
  <c r="D11" i="33"/>
  <c r="C11" i="33"/>
  <c r="G11" i="33"/>
  <c r="H11" i="33"/>
  <c r="I11" i="33"/>
  <c r="B11" i="33"/>
  <c r="A11" i="33"/>
  <c r="F34" i="33"/>
  <c r="D34" i="33"/>
  <c r="C34" i="33"/>
  <c r="B34" i="33"/>
  <c r="A34" i="33"/>
  <c r="F29" i="33"/>
  <c r="E29" i="33"/>
  <c r="D29" i="33"/>
  <c r="G29" i="33"/>
  <c r="H29" i="33"/>
  <c r="I29" i="33"/>
  <c r="C29" i="33"/>
  <c r="B29" i="33"/>
  <c r="A29" i="33"/>
  <c r="C20" i="33"/>
  <c r="B20" i="33"/>
  <c r="A20" i="33"/>
  <c r="F19" i="33"/>
  <c r="E19" i="33"/>
  <c r="G19" i="33"/>
  <c r="H19" i="33"/>
  <c r="I19" i="33"/>
  <c r="D19" i="33"/>
  <c r="C19" i="33"/>
  <c r="B19" i="33"/>
  <c r="A19" i="33"/>
  <c r="F10" i="33"/>
  <c r="D10" i="33"/>
  <c r="G10" i="33"/>
  <c r="H10" i="33"/>
  <c r="I10" i="33"/>
  <c r="C10" i="33"/>
  <c r="B10" i="33"/>
  <c r="A10" i="33"/>
  <c r="D9" i="33"/>
  <c r="C9" i="33"/>
  <c r="B9" i="33"/>
  <c r="A9" i="33"/>
  <c r="G34" i="33"/>
  <c r="H34" i="33"/>
  <c r="I34" i="33"/>
  <c r="F26" i="31"/>
  <c r="D26" i="31"/>
  <c r="C26" i="31"/>
  <c r="G26" i="31"/>
  <c r="H26" i="31"/>
  <c r="I26" i="31"/>
  <c r="B26" i="31"/>
  <c r="A26" i="31"/>
  <c r="F21" i="31"/>
  <c r="E21" i="31"/>
  <c r="D21" i="31"/>
  <c r="C21" i="31"/>
  <c r="B21" i="31"/>
  <c r="A21" i="31"/>
  <c r="F16" i="31"/>
  <c r="E16" i="31"/>
  <c r="D16" i="31"/>
  <c r="C16" i="31"/>
  <c r="B16" i="31"/>
  <c r="A16" i="31"/>
  <c r="F15" i="31"/>
  <c r="E15" i="31"/>
  <c r="D15" i="31"/>
  <c r="C15" i="31"/>
  <c r="B15" i="31"/>
  <c r="A15" i="31"/>
  <c r="F10" i="31"/>
  <c r="D10" i="31"/>
  <c r="C10" i="31"/>
  <c r="B10" i="31"/>
  <c r="A10" i="31"/>
  <c r="D9" i="31"/>
  <c r="C9" i="31"/>
  <c r="B9" i="31"/>
  <c r="A9" i="31"/>
  <c r="F26" i="29"/>
  <c r="D26" i="29"/>
  <c r="C26" i="29"/>
  <c r="G26" i="29"/>
  <c r="H26" i="29"/>
  <c r="I26" i="29"/>
  <c r="B26" i="29"/>
  <c r="A26" i="29"/>
  <c r="F21" i="29"/>
  <c r="G21" i="29"/>
  <c r="H21" i="29"/>
  <c r="I21" i="29"/>
  <c r="E21" i="29"/>
  <c r="D21" i="29"/>
  <c r="C21" i="29"/>
  <c r="B21" i="29"/>
  <c r="A21" i="29"/>
  <c r="F16" i="29"/>
  <c r="E16" i="29"/>
  <c r="D16" i="29"/>
  <c r="G16" i="29"/>
  <c r="H16" i="29"/>
  <c r="I16" i="29"/>
  <c r="C16" i="29"/>
  <c r="B16" i="29"/>
  <c r="A16" i="29"/>
  <c r="F15" i="29"/>
  <c r="E15" i="29"/>
  <c r="D15" i="29"/>
  <c r="C15" i="29"/>
  <c r="G15" i="29"/>
  <c r="H15" i="29"/>
  <c r="I15" i="29"/>
  <c r="B15" i="29"/>
  <c r="A15" i="29"/>
  <c r="F10" i="29"/>
  <c r="D10" i="29"/>
  <c r="C10" i="29"/>
  <c r="B10" i="29"/>
  <c r="A10" i="29"/>
  <c r="D9" i="29"/>
  <c r="C9" i="29"/>
  <c r="G9" i="29"/>
  <c r="H9" i="29"/>
  <c r="I9" i="29"/>
  <c r="B9" i="29"/>
  <c r="A9" i="29"/>
  <c r="G10" i="29"/>
  <c r="H10" i="29"/>
  <c r="I10" i="29"/>
  <c r="D15" i="26"/>
  <c r="D9" i="26"/>
  <c r="F26" i="26"/>
  <c r="D26" i="26"/>
  <c r="C26" i="26"/>
  <c r="B26" i="26"/>
  <c r="A26" i="26"/>
  <c r="F21" i="26"/>
  <c r="E21" i="26"/>
  <c r="D21" i="26"/>
  <c r="C21" i="26"/>
  <c r="B21" i="26"/>
  <c r="A21" i="26"/>
  <c r="F16" i="26"/>
  <c r="E16" i="26"/>
  <c r="D16" i="26"/>
  <c r="C16" i="26"/>
  <c r="B16" i="26"/>
  <c r="A16" i="26"/>
  <c r="F15" i="26"/>
  <c r="E15" i="26"/>
  <c r="C15" i="26"/>
  <c r="B15" i="26"/>
  <c r="A15" i="26"/>
  <c r="F10" i="26"/>
  <c r="D10" i="26"/>
  <c r="C10" i="26"/>
  <c r="B10" i="26"/>
  <c r="A10" i="26"/>
  <c r="C9" i="26"/>
  <c r="G9" i="26"/>
  <c r="H9" i="26"/>
  <c r="I9" i="26"/>
  <c r="B9" i="26"/>
  <c r="A9" i="26"/>
  <c r="C20" i="5"/>
  <c r="C22" i="5"/>
  <c r="C23" i="5"/>
  <c r="D20" i="5"/>
  <c r="D24" i="5"/>
  <c r="D25" i="5"/>
  <c r="E25" i="5"/>
  <c r="D22" i="5"/>
  <c r="D23" i="5"/>
  <c r="E23" i="5"/>
  <c r="C10" i="5"/>
  <c r="C11" i="5"/>
  <c r="C12" i="5"/>
  <c r="C13" i="5"/>
  <c r="D10" i="5"/>
  <c r="D11" i="5"/>
  <c r="D12" i="5"/>
  <c r="D13" i="5"/>
  <c r="C20" i="4"/>
  <c r="C22" i="4"/>
  <c r="C23" i="4"/>
  <c r="D20" i="4"/>
  <c r="D22" i="4"/>
  <c r="D23" i="4"/>
  <c r="E23" i="4"/>
  <c r="C10" i="4"/>
  <c r="C11" i="4"/>
  <c r="C12" i="4"/>
  <c r="C13" i="4"/>
  <c r="D10" i="4"/>
  <c r="D11" i="4"/>
  <c r="D12" i="4"/>
  <c r="D13" i="4"/>
  <c r="C23" i="3"/>
  <c r="D23" i="3"/>
  <c r="C20" i="3"/>
  <c r="C21" i="3"/>
  <c r="C22" i="3"/>
  <c r="D20" i="3"/>
  <c r="D21" i="3"/>
  <c r="D22" i="3"/>
  <c r="C10" i="3"/>
  <c r="C11" i="3"/>
  <c r="C12" i="3"/>
  <c r="C13" i="3"/>
  <c r="D10" i="3"/>
  <c r="D11" i="3"/>
  <c r="D12" i="3"/>
  <c r="D13" i="3"/>
  <c r="D36" i="3"/>
  <c r="D37" i="3"/>
  <c r="D38" i="3"/>
  <c r="D28" i="3"/>
  <c r="D29" i="3"/>
  <c r="D30" i="3"/>
  <c r="D31" i="3"/>
  <c r="D36" i="2"/>
  <c r="D37" i="2"/>
  <c r="D38" i="2"/>
  <c r="E38" i="2"/>
  <c r="D28" i="2"/>
  <c r="D29" i="2"/>
  <c r="D30" i="2"/>
  <c r="D31" i="2"/>
  <c r="C20" i="2"/>
  <c r="C21" i="2"/>
  <c r="C22" i="2"/>
  <c r="C23" i="2"/>
  <c r="D20" i="2"/>
  <c r="D21" i="2"/>
  <c r="D22" i="2"/>
  <c r="D23" i="2"/>
  <c r="E23" i="2"/>
  <c r="C10" i="2"/>
  <c r="C11" i="2"/>
  <c r="C12" i="2"/>
  <c r="C13" i="2"/>
  <c r="D10" i="2"/>
  <c r="D11" i="2"/>
  <c r="D12" i="2"/>
  <c r="D13" i="2"/>
  <c r="D23" i="14"/>
  <c r="C23" i="14"/>
  <c r="E23" i="14"/>
  <c r="D13" i="14"/>
  <c r="C13" i="14"/>
  <c r="E13" i="14"/>
  <c r="D38" i="14"/>
  <c r="E38" i="14"/>
  <c r="D37" i="14"/>
  <c r="D36" i="14"/>
  <c r="D31" i="14"/>
  <c r="E31" i="14"/>
  <c r="D30" i="14"/>
  <c r="D29" i="14"/>
  <c r="D28" i="14"/>
  <c r="D32" i="14"/>
  <c r="D22" i="14"/>
  <c r="C22" i="14"/>
  <c r="C24" i="14"/>
  <c r="D21" i="14"/>
  <c r="C21" i="14"/>
  <c r="D20" i="14"/>
  <c r="C20" i="14"/>
  <c r="D12" i="14"/>
  <c r="C12" i="14"/>
  <c r="D11" i="14"/>
  <c r="C11" i="14"/>
  <c r="C14" i="14"/>
  <c r="D10" i="14"/>
  <c r="C10" i="14"/>
  <c r="D38" i="17"/>
  <c r="D39" i="17"/>
  <c r="D37" i="17"/>
  <c r="D36" i="17"/>
  <c r="D31" i="17"/>
  <c r="D30" i="17"/>
  <c r="D29" i="17"/>
  <c r="D28" i="17"/>
  <c r="D23" i="17"/>
  <c r="C23" i="17"/>
  <c r="D22" i="17"/>
  <c r="C22" i="17"/>
  <c r="D21" i="17"/>
  <c r="C21" i="17"/>
  <c r="D20" i="17"/>
  <c r="D24" i="17"/>
  <c r="C20" i="17"/>
  <c r="D13" i="17"/>
  <c r="C13" i="17"/>
  <c r="D12" i="17"/>
  <c r="C12" i="17"/>
  <c r="D11" i="17"/>
  <c r="C11" i="17"/>
  <c r="D10" i="17"/>
  <c r="D14" i="17"/>
  <c r="C10" i="17"/>
  <c r="E31" i="17"/>
  <c r="C10" i="20"/>
  <c r="D38" i="20"/>
  <c r="E38" i="20"/>
  <c r="D37" i="20"/>
  <c r="D39" i="20"/>
  <c r="D36" i="20"/>
  <c r="D31" i="20"/>
  <c r="D30" i="20"/>
  <c r="D29" i="20"/>
  <c r="D28" i="20"/>
  <c r="D23" i="20"/>
  <c r="D24" i="20"/>
  <c r="C23" i="20"/>
  <c r="E23" i="20"/>
  <c r="D22" i="20"/>
  <c r="C22" i="20"/>
  <c r="D21" i="20"/>
  <c r="C21" i="20"/>
  <c r="D20" i="20"/>
  <c r="C20" i="20"/>
  <c r="D13" i="20"/>
  <c r="C13" i="20"/>
  <c r="C14" i="20"/>
  <c r="D12" i="20"/>
  <c r="C12" i="20"/>
  <c r="D11" i="20"/>
  <c r="C11" i="20"/>
  <c r="D10" i="20"/>
  <c r="D14" i="20"/>
  <c r="D15" i="20"/>
  <c r="E31" i="20"/>
  <c r="C26" i="25"/>
  <c r="D26" i="25"/>
  <c r="F26" i="25"/>
  <c r="C21" i="25"/>
  <c r="D21" i="25"/>
  <c r="G21" i="25"/>
  <c r="H21" i="25"/>
  <c r="I21" i="25"/>
  <c r="E21" i="25"/>
  <c r="F21" i="25"/>
  <c r="C16" i="25"/>
  <c r="D16" i="25"/>
  <c r="E16" i="25"/>
  <c r="F16" i="25"/>
  <c r="C15" i="25"/>
  <c r="D15" i="25"/>
  <c r="G15" i="25"/>
  <c r="H15" i="25"/>
  <c r="I15" i="25"/>
  <c r="E15" i="25"/>
  <c r="F15" i="25"/>
  <c r="C10" i="25"/>
  <c r="D10" i="25"/>
  <c r="F10" i="25"/>
  <c r="C9" i="25"/>
  <c r="D9" i="25"/>
  <c r="E9" i="25"/>
  <c r="G9" i="25"/>
  <c r="H9" i="25"/>
  <c r="I9" i="25"/>
  <c r="F9" i="25"/>
  <c r="B26" i="25"/>
  <c r="A26" i="25"/>
  <c r="B21" i="25"/>
  <c r="A21" i="25"/>
  <c r="B16" i="25"/>
  <c r="B15" i="25"/>
  <c r="A16" i="25"/>
  <c r="A15" i="25"/>
  <c r="B10" i="25"/>
  <c r="B9" i="25"/>
  <c r="A10" i="25"/>
  <c r="A9" i="25"/>
  <c r="E13" i="17"/>
  <c r="C24" i="17"/>
  <c r="C25" i="17"/>
  <c r="D14" i="3"/>
  <c r="D15" i="3"/>
  <c r="E23" i="3"/>
  <c r="C14" i="4"/>
  <c r="C15" i="4"/>
  <c r="E15" i="4"/>
  <c r="C14" i="5"/>
  <c r="C15" i="5"/>
  <c r="D14" i="14"/>
  <c r="D15" i="14"/>
  <c r="D24" i="14"/>
  <c r="D25" i="14"/>
  <c r="D39" i="14"/>
  <c r="D40" i="14"/>
  <c r="E40" i="14"/>
  <c r="G26" i="25"/>
  <c r="H26" i="25"/>
  <c r="I26" i="25"/>
  <c r="C24" i="20"/>
  <c r="C25" i="20"/>
  <c r="C14" i="17"/>
  <c r="D24" i="2"/>
  <c r="D25" i="2"/>
  <c r="C24" i="2"/>
  <c r="D39" i="2"/>
  <c r="E39" i="2"/>
  <c r="E13" i="3"/>
  <c r="D24" i="3"/>
  <c r="D25" i="3"/>
  <c r="E25" i="3"/>
  <c r="G10" i="26"/>
  <c r="H10" i="26"/>
  <c r="I10" i="26"/>
  <c r="G21" i="26"/>
  <c r="H21" i="26"/>
  <c r="I21" i="26"/>
  <c r="D32" i="20"/>
  <c r="D33" i="20"/>
  <c r="E33" i="20"/>
  <c r="D32" i="17"/>
  <c r="D33" i="17"/>
  <c r="E33" i="17"/>
  <c r="C14" i="2"/>
  <c r="E14" i="2"/>
  <c r="D32" i="3"/>
  <c r="D33" i="3"/>
  <c r="E13" i="4"/>
  <c r="D14" i="5"/>
  <c r="D15" i="5"/>
  <c r="E15" i="5"/>
  <c r="G10" i="25"/>
  <c r="H10" i="25"/>
  <c r="I10" i="25"/>
  <c r="E23" i="17"/>
  <c r="D32" i="2"/>
  <c r="C14" i="3"/>
  <c r="D14" i="4"/>
  <c r="D15" i="4"/>
  <c r="C24" i="4"/>
  <c r="C25" i="4"/>
  <c r="E25" i="4"/>
  <c r="G15" i="26"/>
  <c r="H15" i="26"/>
  <c r="I15" i="26"/>
  <c r="G16" i="26"/>
  <c r="H16" i="26"/>
  <c r="I16" i="26"/>
  <c r="D14" i="2"/>
  <c r="D15" i="2"/>
  <c r="D39" i="3"/>
  <c r="D40" i="3"/>
  <c r="C24" i="3"/>
  <c r="C25" i="3"/>
  <c r="D24" i="4"/>
  <c r="D25" i="4"/>
  <c r="C24" i="5"/>
  <c r="G26" i="26"/>
  <c r="H26" i="26"/>
  <c r="I26" i="26"/>
  <c r="E39" i="14"/>
  <c r="G16" i="25"/>
  <c r="H16" i="25"/>
  <c r="I16" i="25"/>
  <c r="E14" i="5"/>
  <c r="E32" i="20"/>
  <c r="C25" i="2"/>
  <c r="E25" i="2"/>
  <c r="E24" i="2"/>
  <c r="E32" i="2"/>
  <c r="D33" i="2"/>
  <c r="E33" i="2"/>
  <c r="E14" i="3"/>
  <c r="C15" i="3"/>
  <c r="E15" i="3"/>
  <c r="E13" i="5"/>
  <c r="E13" i="2"/>
  <c r="E22" i="3"/>
  <c r="E31" i="2"/>
  <c r="E14" i="4"/>
  <c r="C15" i="17"/>
  <c r="C25" i="5"/>
  <c r="E24" i="3"/>
  <c r="G23" i="37"/>
  <c r="H23" i="37" s="1"/>
  <c r="I23" i="37" s="1"/>
  <c r="G13" i="37"/>
  <c r="H13" i="37" s="1"/>
  <c r="I13" i="37" s="1"/>
  <c r="E24" i="17"/>
  <c r="D25" i="17"/>
  <c r="E25" i="17"/>
  <c r="C25" i="14"/>
  <c r="E25" i="14"/>
  <c r="E24" i="14"/>
  <c r="D15" i="17"/>
  <c r="E14" i="17"/>
  <c r="C15" i="14"/>
  <c r="E15" i="14"/>
  <c r="E14" i="14"/>
  <c r="D33" i="14"/>
  <c r="E33" i="14"/>
  <c r="E32" i="14"/>
  <c r="E24" i="5"/>
  <c r="E39" i="20"/>
  <c r="D40" i="20"/>
  <c r="E40" i="20"/>
  <c r="E15" i="17"/>
  <c r="E25" i="20"/>
  <c r="C15" i="20"/>
  <c r="E15" i="20"/>
  <c r="E14" i="20"/>
  <c r="D25" i="20"/>
  <c r="E24" i="20"/>
  <c r="E39" i="17"/>
  <c r="D40" i="17"/>
  <c r="E40" i="17"/>
  <c r="D40" i="2"/>
  <c r="E40" i="2"/>
  <c r="E13" i="20"/>
  <c r="E38" i="17"/>
  <c r="G21" i="31"/>
  <c r="H21" i="31"/>
  <c r="I21" i="31"/>
  <c r="G14" i="33"/>
  <c r="H14" i="33"/>
  <c r="I14" i="33"/>
  <c r="G21" i="33"/>
  <c r="H21" i="33"/>
  <c r="I21" i="33"/>
  <c r="E32" i="17"/>
  <c r="G9" i="31"/>
  <c r="H9" i="31"/>
  <c r="I9" i="31"/>
  <c r="G12" i="33"/>
  <c r="H12" i="33"/>
  <c r="I12" i="33"/>
  <c r="E24" i="4"/>
  <c r="G15" i="31"/>
  <c r="H15" i="31"/>
  <c r="I15" i="31"/>
  <c r="G23" i="35"/>
  <c r="H23" i="35"/>
  <c r="I23" i="35"/>
  <c r="G9" i="35"/>
  <c r="H9" i="35"/>
  <c r="I9" i="35"/>
  <c r="C15" i="2"/>
  <c r="E15" i="2"/>
  <c r="G9" i="33"/>
  <c r="H9" i="33"/>
  <c r="I9" i="33"/>
  <c r="G16" i="31"/>
  <c r="H16" i="31"/>
  <c r="I16" i="31"/>
  <c r="G10" i="31"/>
  <c r="H10" i="31"/>
  <c r="I10" i="31"/>
  <c r="G12" i="35"/>
  <c r="H12" i="35"/>
  <c r="I12" i="35"/>
  <c r="G13" i="35"/>
  <c r="H13" i="35"/>
  <c r="I13" i="35"/>
  <c r="G20" i="35"/>
  <c r="H20" i="35"/>
  <c r="I20" i="35"/>
  <c r="G11" i="35"/>
  <c r="H11" i="35"/>
  <c r="I11" i="35"/>
  <c r="G10" i="35"/>
  <c r="H10" i="35"/>
  <c r="I10" i="35"/>
  <c r="G23" i="33"/>
  <c r="H23" i="33"/>
  <c r="I23" i="33"/>
  <c r="G20" i="33"/>
  <c r="H20" i="33"/>
  <c r="I20" i="33"/>
  <c r="G24" i="33"/>
  <c r="H24" i="33"/>
  <c r="I24" i="33"/>
  <c r="G14" i="35"/>
  <c r="H14" i="35"/>
  <c r="I14" i="35"/>
  <c r="G21" i="35"/>
  <c r="H21" i="35"/>
  <c r="I21" i="35"/>
  <c r="G22" i="35"/>
  <c r="H22" i="35"/>
  <c r="I22" i="35"/>
  <c r="G29" i="35"/>
  <c r="H29" i="35"/>
  <c r="I29" i="35"/>
  <c r="G13" i="39" l="1"/>
  <c r="H13" i="39" s="1"/>
  <c r="I13" i="39" s="1"/>
  <c r="G14" i="39"/>
  <c r="H14" i="39" s="1"/>
  <c r="I14" i="39" s="1"/>
  <c r="G21" i="39"/>
  <c r="H21" i="39" s="1"/>
  <c r="I21" i="39" s="1"/>
  <c r="G29" i="39"/>
  <c r="H29" i="39" s="1"/>
  <c r="I29" i="39" s="1"/>
  <c r="G10" i="39"/>
  <c r="H10" i="39" s="1"/>
  <c r="I10" i="39" s="1"/>
  <c r="G22" i="39"/>
  <c r="H22" i="39" s="1"/>
  <c r="I22" i="39" s="1"/>
  <c r="G20" i="39"/>
  <c r="H20" i="39" s="1"/>
  <c r="I20" i="39" s="1"/>
  <c r="G12" i="39"/>
  <c r="H12" i="39" s="1"/>
  <c r="I12" i="39" s="1"/>
  <c r="G24" i="39"/>
  <c r="H24" i="39" s="1"/>
  <c r="I24" i="39" s="1"/>
  <c r="G19" i="39"/>
  <c r="H19" i="39" s="1"/>
  <c r="I19" i="39" s="1"/>
  <c r="G23" i="39"/>
  <c r="H23" i="39" s="1"/>
  <c r="I23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12" authorId="0" shapeId="0" xr:uid="{E0837D2C-DAC5-5141-BA84-2F1981F981E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Covau's offer contains two more step increases but these do not apply before the annual consumption is more than 618,800MJ and have not been included in this workbook</t>
        </r>
      </text>
    </comment>
    <comment ref="F14" authorId="0" shapeId="0" xr:uid="{175D4432-3926-B345-A12D-21C94696F9D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Red's offer contains two more step increases but these do not apply before the annual consumption is more than 618,800MJ and have not been included in this workbook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9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9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J3" authorId="0" shapeId="0" xr:uid="{D15860AE-3D40-904D-ADD9-E578762E68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4" authorId="0" shapeId="0" xr:uid="{651BE3D3-98F2-534A-9273-13E9B50494E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5" authorId="0" shapeId="0" xr:uid="{AD27614A-F512-3743-B277-97985B55E49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K5" authorId="0" shapeId="0" xr:uid="{73D46687-716C-1042-949B-5432948EDE3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25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25*91=2,275
</t>
        </r>
        <r>
          <rPr>
            <sz val="10"/>
            <color rgb="FF000000"/>
            <rFont val="Tahoma"/>
            <family val="2"/>
          </rPr>
          <t xml:space="preserve">2,275 + 2,322 = 4,597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L5" authorId="0" shapeId="0" xr:uid="{78BA0A5E-D75D-5742-B5BC-1FBF4FFA892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1649.49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1649.49*91=150,104
</t>
        </r>
        <r>
          <rPr>
            <sz val="10"/>
            <color rgb="FF000000"/>
            <rFont val="Tahoma"/>
            <family val="2"/>
          </rPr>
          <t xml:space="preserve">150,104 + 4,597 = 154701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M5" authorId="0" shapeId="0" xr:uid="{788966D0-044C-5E40-8291-97E34A0EA2E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8300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8,300*91=755,300
</t>
        </r>
        <r>
          <rPr>
            <sz val="10"/>
            <color rgb="FF000000"/>
            <rFont val="Tahoma"/>
            <family val="2"/>
          </rPr>
          <t xml:space="preserve">755,300 + 154,701 = 910,001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6" authorId="0" shapeId="0" xr:uid="{9EF251A5-CE12-F446-8E51-2E4EA639ED1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2494 MJ per month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2494*3 = 7482
</t>
        </r>
      </text>
    </comment>
    <comment ref="J7" authorId="0" shapeId="0" xr:uid="{94BF64F3-5F08-424B-B2B5-71ECC6FF81F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K7" authorId="0" shapeId="0" xr:uid="{F80D9D83-4503-DF43-B567-9116ED4BBB3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25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25*91=2,275
</t>
        </r>
        <r>
          <rPr>
            <sz val="10"/>
            <color rgb="FF000000"/>
            <rFont val="Tahoma"/>
            <family val="2"/>
          </rPr>
          <t xml:space="preserve">2,275 + 2,322 = 4,597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L7" authorId="0" shapeId="0" xr:uid="{DAC35821-F76D-8A4E-9FE3-E892DD44ABE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1649.49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1649.49*91=150,104
</t>
        </r>
        <r>
          <rPr>
            <sz val="10"/>
            <color rgb="FF000000"/>
            <rFont val="Tahoma"/>
            <family val="2"/>
          </rPr>
          <t xml:space="preserve">150,104 + 4,597 = 154701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M7" authorId="0" shapeId="0" xr:uid="{BD1DE7E7-D971-9348-8C42-677AF968279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8300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8,300*91=755,300
</t>
        </r>
        <r>
          <rPr>
            <sz val="10"/>
            <color rgb="FF000000"/>
            <rFont val="Tahoma"/>
            <family val="2"/>
          </rPr>
          <t xml:space="preserve">755,300 + 154,701 = 910,001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9" authorId="0" shapeId="0" xr:uid="{66D81EE9-E558-E54D-9197-367ED8A06BB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9" authorId="0" shapeId="0" xr:uid="{3795FFF7-B012-784C-9C38-704A119CC59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1" authorId="1" shapeId="0" xr:uid="{BAC75231-4F9E-924C-850E-B7F2611C60E4}">
      <text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8.2 MJ
</t>
        </r>
        <r>
          <rPr>
            <sz val="10"/>
            <color rgb="FF000000"/>
            <rFont val="Tahoma"/>
            <family val="2"/>
          </rPr>
          <t xml:space="preserve">8.2
</t>
        </r>
        <r>
          <rPr>
            <sz val="10"/>
            <color rgb="FF000000"/>
            <rFont val="Tahoma"/>
            <family val="2"/>
          </rPr>
          <t xml:space="preserve">*91=746
</t>
        </r>
      </text>
    </comment>
    <comment ref="K11" authorId="1" shapeId="0" xr:uid="{9AA86782-E4AB-F241-8266-C772C361F744}">
      <text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2" authorId="0" shapeId="0" xr:uid="{E073A62C-BBB3-3144-B089-6B613604284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249 MJ per month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249*3 = 747
</t>
        </r>
      </text>
    </comment>
    <comment ref="J13" authorId="0" shapeId="0" xr:uid="{C61C425B-6740-8A4E-B447-CFB3E2B9E26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8.2*91=746
</t>
        </r>
      </text>
    </comment>
    <comment ref="K13" authorId="0" shapeId="0" xr:uid="{1C02EA43-C3EA-7A43-951C-AA9E99596E1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4" authorId="0" shapeId="0" xr:uid="{65756240-5B19-5643-9F92-0B2DE2C9996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14" authorId="0" shapeId="0" xr:uid="{BCA590EC-1D13-ED42-973E-7AF5F7239A1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5" authorId="0" shapeId="0" xr:uid="{526D74D9-6000-C54E-979F-D3CBE6A723D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200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200*91=18,200
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J3" authorId="0" shapeId="0" xr:uid="{9C206B7A-C86F-FA42-BCA4-02231E7DAEB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4" authorId="0" shapeId="0" xr:uid="{26D5345C-F9B2-1D43-A307-21A84E015E4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5" authorId="0" shapeId="0" xr:uid="{1BBD652D-FEFB-0E40-8F84-34BE5998DCC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K5" authorId="0" shapeId="0" xr:uid="{686B1909-4611-A64E-B16C-5403AAE639D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25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25*91=2,275
</t>
        </r>
        <r>
          <rPr>
            <sz val="10"/>
            <color rgb="FF000000"/>
            <rFont val="Tahoma"/>
            <family val="2"/>
          </rPr>
          <t xml:space="preserve">2,275 + 2,322 = 4,597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L5" authorId="0" shapeId="0" xr:uid="{9B4726B6-A04D-3047-8BC5-2009C27BBD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1649.49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1649.49*91=150,104
</t>
        </r>
        <r>
          <rPr>
            <sz val="10"/>
            <color rgb="FF000000"/>
            <rFont val="Tahoma"/>
            <family val="2"/>
          </rPr>
          <t xml:space="preserve">150,104 + 4,597 = 154701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M5" authorId="0" shapeId="0" xr:uid="{372619B8-73CD-D748-91AD-27C90680FBC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8300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8,300*91=755,300
</t>
        </r>
        <r>
          <rPr>
            <sz val="10"/>
            <color rgb="FF000000"/>
            <rFont val="Tahoma"/>
            <family val="2"/>
          </rPr>
          <t xml:space="preserve">755,300 + 154,701 = 910,001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6" authorId="0" shapeId="0" xr:uid="{8396334E-49A6-C145-9334-FD53566995E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2494 MJ per month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2494*3 = 7482
</t>
        </r>
      </text>
    </comment>
    <comment ref="J7" authorId="0" shapeId="0" xr:uid="{158D54E3-933C-BB49-9E11-FD41A7355F5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K7" authorId="0" shapeId="0" xr:uid="{5F5AF0C1-5CB7-8A41-937B-11EA150AF9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25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25*91=2,275
</t>
        </r>
        <r>
          <rPr>
            <sz val="10"/>
            <color rgb="FF000000"/>
            <rFont val="Tahoma"/>
            <family val="2"/>
          </rPr>
          <t xml:space="preserve">2,275 + 2,322 = 4,597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L7" authorId="0" shapeId="0" xr:uid="{3B762EAF-7793-0641-BBD2-ADFAD74268F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1649.49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1649.49*91=150,104
</t>
        </r>
        <r>
          <rPr>
            <sz val="10"/>
            <color rgb="FF000000"/>
            <rFont val="Tahoma"/>
            <family val="2"/>
          </rPr>
          <t xml:space="preserve">150,104 + 4,597 = 154701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M7" authorId="0" shapeId="0" xr:uid="{CCFCCEC6-63CA-F94A-A310-95DECDA39B6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8300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8,300*91=755,300
</t>
        </r>
        <r>
          <rPr>
            <sz val="10"/>
            <color rgb="FF000000"/>
            <rFont val="Tahoma"/>
            <family val="2"/>
          </rPr>
          <t xml:space="preserve">755,300 + 154,701 = 910,001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9" authorId="0" shapeId="0" xr:uid="{ACEFC4CE-1299-9A40-A80F-E10C280AA81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9" authorId="0" shapeId="0" xr:uid="{BD934C81-415C-FD41-87AB-5BCD065407B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1" authorId="1" shapeId="0" xr:uid="{E9FAC830-1038-A544-B873-74ECB68D649A}">
      <text>
        <r>
          <rPr>
            <b/>
            <sz val="10"/>
            <color rgb="FF000000"/>
            <rFont val="Tahoma"/>
            <family val="2"/>
          </rPr>
          <t>Ryan Johnston: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8.2 MJ
</t>
        </r>
        <r>
          <rPr>
            <sz val="10"/>
            <color rgb="FF000000"/>
            <rFont val="Tahoma"/>
            <family val="2"/>
          </rPr>
          <t xml:space="preserve">8.2
</t>
        </r>
        <r>
          <rPr>
            <sz val="10"/>
            <color rgb="FF000000"/>
            <rFont val="Tahoma"/>
            <family val="2"/>
          </rPr>
          <t xml:space="preserve">*91=746
</t>
        </r>
      </text>
    </comment>
    <comment ref="K11" authorId="1" shapeId="0" xr:uid="{4F50A9E8-4D1D-E742-9995-3D7242C2719B}">
      <text>
        <r>
          <rPr>
            <b/>
            <sz val="10"/>
            <color rgb="FF000000"/>
            <rFont val="Tahoma"/>
            <family val="2"/>
          </rPr>
          <t>Ryan Johnston: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2" authorId="0" shapeId="0" xr:uid="{02701A56-4652-F141-AE56-CE123FB1CD7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249 MJ per month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249*3 = 747
</t>
        </r>
      </text>
    </comment>
    <comment ref="J13" authorId="0" shapeId="0" xr:uid="{B8CCD408-ACAE-FC4F-AD1D-09D3644424C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8.2*91=746
</t>
        </r>
      </text>
    </comment>
    <comment ref="K13" authorId="0" shapeId="0" xr:uid="{F75CF4E0-D6A7-0F43-B153-48C144B6F32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4" authorId="0" shapeId="0" xr:uid="{48C691D4-EE2B-9D4A-B6BF-995CD1B637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14" authorId="0" shapeId="0" xr:uid="{CA6E44BA-44BA-244A-AC93-74B1124E6BB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5" authorId="0" shapeId="0" xr:uid="{89C5A0BE-0120-8E4C-8731-24A2DF64319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200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200*91=18,200
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J3" authorId="0" shapeId="0" xr:uid="{8871A4EC-50E9-664B-AE2C-2FAE9DD87B6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4" authorId="0" shapeId="0" xr:uid="{2F819588-F9EA-124A-835E-3BFD710D6CA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5" authorId="0" shapeId="0" xr:uid="{CBC4580C-1695-2D44-8794-F0FFC657E6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K5" authorId="0" shapeId="0" xr:uid="{2D40FB92-0EEE-A448-AB48-D84CFFB2C23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25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25*91=2,275
</t>
        </r>
        <r>
          <rPr>
            <sz val="10"/>
            <color rgb="FF000000"/>
            <rFont val="Tahoma"/>
            <family val="2"/>
          </rPr>
          <t xml:space="preserve">2,275 + 2,322 = 4,597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L5" authorId="0" shapeId="0" xr:uid="{9881625C-54E1-954C-9433-2B53EEB99F5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1649.49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1649.49*91=150,104
</t>
        </r>
        <r>
          <rPr>
            <sz val="10"/>
            <color rgb="FF000000"/>
            <rFont val="Tahoma"/>
            <family val="2"/>
          </rPr>
          <t xml:space="preserve">150,104 + 4,597 = 154701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M5" authorId="0" shapeId="0" xr:uid="{C017381A-00AB-2342-B995-00BE02620C6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8300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8,300*91=755,300
</t>
        </r>
        <r>
          <rPr>
            <sz val="10"/>
            <color rgb="FF000000"/>
            <rFont val="Tahoma"/>
            <family val="2"/>
          </rPr>
          <t xml:space="preserve">755,300 + 154,701 = 910,001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6" authorId="0" shapeId="0" xr:uid="{678B040F-89A5-0B48-8036-18972866DCE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249.4 MJ per month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249.4*3 = 748
</t>
        </r>
      </text>
    </comment>
    <comment ref="J7" authorId="0" shapeId="0" xr:uid="{F6AFC05A-592E-464E-B416-82F449D01D6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K7" authorId="0" shapeId="0" xr:uid="{CE37488A-70B0-6A4D-ACFD-7B2AC7AA75D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Tariff stipulates next 25 MJ per day
25*91=2,275
2,275 + 2,322 = 4,597
</t>
        </r>
      </text>
    </comment>
    <comment ref="L7" authorId="0" shapeId="0" xr:uid="{4C30071E-B70C-6041-AFA3-45B9DFAA792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1649.49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1649.49*91=150,104
</t>
        </r>
        <r>
          <rPr>
            <sz val="10"/>
            <color rgb="FF000000"/>
            <rFont val="Tahoma"/>
            <family val="2"/>
          </rPr>
          <t xml:space="preserve">150,104 + 4,597 = 154701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M7" authorId="0" shapeId="0" xr:uid="{E992108F-751F-6447-9887-D5CDA51D41F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Tariff stipulates next 8300 MJ per day
8,300*91=755,300
755,300 + 154,701 = 910,001
</t>
        </r>
      </text>
    </comment>
    <comment ref="J9" authorId="0" shapeId="0" xr:uid="{21971210-D522-8047-8F90-FF52B5B8E67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9" authorId="0" shapeId="0" xr:uid="{9AD2E479-8700-EE4D-86A5-1FDD731638D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2" authorId="0" shapeId="0" xr:uid="{B44EE0AC-4360-7A46-87DE-724DC42984B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249.4 MJ per month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249.4*3 = 748
</t>
        </r>
      </text>
    </comment>
    <comment ref="J13" authorId="0" shapeId="0" xr:uid="{DA8F2BED-94C4-0D47-8F33-2C5A525C34F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Tariff stipulates first 8.2 MJ
8.2*91=746
</t>
        </r>
      </text>
    </comment>
    <comment ref="K13" authorId="0" shapeId="0" xr:uid="{E98EBB53-6E76-3043-8992-F8575BB992D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4" authorId="0" shapeId="0" xr:uid="{8094304C-7754-A14A-80DE-A9A0E0928D9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14" authorId="0" shapeId="0" xr:uid="{06B195EF-B5AA-584F-83AF-C124C003DF5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5" authorId="0" shapeId="0" xr:uid="{9C50F984-DD6E-F642-A99C-83772EC6E81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200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200*91=18,200
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J3" authorId="0" shapeId="0" xr:uid="{5C9D33DD-70DF-D241-93FC-B7F919E70C4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4" authorId="0" shapeId="0" xr:uid="{04F6834F-E250-1A43-9FAD-A008375CE09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5" authorId="0" shapeId="0" xr:uid="{770E9EAF-A8A5-6B4C-81F1-8744388DD76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K5" authorId="0" shapeId="0" xr:uid="{360B72C8-A256-C341-8718-1493DF0AE98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25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25*91=2,275
</t>
        </r>
        <r>
          <rPr>
            <sz val="10"/>
            <color rgb="FF000000"/>
            <rFont val="Tahoma"/>
            <family val="2"/>
          </rPr>
          <t xml:space="preserve">2,275 + 2,322 = 4,597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L5" authorId="0" shapeId="0" xr:uid="{D896C998-A460-6841-8C81-1CE7E5D42D1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Tariff stipulates next 1649.49 MJ per day
1649.49*91=150,104
150,104 + 4,597 = 154701
</t>
        </r>
      </text>
    </comment>
    <comment ref="M5" authorId="0" shapeId="0" xr:uid="{DB345A87-51A4-EA49-9E8A-DCBC2DA35AC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Tariff stipulates next 8300 MJ per day
8,300*91=755,300
755,300 + 154,701 = 910,001
</t>
        </r>
      </text>
    </comment>
    <comment ref="J6" authorId="0" shapeId="0" xr:uid="{753A72FC-284E-D14F-B909-5D2F12BE094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249.4 MJ per month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249.4*3 = 748
</t>
        </r>
      </text>
    </comment>
    <comment ref="J7" authorId="0" shapeId="0" xr:uid="{2041781B-3B3B-384E-8E43-C827B8D3B70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Tariff stipulates first 25.5123 MJ per day
25.5123*91=2,322
</t>
        </r>
      </text>
    </comment>
    <comment ref="K7" authorId="0" shapeId="0" xr:uid="{4C88C2C5-FBFB-3841-BF56-042D4E0178E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Tariff stipulates next 25 MJ per day
25*91=2,275
2,275 + 2,322 = 4,597
</t>
        </r>
      </text>
    </comment>
    <comment ref="L7" authorId="0" shapeId="0" xr:uid="{3CD37EE0-8ED7-4846-AC89-C933CC69D08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next 1649.49 MJ per day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1649.49*91=150,104
</t>
        </r>
        <r>
          <rPr>
            <sz val="10"/>
            <color rgb="FF000000"/>
            <rFont val="Tahoma"/>
            <family val="2"/>
          </rPr>
          <t xml:space="preserve">150,104 + 4,597 = 154701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M7" authorId="0" shapeId="0" xr:uid="{A096AE79-7930-0740-B467-12A70F5E0E6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Tariff stipulates next 8300 MJ per day
8,300*91=755,300
755,300 + 154,701 = 910,001
</t>
        </r>
      </text>
    </comment>
    <comment ref="J9" authorId="0" shapeId="0" xr:uid="{905D3A40-A0AA-7B47-AD2A-0C145682629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9" authorId="0" shapeId="0" xr:uid="{5EF3DD68-F789-A846-BE6D-922E5995704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2" authorId="0" shapeId="0" xr:uid="{FEA5107B-1DCE-1E4E-A1E5-CCF663253E9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249.4 MJ per month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249.4*3 = 748
</t>
        </r>
      </text>
    </comment>
    <comment ref="J13" authorId="0" shapeId="0" xr:uid="{665C33AB-82DE-B94E-9D59-04ECC1F60A3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Tariff stipulates first 8.2 MJ
8.2*91=746
</t>
        </r>
      </text>
    </comment>
    <comment ref="K13" authorId="0" shapeId="0" xr:uid="{A785ABED-278B-E149-9A8F-4FECBF9EF17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4" authorId="0" shapeId="0" xr:uid="{41A8EE71-910E-1F45-A20E-BBD2980F0F6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14" authorId="0" shapeId="0" xr:uid="{DBEBCD37-4660-1240-BDE5-A73232C645B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15" authorId="0" shapeId="0" xr:uid="{A83079B1-552F-824F-9097-C32CDE62861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200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200*91=18,200
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J3" authorId="0" shapeId="0" xr:uid="{7ADF8BA0-056B-D045-8A6A-61B329723CD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25.5123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25.5123*91=2,322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5" authorId="0" shapeId="0" xr:uid="{9B51EF16-1AE2-0C4F-961D-60F77AA1CB2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5" authorId="0" shapeId="0" xr:uid="{5961200E-19E9-B64F-B4D3-40D59D56BE4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6" authorId="0" shapeId="0" xr:uid="{7F1D5203-C2BD-B24D-AE2C-1EBADD41D75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8.1973*91=746
</t>
        </r>
      </text>
    </comment>
    <comment ref="K6" authorId="0" shapeId="0" xr:uid="{AF5054E5-0CD3-9E46-AED5-D7384AE20EB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7" authorId="0" shapeId="0" xr:uid="{9F42ACA6-1612-A94E-9BA2-2F4159D2C36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first 200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200*91=18,200
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J5" authorId="0" shapeId="0" xr:uid="{0E449C4D-7F67-F54A-8609-78391BD5117D}">
      <text>
        <r>
          <rPr>
            <b/>
            <sz val="9"/>
            <color rgb="FF000000"/>
            <rFont val="Verdana"/>
            <family val="2"/>
          </rPr>
          <t>May Johnston: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 xml:space="preserve">Tariff stipulates first 8.2 Mj/day
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b/>
            <sz val="9"/>
            <color rgb="FF000000"/>
            <rFont val="Verdana"/>
            <family val="2"/>
          </rPr>
          <t xml:space="preserve">Rectified August 2019
</t>
        </r>
        <r>
          <rPr>
            <sz val="9"/>
            <color rgb="FF000000"/>
            <rFont val="Verdana"/>
            <family val="2"/>
          </rPr>
          <t xml:space="preserve">1st step should be 746 instead of 748
</t>
        </r>
        <r>
          <rPr>
            <sz val="9"/>
            <color rgb="FF000000"/>
            <rFont val="Verdana"/>
            <family val="2"/>
          </rPr>
          <t xml:space="preserve">8.1973*91=746
</t>
        </r>
        <r>
          <rPr>
            <sz val="9"/>
            <color rgb="FF000000"/>
            <rFont val="Verdana"/>
            <family val="2"/>
          </rPr>
          <t xml:space="preserve">
</t>
        </r>
      </text>
    </comment>
    <comment ref="K5" authorId="0" shapeId="0" xr:uid="{7781E0BC-8E99-7F40-B38D-89F3FA0A0417}">
      <text>
        <r>
          <rPr>
            <b/>
            <sz val="9"/>
            <color rgb="FF000000"/>
            <rFont val="Verdana"/>
            <family val="2"/>
          </rPr>
          <t xml:space="preserve">May Johnston:
</t>
        </r>
        <r>
          <rPr>
            <b/>
            <sz val="9"/>
            <color rgb="FF000000"/>
            <rFont val="Verdana"/>
            <family val="2"/>
          </rPr>
          <t>748+2500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 xml:space="preserve">Tariff stipulates next 19.2Mj/day
</t>
        </r>
        <r>
          <rPr>
            <b/>
            <sz val="9"/>
            <color rgb="FF000000"/>
            <rFont val="Verdana"/>
            <family val="2"/>
          </rPr>
          <t xml:space="preserve">
</t>
        </r>
        <r>
          <rPr>
            <b/>
            <sz val="9"/>
            <color rgb="FF000000"/>
            <rFont val="Verdana"/>
            <family val="2"/>
          </rPr>
          <t xml:space="preserve">Rectified August 2019
</t>
        </r>
        <r>
          <rPr>
            <sz val="9"/>
            <color rgb="FF000000"/>
            <rFont val="Verdana"/>
            <family val="2"/>
          </rPr>
          <t xml:space="preserve">Incorrect calculation.
</t>
        </r>
        <r>
          <rPr>
            <sz val="9"/>
            <color rgb="FF000000"/>
            <rFont val="Verdana"/>
            <family val="2"/>
          </rPr>
          <t xml:space="preserve">19.2*91=1,747
</t>
        </r>
        <r>
          <rPr>
            <sz val="9"/>
            <color rgb="FF000000"/>
            <rFont val="Verdana"/>
            <family val="2"/>
          </rPr>
          <t xml:space="preserve">1,747+749=2,493
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2,493 instead of 3,248 (as previously listed)</t>
        </r>
      </text>
    </comment>
    <comment ref="J6" authorId="0" shapeId="0" xr:uid="{A0B7426E-4282-0140-9428-A9556CFA664E}">
      <text>
        <r>
          <rPr>
            <b/>
            <sz val="9"/>
            <color rgb="FF000000"/>
            <rFont val="Verdana"/>
            <family val="2"/>
          </rPr>
          <t>May Johnston: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 xml:space="preserve">Tariff stipulates first 8.2 Mj/day
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b/>
            <sz val="9"/>
            <color rgb="FF000000"/>
            <rFont val="Verdana"/>
            <family val="2"/>
          </rPr>
          <t xml:space="preserve">Rectified August 2019
</t>
        </r>
        <r>
          <rPr>
            <sz val="9"/>
            <color rgb="FF000000"/>
            <rFont val="Verdana"/>
            <family val="2"/>
          </rPr>
          <t xml:space="preserve">1st step should be 746 instead of 748
</t>
        </r>
        <r>
          <rPr>
            <sz val="9"/>
            <color rgb="FF000000"/>
            <rFont val="Verdana"/>
            <family val="2"/>
          </rPr>
          <t xml:space="preserve">8.1973*91=746
</t>
        </r>
        <r>
          <rPr>
            <sz val="9"/>
            <color rgb="FF000000"/>
            <rFont val="Verdana"/>
            <family val="2"/>
          </rPr>
          <t xml:space="preserve">
</t>
        </r>
      </text>
    </comment>
    <comment ref="K6" authorId="0" shapeId="0" xr:uid="{F5BD09AE-E470-9D48-8244-2B2A4AB0F780}">
      <text>
        <r>
          <rPr>
            <b/>
            <sz val="9"/>
            <color rgb="FF000000"/>
            <rFont val="Verdana"/>
            <family val="2"/>
          </rPr>
          <t xml:space="preserve">May Johnston:
</t>
        </r>
        <r>
          <rPr>
            <b/>
            <sz val="9"/>
            <color rgb="FF000000"/>
            <rFont val="Verdana"/>
            <family val="2"/>
          </rPr>
          <t>748+2500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 xml:space="preserve">Tariff stipulates next 19.2Mj/day
</t>
        </r>
        <r>
          <rPr>
            <b/>
            <sz val="9"/>
            <color rgb="FF000000"/>
            <rFont val="Verdana"/>
            <family val="2"/>
          </rPr>
          <t xml:space="preserve">
</t>
        </r>
        <r>
          <rPr>
            <b/>
            <sz val="9"/>
            <color rgb="FF000000"/>
            <rFont val="Verdana"/>
            <family val="2"/>
          </rPr>
          <t xml:space="preserve">Rectified August 2019
</t>
        </r>
        <r>
          <rPr>
            <sz val="9"/>
            <color rgb="FF000000"/>
            <rFont val="Verdana"/>
            <family val="2"/>
          </rPr>
          <t xml:space="preserve">Incorrect calculation.
</t>
        </r>
        <r>
          <rPr>
            <sz val="9"/>
            <color rgb="FF000000"/>
            <rFont val="Verdana"/>
            <family val="2"/>
          </rPr>
          <t xml:space="preserve">19.2*91=1,747
</t>
        </r>
        <r>
          <rPr>
            <sz val="9"/>
            <color rgb="FF000000"/>
            <rFont val="Verdana"/>
            <family val="2"/>
          </rPr>
          <t xml:space="preserve">1,747+749=2,493
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2,493 instead of 3,248 (as previously listed)</t>
        </r>
      </text>
    </comment>
    <comment ref="J7" authorId="1" shapeId="0" xr:uid="{BBB300D1-7EE3-8049-B448-40595DED9891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200Mj/day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J5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5" authorId="0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6" authorId="0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6" authorId="0" shapeId="0" xr:uid="{00000000-0006-0000-0A00-000004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7" authorId="1" shapeId="0" xr:uid="{00000000-0006-0000-0A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200Mj/day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J2" authorId="0" shapeId="0" xr:uid="{00000000-0006-0000-0B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775+2325
Tariff stipulates first 8.5 Mj/day</t>
        </r>
      </text>
    </comment>
    <comment ref="K2" authorId="0" shapeId="0" xr:uid="{00000000-0006-0000-0B00-000002000000}">
      <text>
        <r>
          <rPr>
            <b/>
            <sz val="9"/>
            <color indexed="81"/>
            <rFont val="Verdana"/>
            <family val="2"/>
          </rPr>
          <t xml:space="preserve">May Johnston:
775+2325
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J4" authorId="0" shapeId="0" xr:uid="{00000000-0006-0000-0B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4" authorId="0" shapeId="0" xr:uid="{00000000-0006-0000-0B00-000004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5" authorId="0" shapeId="0" xr:uid="{00000000-0006-0000-0B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5" authorId="0" shapeId="0" xr:uid="{00000000-0006-0000-0B00-000006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6" authorId="0" shapeId="0" xr:uid="{00000000-0006-0000-0B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6" authorId="0" shapeId="0" xr:uid="{00000000-0006-0000-0B00-000008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7" authorId="1" shapeId="0" xr:uid="{00000000-0006-0000-0B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200Mj/day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12" authorId="0" shapeId="0" xr:uid="{076534AA-B675-E04B-B17D-570D6D806D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Covau's offer contains two more step increases but these do not apply before the annual consumption is more than 618,800MJ and have not been included in this workbook</t>
        </r>
      </text>
    </comment>
    <comment ref="F14" authorId="0" shapeId="0" xr:uid="{5AE87B4D-872D-4D48-B7ED-8A5E6980761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Red's offer contains two more step increases but these do not apply before the annual consumption is more than 618,800MJ and have not been included in this workbook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B6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E7" authorId="0" shapeId="0" xr:uid="{00000000-0006-0000-0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E8" authorId="0" shapeId="0" xr:uid="{00000000-0006-0000-0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F8" authorId="1" shapeId="0" xr:uid="{00000000-0006-0000-0C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Only one block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7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E8" authorId="0" shapeId="0" xr:uid="{00000000-0006-0000-0D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A15" authorId="0" shapeId="0" xr:uid="{00000000-0006-0000-0D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A24" authorId="0" shapeId="0" xr:uid="{00000000-0006-0000-0D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F25" authorId="1" shapeId="0" xr:uid="{00000000-0006-0000-0D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200Mj/day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B6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E7" authorId="0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E8" authorId="0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F8" authorId="1" shapeId="0" xr:uid="{00000000-0006-0000-0E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Only one block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7" authorId="0" shapeId="0" xr:uid="{00000000-0006-0000-0F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E8" authorId="0" shapeId="0" xr:uid="{00000000-0006-0000-0F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F8" authorId="1" shapeId="0" xr:uid="{00000000-0006-0000-0F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15" authorId="0" shapeId="0" xr:uid="{00000000-0006-0000-0F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F17" authorId="1" shapeId="0" xr:uid="{00000000-0006-0000-0F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24" authorId="0" shapeId="0" xr:uid="{00000000-0006-0000-0F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B6" authorId="0" shapeId="0" xr:uid="{00000000-0006-0000-1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F6" authorId="1" shapeId="0" xr:uid="{00000000-0006-0000-10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E7" authorId="0" shapeId="0" xr:uid="{00000000-0006-0000-10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E8" authorId="0" shapeId="0" xr:uid="{00000000-0006-0000-1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F8" authorId="1" shapeId="0" xr:uid="{00000000-0006-0000-10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Only one block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F6" authorId="0" shapeId="0" xr:uid="{00000000-0006-0000-11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E7" authorId="1" shapeId="0" xr:uid="{00000000-0006-0000-11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E8" authorId="1" shapeId="0" xr:uid="{00000000-0006-0000-11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F8" authorId="0" shapeId="0" xr:uid="{00000000-0006-0000-11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15" authorId="1" shapeId="0" xr:uid="{00000000-0006-0000-11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F15" authorId="0" shapeId="0" xr:uid="{00000000-0006-0000-11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F17" authorId="0" shapeId="0" xr:uid="{00000000-0006-0000-11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24" authorId="1" shapeId="0" xr:uid="{00000000-0006-0000-11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F24" authorId="0" shapeId="0" xr:uid="{00000000-0006-0000-11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B6" authorId="0" shapeId="0" xr:uid="{00000000-0006-0000-12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F6" authorId="1" shapeId="0" xr:uid="{00000000-0006-0000-12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E7" authorId="0" shapeId="0" xr:uid="{00000000-0006-0000-12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E8" authorId="0" shapeId="0" xr:uid="{00000000-0006-0000-12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F8" authorId="1" shapeId="0" xr:uid="{00000000-0006-0000-12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Only one block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F6" authorId="0" shapeId="0" xr:uid="{00000000-0006-0000-13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E7" authorId="1" shapeId="0" xr:uid="{00000000-0006-0000-13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F7" authorId="1" shapeId="0" xr:uid="{00000000-0006-0000-13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E8" authorId="1" shapeId="0" xr:uid="{00000000-0006-0000-13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F8" authorId="1" shapeId="0" xr:uid="{00000000-0006-0000-13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A15" authorId="1" shapeId="0" xr:uid="{00000000-0006-0000-13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F15" authorId="0" shapeId="0" xr:uid="{00000000-0006-0000-13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F16" authorId="1" shapeId="0" xr:uid="{00000000-0006-0000-13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F17" authorId="1" shapeId="0" xr:uid="{00000000-0006-0000-13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A24" authorId="1" shapeId="0" xr:uid="{00000000-0006-0000-13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F24" authorId="0" shapeId="0" xr:uid="{00000000-0006-0000-13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6" authorId="0" shapeId="0" xr:uid="{00000000-0006-0000-1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E7" authorId="0" shapeId="0" xr:uid="{00000000-0006-0000-14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E8" authorId="0" shapeId="0" xr:uid="{00000000-0006-0000-14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F8" authorId="0" shapeId="0" xr:uid="{00000000-0006-0000-14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One block only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1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Prices took effecg 26 August 2011</t>
        </r>
      </text>
    </comment>
    <comment ref="E7" authorId="0" shapeId="0" xr:uid="{00000000-0006-0000-15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200Mj/day</t>
        </r>
      </text>
    </comment>
    <comment ref="E8" authorId="0" shapeId="0" xr:uid="{00000000-0006-0000-15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Just one block</t>
        </r>
      </text>
    </comment>
    <comment ref="F8" authorId="1" shapeId="0" xr:uid="{00000000-0006-0000-1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15" authorId="0" shapeId="0" xr:uid="{00000000-0006-0000-15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F17" authorId="1" shapeId="0" xr:uid="{00000000-0006-0000-15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24" authorId="0" shapeId="0" xr:uid="{00000000-0006-0000-15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12" authorId="0" shapeId="0" xr:uid="{0E2CD039-E0C1-4644-ABDD-913CBEA7D6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Covau's offer contains two more step increases but these do not apply before the annual consumption is more than 618,800MJ and have not been included in this workbook</t>
        </r>
      </text>
    </comment>
    <comment ref="F14" authorId="0" shapeId="0" xr:uid="{47DACE35-8F98-0146-B2A1-0BC7AFAD48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Red's offer contains two more step increases but these do not apply before the annual consumption is more than 618,800MJ and have not been included in this workbook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6" authorId="0" shapeId="0" xr:uid="{00000000-0006-0000-1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F6" authorId="0" shapeId="0" xr:uid="{00000000-0006-0000-1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provided by Origin</t>
        </r>
      </text>
    </comment>
    <comment ref="E7" authorId="0" shapeId="0" xr:uid="{00000000-0006-0000-16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F7" authorId="0" shapeId="0" xr:uid="{00000000-0006-0000-16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block only</t>
        </r>
      </text>
    </comment>
    <comment ref="E8" authorId="0" shapeId="0" xr:uid="{00000000-0006-0000-1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provided by AGL</t>
        </r>
      </text>
    </comment>
    <comment ref="F6" authorId="0" shapeId="0" xr:uid="{00000000-0006-0000-17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provided by Origin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6" authorId="0" shapeId="0" xr:uid="{00000000-0006-0000-1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F6" authorId="0" shapeId="0" xr:uid="{00000000-0006-0000-18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provided by Origin</t>
        </r>
      </text>
    </comment>
    <comment ref="E7" authorId="0" shapeId="0" xr:uid="{00000000-0006-0000-18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F7" authorId="0" shapeId="0" xr:uid="{00000000-0006-0000-18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 block only</t>
        </r>
      </text>
    </comment>
    <comment ref="E8" authorId="0" shapeId="0" xr:uid="{00000000-0006-0000-18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provided by AGL</t>
        </r>
      </text>
    </comment>
    <comment ref="F6" authorId="0" shapeId="0" xr:uid="{00000000-0006-0000-19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provided by Origin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12" authorId="0" shapeId="0" xr:uid="{114CD48F-F1B3-864C-8E76-29CF4750EB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Covau's offer contains two more step increases but these do not apply before the annual consumption is more than 618,800MJ and have not been included in this workbook</t>
        </r>
      </text>
    </comment>
    <comment ref="F14" authorId="0" shapeId="0" xr:uid="{879077D2-DB0A-0C4B-BCDF-3E76A18E6E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Red's offer contains two more step increases but these do not apply before the annual consumption is more than 618,800MJ and have not been included in this workbook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9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  <comment ref="D9" authorId="1" shapeId="0" xr:uid="{00000000-0006-0000-03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D19" authorId="1" shapeId="0" xr:uid="{00000000-0006-0000-03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A27" authorId="0" shapeId="0" xr:uid="{00000000-0006-0000-03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D27" authorId="1" shapeId="0" xr:uid="{00000000-0006-0000-03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A35" authorId="0" shapeId="0" xr:uid="{00000000-0006-0000-03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D35" authorId="1" shapeId="0" xr:uid="{00000000-0006-0000-03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9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  <comment ref="D9" authorId="1" shapeId="0" xr:uid="{00000000-0006-0000-04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D19" authorId="1" shapeId="0" xr:uid="{00000000-0006-0000-04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A27" authorId="0" shapeId="0" xr:uid="{00000000-0006-0000-04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D27" authorId="1" shapeId="0" xr:uid="{00000000-0006-0000-04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A35" authorId="0" shapeId="0" xr:uid="{00000000-0006-0000-04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D35" authorId="1" shapeId="0" xr:uid="{00000000-0006-0000-04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9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  <comment ref="D9" authorId="1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D19" authorId="1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A27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D27" authorId="1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A35" authorId="0" shapeId="0" xr:uid="{00000000-0006-0000-05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D35" authorId="1" shapeId="0" xr:uid="{00000000-0006-0000-05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9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  <comment ref="D9" authorId="1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D19" authorId="1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A27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D27" authorId="1" shapeId="0" xr:uid="{00000000-0006-0000-06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  <comment ref="A35" authorId="0" shapeId="0" xr:uid="{00000000-0006-0000-06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D35" authorId="1" shapeId="0" xr:uid="{00000000-0006-0000-06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Price takes effect 13 August 2012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9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  <comment ref="A27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A35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</commentList>
</comments>
</file>

<file path=xl/sharedStrings.xml><?xml version="1.0" encoding="utf-8"?>
<sst xmlns="http://schemas.openxmlformats.org/spreadsheetml/2006/main" count="1853" uniqueCount="280">
  <si>
    <t xml:space="preserve">QUEENSLAND, ENVESTRA and APT ALLGAS </t>
    <phoneticPr fontId="10" type="noConversion"/>
  </si>
  <si>
    <t xml:space="preserve">APT Allgas, South East Queensland </t>
    <phoneticPr fontId="10" type="noConversion"/>
  </si>
  <si>
    <t>1st block</t>
    <phoneticPr fontId="10" type="noConversion"/>
  </si>
  <si>
    <t>2nd block</t>
    <phoneticPr fontId="10" type="noConversion"/>
  </si>
  <si>
    <t>Balance</t>
    <phoneticPr fontId="10" type="noConversion"/>
  </si>
  <si>
    <t>Annual bill (excl GST)</t>
  </si>
  <si>
    <t>Annual bill (incl GST)</t>
    <phoneticPr fontId="10" type="noConversion"/>
  </si>
  <si>
    <t>St Vincent de Paul Society, Queensland Tariff-Tracking Project, Workbook 2: Standard Gas Offers</t>
    <phoneticPr fontId="10" type="noConversion"/>
  </si>
  <si>
    <t>Envestra, Brisbane North &amp; Ipswich</t>
    <phoneticPr fontId="10" type="noConversion"/>
  </si>
  <si>
    <t xml:space="preserve">The energy offers, tariffs and bill calculations presented in this workbook should be used as a general guide only and should not be </t>
  </si>
  <si>
    <t>Summer or winter peak (s/w)</t>
    <phoneticPr fontId="10" type="noConversion"/>
  </si>
  <si>
    <t>Number of peak months</t>
    <phoneticPr fontId="10" type="noConversion"/>
  </si>
  <si>
    <t>*All supply charges published as quarterly charges have been divided by 91 days.</t>
  </si>
  <si>
    <t>Bill impacts July 2011</t>
    <phoneticPr fontId="10" type="noConversion"/>
  </si>
  <si>
    <t>Source: www.maketheconnection.com.au</t>
    <phoneticPr fontId="10" type="noConversion"/>
  </si>
  <si>
    <t xml:space="preserve">  </t>
  </si>
  <si>
    <t>© St Vincent de Paul Society and Alviss Consulting Pty Ltd</t>
  </si>
  <si>
    <t>5th step (MJ)</t>
    <phoneticPr fontId="10" type="noConversion"/>
  </si>
  <si>
    <t>1st peak rate (c/MJ)</t>
    <phoneticPr fontId="10" type="noConversion"/>
  </si>
  <si>
    <t>2nd peak rate (c/MJ)</t>
    <phoneticPr fontId="10" type="noConversion"/>
  </si>
  <si>
    <t>3rd peak rate (c/MJ)</t>
    <phoneticPr fontId="10" type="noConversion"/>
  </si>
  <si>
    <t>4th peak rate (c/MJ)</t>
    <phoneticPr fontId="10" type="noConversion"/>
  </si>
  <si>
    <t>5th peak rate (c/MJ)</t>
    <phoneticPr fontId="10" type="noConversion"/>
  </si>
  <si>
    <t>6th peak rate (c/MJ)</t>
    <phoneticPr fontId="10" type="noConversion"/>
  </si>
  <si>
    <t>1st off-peak rate (c/MJ)</t>
    <phoneticPr fontId="10" type="noConversion"/>
  </si>
  <si>
    <t>2nd off-peak rate (c/MJ)</t>
    <phoneticPr fontId="10" type="noConversion"/>
  </si>
  <si>
    <t>3rd off-peak rate (c/MJ)</t>
    <phoneticPr fontId="10" type="noConversion"/>
  </si>
  <si>
    <t>Standard Retail Gas Offers July 2009 (inc GST)</t>
    <phoneticPr fontId="10" type="noConversion"/>
  </si>
  <si>
    <t xml:space="preserve">Envestra's area </t>
    <phoneticPr fontId="10" type="noConversion"/>
  </si>
  <si>
    <t>2nd block (MJ/91 days)</t>
    <phoneticPr fontId="10" type="noConversion"/>
  </si>
  <si>
    <t>c/MJ 2nd block</t>
    <phoneticPr fontId="10" type="noConversion"/>
  </si>
  <si>
    <t>Bill impacts July 2015</t>
    <phoneticPr fontId="10" type="noConversion"/>
  </si>
  <si>
    <t>Standard Retail Gas Offers July 2015 (exc GST)</t>
    <phoneticPr fontId="10" type="noConversion"/>
  </si>
  <si>
    <t>QLD</t>
    <phoneticPr fontId="10" type="noConversion"/>
  </si>
  <si>
    <t>APT Brisbane South</t>
    <phoneticPr fontId="10" type="noConversion"/>
  </si>
  <si>
    <t>AGL</t>
    <phoneticPr fontId="10" type="noConversion"/>
  </si>
  <si>
    <t>quarterly</t>
    <phoneticPr fontId="10" type="noConversion"/>
  </si>
  <si>
    <t>n</t>
    <phoneticPr fontId="10" type="noConversion"/>
  </si>
  <si>
    <t>Standing offer</t>
    <phoneticPr fontId="10" type="noConversion"/>
  </si>
  <si>
    <t>QLD</t>
    <phoneticPr fontId="10" type="noConversion"/>
  </si>
  <si>
    <t>APT Brisbane South</t>
    <phoneticPr fontId="10" type="noConversion"/>
  </si>
  <si>
    <t>Origin Energy</t>
    <phoneticPr fontId="10" type="noConversion"/>
  </si>
  <si>
    <t>quarterly</t>
    <phoneticPr fontId="10" type="noConversion"/>
  </si>
  <si>
    <t>Envestra Brisbane North</t>
    <phoneticPr fontId="10" type="noConversion"/>
  </si>
  <si>
    <t>AGL</t>
    <phoneticPr fontId="10" type="noConversion"/>
  </si>
  <si>
    <t>Envestra Northern</t>
    <phoneticPr fontId="10" type="noConversion"/>
  </si>
  <si>
    <t>Envestra Wide bay</t>
    <phoneticPr fontId="10" type="noConversion"/>
  </si>
  <si>
    <t>Annual average</t>
  </si>
  <si>
    <t>Annual bill</t>
  </si>
  <si>
    <t>Qtr bill balance</t>
    <phoneticPr fontId="10" type="noConversion"/>
  </si>
  <si>
    <t>Fixed charges/Qtr</t>
    <phoneticPr fontId="10" type="noConversion"/>
  </si>
  <si>
    <t>Qtr bill</t>
    <phoneticPr fontId="10" type="noConversion"/>
  </si>
  <si>
    <t xml:space="preserve">workbook, it is suitable for use only as a research and advocacy tool. We do not accept any legal responsibility for errors or inaccuracies. </t>
  </si>
  <si>
    <t>Bill impacts July 2010</t>
    <phoneticPr fontId="10" type="noConversion"/>
  </si>
  <si>
    <t xml:space="preserve">1) Inform the community about changes to energy retail prices and increase consumer awareness </t>
  </si>
  <si>
    <t>Supply charge</t>
  </si>
  <si>
    <t xml:space="preserve">this workbook or for any loss, economic or otherwise, suffered as a result of reliance on the information presented in this workbook. If you </t>
    <phoneticPr fontId="25" type="noConversion"/>
  </si>
  <si>
    <t>Envestra</t>
  </si>
  <si>
    <t>Qtr bill 2nd block</t>
    <phoneticPr fontId="10" type="noConversion"/>
  </si>
  <si>
    <t>Envestra, Northern retail area</t>
    <phoneticPr fontId="10" type="noConversion"/>
  </si>
  <si>
    <t>Envestra, Wide Bay area</t>
    <phoneticPr fontId="10" type="noConversion"/>
  </si>
  <si>
    <t>Effective from</t>
    <phoneticPr fontId="10" type="noConversion"/>
  </si>
  <si>
    <t>State</t>
    <phoneticPr fontId="10" type="noConversion"/>
  </si>
  <si>
    <t>Pricing zone</t>
    <phoneticPr fontId="10" type="noConversion"/>
  </si>
  <si>
    <t>Effective from</t>
    <phoneticPr fontId="10" type="noConversion"/>
  </si>
  <si>
    <t>Name</t>
    <phoneticPr fontId="10" type="noConversion"/>
  </si>
  <si>
    <t>block type</t>
    <phoneticPr fontId="10" type="noConversion"/>
  </si>
  <si>
    <t>1st step (MJ)</t>
    <phoneticPr fontId="10" type="noConversion"/>
  </si>
  <si>
    <t>2nd step (MJ)</t>
    <phoneticPr fontId="10" type="noConversion"/>
  </si>
  <si>
    <t>3rd step (MJ)</t>
    <phoneticPr fontId="10" type="noConversion"/>
  </si>
  <si>
    <t>4th step (MJ)</t>
    <phoneticPr fontId="10" type="noConversion"/>
  </si>
  <si>
    <t>2) Monitor the impact tariff changes have on household bills and energy affordability</t>
  </si>
  <si>
    <t xml:space="preserve">relied upon. The workbook is not an appropriate substitute for obtaining an offer from an energy retailer.  The information presented </t>
  </si>
  <si>
    <t>Bill impacts July 2014</t>
    <phoneticPr fontId="10" type="noConversion"/>
  </si>
  <si>
    <t>Standard Retail Gas Offers July 2014 (inc GST)</t>
    <phoneticPr fontId="10" type="noConversion"/>
  </si>
  <si>
    <t>4th off-peak rate (c/MJ)</t>
    <phoneticPr fontId="10" type="noConversion"/>
  </si>
  <si>
    <t>5th off-peak rate (c/MJ)</t>
    <phoneticPr fontId="10" type="noConversion"/>
  </si>
  <si>
    <t>6th off-peak rate (c/MJ)</t>
    <phoneticPr fontId="10" type="noConversion"/>
  </si>
  <si>
    <t>1st shoulder rate (c/MJ)</t>
    <phoneticPr fontId="10" type="noConversion"/>
  </si>
  <si>
    <t>2nd shoulder rate (c/MJ)</t>
    <phoneticPr fontId="10" type="noConversion"/>
  </si>
  <si>
    <t>3rd shoulder rate (c/MJ)</t>
    <phoneticPr fontId="10" type="noConversion"/>
  </si>
  <si>
    <t>4th shoulder rate (c/MJ)</t>
    <phoneticPr fontId="10" type="noConversion"/>
  </si>
  <si>
    <t>5th shoulder rate (c/MJ)</t>
    <phoneticPr fontId="10" type="noConversion"/>
  </si>
  <si>
    <t>6th shoulder rate (c/MJ)</t>
    <phoneticPr fontId="10" type="noConversion"/>
  </si>
  <si>
    <t>Seasonal? (y/n)</t>
    <phoneticPr fontId="10" type="noConversion"/>
  </si>
  <si>
    <t>Number of off-peak months</t>
    <phoneticPr fontId="10" type="noConversion"/>
  </si>
  <si>
    <t>intellectual property and subject to copyright. Apart from any use permitted under the Copyright Act 1968 (Ctw),</t>
    <phoneticPr fontId="25" type="noConversion"/>
  </si>
  <si>
    <t xml:space="preserve">no parts may be adapted, reproduced, copied, stored, distributed, published or put to commercial use </t>
    <phoneticPr fontId="25" type="noConversion"/>
  </si>
  <si>
    <t xml:space="preserve">without prior written permission from the St Vincent de Paul Society. </t>
  </si>
  <si>
    <t>c/Mj 2nd block</t>
    <phoneticPr fontId="10" type="noConversion"/>
  </si>
  <si>
    <t>Queensland Tariff-Tracking Project, St Vincent de Paul Society</t>
    <phoneticPr fontId="0" type="noConversion"/>
  </si>
  <si>
    <t>Qtr bill 1st block or all usage</t>
    <phoneticPr fontId="10" type="noConversion"/>
  </si>
  <si>
    <t>ID</t>
  </si>
  <si>
    <t>Timestamp</t>
    <phoneticPr fontId="10" type="noConversion"/>
  </si>
  <si>
    <t>Retailer</t>
  </si>
  <si>
    <t>Supply (c/day)</t>
  </si>
  <si>
    <t xml:space="preserve">The St Vincent de Paul Society and Alviss Consulting Pty Ltd do not accept liability for any action taken based on the information provided in  </t>
    <phoneticPr fontId="25" type="noConversion"/>
  </si>
  <si>
    <t>1st block (MJ/91 days)</t>
    <phoneticPr fontId="10" type="noConversion"/>
  </si>
  <si>
    <t>AGL</t>
  </si>
  <si>
    <t>AGL</t>
    <phoneticPr fontId="10" type="noConversion"/>
  </si>
  <si>
    <t>Origin</t>
  </si>
  <si>
    <t>Origin</t>
    <phoneticPr fontId="10" type="noConversion"/>
  </si>
  <si>
    <t xml:space="preserve">in the workbook is not provided as financial advice. While we have taken great care to ensure accuracy of the information provided in this </t>
  </si>
  <si>
    <t>Acknowledgement:</t>
    <phoneticPr fontId="13" type="noConversion"/>
  </si>
  <si>
    <t>website or contact the energy retailers directly.</t>
    <phoneticPr fontId="10" type="noConversion"/>
  </si>
  <si>
    <t>This project has been funded by the Energy Consumers Australia (ECA) and its predecessor, the Consumer Advocacy Panel.</t>
    <phoneticPr fontId="10" type="noConversion"/>
  </si>
  <si>
    <t xml:space="preserve">Envestra's area </t>
    <phoneticPr fontId="10" type="noConversion"/>
  </si>
  <si>
    <t xml:space="preserve">*Analysis of bills (consumption level variable) across networks and retailers (inc GST) </t>
    <phoneticPr fontId="10" type="noConversion"/>
  </si>
  <si>
    <t>can be ajusted All red cells contain variables for the user to insert</t>
    <phoneticPr fontId="10" type="noConversion"/>
  </si>
  <si>
    <t>c/MJ 1st block peak/consumption</t>
    <phoneticPr fontId="10" type="noConversion"/>
  </si>
  <si>
    <t>Standard Retail Gas Offers</t>
    <phoneticPr fontId="10" type="noConversion"/>
  </si>
  <si>
    <t>Brisbane North &amp; Ipswich</t>
    <phoneticPr fontId="10" type="noConversion"/>
  </si>
  <si>
    <t>2nd block (MJ/91 days)</t>
    <phoneticPr fontId="10" type="noConversion"/>
  </si>
  <si>
    <t>1st block (MJ/91 days)</t>
    <phoneticPr fontId="10" type="noConversion"/>
  </si>
  <si>
    <t xml:space="preserve">This workbook is copyright. All works contained in it are St Vincent de Paul Society and Alviss Consulting’s  </t>
    <phoneticPr fontId="25" type="noConversion"/>
  </si>
  <si>
    <t>Project outputs</t>
  </si>
  <si>
    <t xml:space="preserve">APT's area </t>
    <phoneticPr fontId="10" type="noConversion"/>
  </si>
  <si>
    <t>2nd block (MJ/91 days)</t>
    <phoneticPr fontId="10" type="noConversion"/>
  </si>
  <si>
    <t>Brisbane North &amp; Ipswitch</t>
    <phoneticPr fontId="10" type="noConversion"/>
  </si>
  <si>
    <t>Norhern retail area</t>
    <phoneticPr fontId="10" type="noConversion"/>
  </si>
  <si>
    <t>Wide Bay area</t>
    <phoneticPr fontId="10" type="noConversion"/>
  </si>
  <si>
    <t>South East Queensland</t>
    <phoneticPr fontId="10" type="noConversion"/>
  </si>
  <si>
    <t>n/a</t>
    <phoneticPr fontId="10" type="noConversion"/>
  </si>
  <si>
    <t>n/a</t>
    <phoneticPr fontId="10" type="noConversion"/>
  </si>
  <si>
    <t>na</t>
    <phoneticPr fontId="10" type="noConversion"/>
  </si>
  <si>
    <t>APT</t>
    <phoneticPr fontId="10" type="noConversion"/>
  </si>
  <si>
    <t xml:space="preserve">St Vincent de Paul Society, Queensland Tariff-Tracking Project, Workbook 2: Standard Retail Gas Prices </t>
    <phoneticPr fontId="10" type="noConversion"/>
  </si>
  <si>
    <t>c/MJ peak balance</t>
  </si>
  <si>
    <t>c/per day fixed charges</t>
  </si>
  <si>
    <t>Bill impacts July 2009</t>
    <phoneticPr fontId="10" type="noConversion"/>
  </si>
  <si>
    <t>Bill impacts July 2012</t>
    <phoneticPr fontId="10" type="noConversion"/>
  </si>
  <si>
    <t>changes to domestic energy offers in Victoria.  If regularly updated, this tariff-tracking tool can be used to:</t>
  </si>
  <si>
    <t>DISCLAIMER:</t>
  </si>
  <si>
    <t>would like to obtain information about energy offers available to you as a customer, go to the Australian Energy Regulator’s 'Energy Made Easy"</t>
    <phoneticPr fontId="10" type="noConversion"/>
  </si>
  <si>
    <t>Standard Retail Gas Offers July 2010 (inc GST)</t>
    <phoneticPr fontId="10" type="noConversion"/>
  </si>
  <si>
    <t>Standard Retail Gas Offers July 2011 (inc GST)</t>
    <phoneticPr fontId="10" type="noConversion"/>
  </si>
  <si>
    <t>Standard Retail Gas Offers July 2012 (inc GST)</t>
    <phoneticPr fontId="10" type="noConversion"/>
  </si>
  <si>
    <t>Bill impacts July 2013</t>
    <phoneticPr fontId="10" type="noConversion"/>
  </si>
  <si>
    <t>Standard Retail Gas Offers July 2013 (inc GST)</t>
    <phoneticPr fontId="10" type="noConversion"/>
  </si>
  <si>
    <t>Origin</t>
    <phoneticPr fontId="10" type="noConversion"/>
  </si>
  <si>
    <t>This workbook contains:</t>
  </si>
  <si>
    <t>By May Mauseth Johnston, Alviss Consulting Pty Ltd</t>
    <phoneticPr fontId="0" type="noConversion"/>
  </si>
  <si>
    <t>Tab colours:</t>
  </si>
  <si>
    <t>July 2010</t>
  </si>
  <si>
    <t>Purpose of project</t>
  </si>
  <si>
    <t>July 2009</t>
  </si>
  <si>
    <t>1st block (MJ/91 days)</t>
    <phoneticPr fontId="10" type="noConversion"/>
  </si>
  <si>
    <t>*All spreadsheets except the 8 "Bills" spreadsheets are locked so that tariff rates cannot accidentally be changed.</t>
    <phoneticPr fontId="13" type="noConversion"/>
  </si>
  <si>
    <t>The main purpose of this workbook is to provide consumer advocates with a tool to track and analyse</t>
  </si>
  <si>
    <t>QLD</t>
    <phoneticPr fontId="6" type="noConversion"/>
  </si>
  <si>
    <t>APT Brisbane South</t>
    <phoneticPr fontId="6" type="noConversion"/>
  </si>
  <si>
    <t>Envestra Brisbane North</t>
    <phoneticPr fontId="6" type="noConversion"/>
  </si>
  <si>
    <t>Origin Energy</t>
    <phoneticPr fontId="6" type="noConversion"/>
  </si>
  <si>
    <t>Envestra Northern</t>
    <phoneticPr fontId="6" type="noConversion"/>
  </si>
  <si>
    <t>Envestra Wide bay</t>
    <phoneticPr fontId="6" type="noConversion"/>
  </si>
  <si>
    <t>quarterly</t>
    <phoneticPr fontId="6" type="noConversion"/>
  </si>
  <si>
    <t>July 2017</t>
  </si>
  <si>
    <r>
      <t>Report 1: Queensland</t>
    </r>
    <r>
      <rPr>
        <sz val="10"/>
        <rFont val="Arial"/>
        <family val="2"/>
      </rPr>
      <t xml:space="preserve"> Energy Prices 2009 - 2012</t>
    </r>
    <r>
      <rPr>
        <sz val="10"/>
        <rFont val="Verdana"/>
        <family val="2"/>
      </rPr>
      <t xml:space="preserve"> (August 2012)   </t>
    </r>
  </si>
  <si>
    <r>
      <t>Report 2: Queensland</t>
    </r>
    <r>
      <rPr>
        <sz val="10"/>
        <rFont val="Arial"/>
        <family val="2"/>
      </rPr>
      <t xml:space="preserve"> Energy Prices July 2012 - July 2013, An update report</t>
    </r>
    <r>
      <rPr>
        <sz val="10"/>
        <rFont val="Verdana"/>
        <family val="2"/>
      </rPr>
      <t xml:space="preserve"> (August 2013)   </t>
    </r>
  </si>
  <si>
    <r>
      <t>Report 3: Queensland</t>
    </r>
    <r>
      <rPr>
        <sz val="10"/>
        <rFont val="Arial"/>
        <family val="2"/>
      </rPr>
      <t xml:space="preserve"> Energy Prices July 2013 - July 2014, An update report</t>
    </r>
    <r>
      <rPr>
        <sz val="10"/>
        <rFont val="Verdana"/>
        <family val="2"/>
      </rPr>
      <t xml:space="preserve"> (July 2014)   </t>
    </r>
  </si>
  <si>
    <r>
      <t>Report 4: Queensland</t>
    </r>
    <r>
      <rPr>
        <sz val="10"/>
        <rFont val="Arial"/>
        <family val="2"/>
      </rPr>
      <t xml:space="preserve"> Energy Prices July 2014 - July 2015, An update report</t>
    </r>
    <r>
      <rPr>
        <sz val="10"/>
        <rFont val="Verdana"/>
        <family val="2"/>
      </rPr>
      <t xml:space="preserve"> (July 2015)   </t>
    </r>
  </si>
  <si>
    <r>
      <t>Report 5: Queensland</t>
    </r>
    <r>
      <rPr>
        <sz val="10"/>
        <rFont val="Arial"/>
        <family val="2"/>
      </rPr>
      <t xml:space="preserve"> Energy Prices July 2015 - July 2016, An update report</t>
    </r>
    <r>
      <rPr>
        <sz val="10"/>
        <rFont val="Verdana"/>
        <family val="2"/>
      </rPr>
      <t xml:space="preserve"> (July 2016)   </t>
    </r>
  </si>
  <si>
    <r>
      <t>Report 6: Queensland</t>
    </r>
    <r>
      <rPr>
        <sz val="10"/>
        <rFont val="Arial"/>
        <family val="2"/>
      </rPr>
      <t xml:space="preserve"> Energy Prices July 2017, An update report</t>
    </r>
    <r>
      <rPr>
        <sz val="10"/>
        <rFont val="Verdana"/>
        <family val="2"/>
      </rPr>
      <t xml:space="preserve"> (August 2017)   </t>
    </r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</si>
  <si>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</si>
  <si>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July 2018</t>
  </si>
  <si>
    <r>
      <t>Report 7: Queensland</t>
    </r>
    <r>
      <rPr>
        <sz val="10"/>
        <rFont val="Arial"/>
        <family val="2"/>
      </rPr>
      <t xml:space="preserve"> Energy Prices July 2018, An update report</t>
    </r>
    <r>
      <rPr>
        <sz val="10"/>
        <rFont val="Verdana"/>
        <family val="2"/>
      </rPr>
      <t xml:space="preserve"> (August 2018)   </t>
    </r>
  </si>
  <si>
    <r>
      <t>Report 8: Queensland</t>
    </r>
    <r>
      <rPr>
        <sz val="10"/>
        <rFont val="Arial"/>
        <family val="2"/>
      </rPr>
      <t xml:space="preserve"> Energy Prices July 2019, An update report</t>
    </r>
    <r>
      <rPr>
        <sz val="10"/>
        <rFont val="Verdana"/>
        <family val="2"/>
      </rPr>
      <t xml:space="preserve"> (August 2019)   </t>
    </r>
  </si>
  <si>
    <t>July 2019</t>
  </si>
  <si>
    <t>July 2016</t>
  </si>
  <si>
    <t>July 2015</t>
  </si>
  <si>
    <t>July 2014</t>
  </si>
  <si>
    <t>July 2012</t>
  </si>
  <si>
    <t>July 2011</t>
  </si>
  <si>
    <t>https://www.energymadeeasy.gov.au/offer/977783?utm_source=AGL&amp;utm_campaign=bpi-retailer&amp;utm_medium=retailer</t>
  </si>
  <si>
    <t>Link</t>
  </si>
  <si>
    <t>https://www.energymadeeasy.gov.au/offer/977784?utm_source=AGL&amp;utm_campaign=bpi-retailer&amp;utm_medium=retailer</t>
  </si>
  <si>
    <t>https://www.energymadeeasy.gov.au/offer/991863?utm_source=Origin%20Energy&amp;utm_campaign=bpi-retailer&amp;utm_medium=retailer</t>
  </si>
  <si>
    <t>https://www.energymadeeasy.gov.au/offer/991860?utm_source=Origin%20Energy&amp;utm_campaign=bpi-retailer&amp;utm_medium=retailer</t>
  </si>
  <si>
    <t>https://www.energymadeeasy.gov.au/offer/991861?utm_source=Origin%20Energy&amp;utm_campaign=bpi-retailer&amp;utm_medium=retailer</t>
  </si>
  <si>
    <t>https://www.energymadeeasy.gov.au/offer/991862?utm_source=Origin%20Energy&amp;utm_campaign=bpi-retailer&amp;utm_medium=retailer</t>
  </si>
  <si>
    <r>
      <t>Report 9: Queensland</t>
    </r>
    <r>
      <rPr>
        <sz val="10"/>
        <rFont val="Arial"/>
        <family val="2"/>
      </rPr>
      <t xml:space="preserve"> Energy Prices July 2020, An update report</t>
    </r>
    <r>
      <rPr>
        <sz val="10"/>
        <rFont val="Verdana"/>
        <family val="2"/>
      </rPr>
      <t xml:space="preserve"> (August 2020)   </t>
    </r>
  </si>
  <si>
    <t>July 2020</t>
  </si>
  <si>
    <t>*The spreadsheets (bills) are interactive spreadsheet where quarterly consumption (MJ)</t>
  </si>
  <si>
    <t>Insert quartely consumption (MJ):</t>
  </si>
  <si>
    <t>Insert quarterly consumption (MJ):</t>
  </si>
  <si>
    <t>QLD</t>
    <phoneticPr fontId="0" type="noConversion"/>
  </si>
  <si>
    <t>APT Brisbane South</t>
    <phoneticPr fontId="0" type="noConversion"/>
  </si>
  <si>
    <t>AGL</t>
    <phoneticPr fontId="0" type="noConversion"/>
  </si>
  <si>
    <t>Standing offer</t>
    <phoneticPr fontId="0" type="noConversion"/>
  </si>
  <si>
    <t>n</t>
    <phoneticPr fontId="0" type="noConversion"/>
  </si>
  <si>
    <t>https://www.energymadeeasy.gov.au/plan?id=AGL15286SRG2&amp;postcode=4217</t>
  </si>
  <si>
    <t>Origin Energy</t>
    <phoneticPr fontId="0" type="noConversion"/>
  </si>
  <si>
    <t>quarterly</t>
    <phoneticPr fontId="0" type="noConversion"/>
  </si>
  <si>
    <t>https://www.energymadeeasy.gov.au/plan?id=ORI18930SRG3&amp;postcode=4217</t>
  </si>
  <si>
    <t>Alinta Energy</t>
  </si>
  <si>
    <t>Standing offer</t>
  </si>
  <si>
    <t>n</t>
  </si>
  <si>
    <t>https://www.energymadeeasy.gov.au/plan?id=ALI45813MRG&amp;postcode=4217</t>
  </si>
  <si>
    <t>CovaU</t>
  </si>
  <si>
    <t>Standard offer</t>
  </si>
  <si>
    <t>https://www.energymadeeasy.gov.au/plan?id=COV12978SRG3&amp;postcode=4217</t>
  </si>
  <si>
    <t>GloBird Energy</t>
  </si>
  <si>
    <t>https://www.energymadeeasy.gov.au/plan?id=GLO48737SRG1&amp;postcode=4217</t>
  </si>
  <si>
    <t>Red Energy</t>
  </si>
  <si>
    <t>https://www.energymadeeasy.gov.au/plan?id=RED21244SRG3&amp;postcode=4217</t>
  </si>
  <si>
    <t>Envestra Brisbane North</t>
    <phoneticPr fontId="0" type="noConversion"/>
  </si>
  <si>
    <t>https://www.energymadeeasy.gov.au/plan?id=AGL15285SRG2&amp;postcode=4000</t>
  </si>
  <si>
    <t>https://www.energymadeeasy.gov.au/plan?id=ORI18933SRG3&amp;postcode=4000</t>
  </si>
  <si>
    <t>https://www.energymadeeasy.gov.au/plan?id=ALI45816MRG2&amp;utm_source=Alinta%20Energy&amp;utm_campaign=bpi-retailer&amp;utm_medium=retailer&amp;postcode=4000</t>
  </si>
  <si>
    <t>https://www.energymadeeasy.gov.au/plan?id=COV12976SRG3&amp;postcode=4000</t>
  </si>
  <si>
    <t>https://www.energymadeeasy.gov.au/plan?id=GLO49336SRG1&amp;postcode=4000</t>
  </si>
  <si>
    <t>https://www.energymadeeasy.gov.au/plan?id=RED21243SRG3&amp;postcode=4000</t>
  </si>
  <si>
    <t>Envestra Northern</t>
    <phoneticPr fontId="0" type="noConversion"/>
  </si>
  <si>
    <t>https://www.energymadeeasy.gov.au/plan?id=ORI18932SRG3&amp;postcode=4680</t>
  </si>
  <si>
    <t>Envestra Wide bay</t>
    <phoneticPr fontId="0" type="noConversion"/>
  </si>
  <si>
    <t>https://www.energymadeeasy.gov.au/plan?id=ORI19120MRG3&amp;postcode=4670</t>
  </si>
  <si>
    <t>Quarterly bill</t>
  </si>
  <si>
    <t>Origin Energy</t>
  </si>
  <si>
    <t>Retailers:</t>
  </si>
  <si>
    <t>https://www.energymadeeasy.gov.au/plan?id=AGL15286SRG&amp;postcode=4217</t>
  </si>
  <si>
    <t>https://www.energymadeeasy.gov.au/plan?id=AGL15285SRG8&amp;utm_source=AGL&amp;utm_campaign=bpi-retailer&amp;utm_medium=retailer&amp;postcode=4000</t>
  </si>
  <si>
    <t>https://www.originenergy.com.au/content/dam/origin/residential/docs/energy-price-fact-sheets/pricechange2021/QLD_Standing_Resi_Gas_APT.pdf</t>
  </si>
  <si>
    <t>https://www.originenergy.com.au/content/dam/origin/residential/docs/energy-price-fact-sheets/pricechange2021/QLD_Standing_Resi_Gas_Brisbane.pdf</t>
  </si>
  <si>
    <t>https://www.originenergy.com.au/content/dam/origin/residential/docs/energy-price-fact-sheets/pricechange2021/QLD_Standing_Resi_Gas_Northern.pdf</t>
  </si>
  <si>
    <t>https://www.originenergy.com.au/content/dam/origin/residential/docs/energy-price-fact-sheets/pricechange2021/QLD_Standing_Resi_Gas_Wide_Bay.pdf</t>
  </si>
  <si>
    <t>https://www.energymadeeasy.gov.au/plan?id=ALI45815SRG&amp;postcode=4217</t>
  </si>
  <si>
    <t>https://www.energymadeeasy.gov.au/plan?id=ALI45818SRG9&amp;utm_source=Alinta%20Energy&amp;utm_campaign=bpi-retailer&amp;utm_medium=retailer&amp;postcode=4000</t>
  </si>
  <si>
    <t>https://www.energymadeeasy.gov.au/plan?id=COV252647SRG&amp;postcode=4217</t>
  </si>
  <si>
    <t>https://www.energymadeeasy.gov.au/plan?id=COV252645SRG2&amp;utm_source=CovaU&amp;utm_campaign=bpi-retailer&amp;utm_medium=retailer&amp;postcode=4000</t>
  </si>
  <si>
    <t>https://www.globirdenergy.com.au/shared-assets/pdf/Standing_Offer_Tariffs_Gas-QLD.pdf</t>
  </si>
  <si>
    <t>https://www.energymadeeasy.gov.au/plan?id=RED21244SRG&amp;postcode=4217</t>
  </si>
  <si>
    <t>https://www.energymadeeasy.gov.au/plan?id=RED21243SRG&amp;postcode=4000</t>
  </si>
  <si>
    <t>QLD</t>
  </si>
  <si>
    <t>APT Brisbane South</t>
  </si>
  <si>
    <t>quarterly</t>
  </si>
  <si>
    <t>Envestra Brisbane North</t>
  </si>
  <si>
    <t>Envestra Northern</t>
  </si>
  <si>
    <t>Envestra Wide bay</t>
  </si>
  <si>
    <r>
      <t>Report 10: Queensland</t>
    </r>
    <r>
      <rPr>
        <sz val="10"/>
        <rFont val="Arial"/>
        <family val="2"/>
      </rPr>
      <t xml:space="preserve"> Energy Prices July 2021, An update report</t>
    </r>
    <r>
      <rPr>
        <sz val="10"/>
        <rFont val="Verdana"/>
        <family val="2"/>
      </rPr>
      <t xml:space="preserve"> (September 2021)   </t>
    </r>
  </si>
  <si>
    <t>July 2021</t>
  </si>
  <si>
    <t>July 2022</t>
  </si>
  <si>
    <t xml:space="preserve">Workbook 2: Standard Retail Gas Prices </t>
  </si>
  <si>
    <r>
      <t>Report 11: Queensland</t>
    </r>
    <r>
      <rPr>
        <sz val="10"/>
        <rFont val="Arial"/>
        <family val="2"/>
      </rPr>
      <t xml:space="preserve"> Energy Prices July 2022, An update report</t>
    </r>
    <r>
      <rPr>
        <sz val="10"/>
        <rFont val="Verdana"/>
        <family val="2"/>
      </rPr>
      <t xml:space="preserve"> (August 2022)   </t>
    </r>
  </si>
  <si>
    <t>https://www.energymadeeasy.gov.au/plan?id=ORI429171SRG1&amp;postcode=4000</t>
  </si>
  <si>
    <t>https://www.energymadeeasy.gov.au/plan?id=ALI45818SRG11&amp;postcode=4000</t>
  </si>
  <si>
    <t>https://www.energymadeeasy.gov.au/plan?id=COV428697SRG1&amp;postcode=4000</t>
  </si>
  <si>
    <t>https://www.energymadeeasy.gov.au/plan?id=AGL15286SRG11&amp;postcode=4217</t>
  </si>
  <si>
    <t>https://www.energymadeeasy.gov.au/plan?id=ORI429137SRG1&amp;postcode=4217</t>
  </si>
  <si>
    <t>https://www.energymadeeasy.gov.au/plan?id=ALI45815SRG10&amp;postcode=4217</t>
  </si>
  <si>
    <t>https://www.energymadeeasy.gov.au/plan?id=COV428698SRG1&amp;postcode=4217</t>
  </si>
  <si>
    <t>https://www.energymadeeasy.gov.au/plan?id=RED21244SRG6&amp;postcode=4217</t>
  </si>
  <si>
    <t>https://www.energymadeeasy.gov.au/plan?id=AGL15285SRG11&amp;postcode=4000</t>
  </si>
  <si>
    <t>https://www.energymadeeasy.gov.au/plan?id=RED21243SRG5&amp;postcode=4000</t>
  </si>
  <si>
    <t>https://www.energymadeeasy.gov.au/plan?id=ORI429148SRG1&amp;postcode=4700</t>
  </si>
  <si>
    <t>https://www.energymadeeasy.gov.au/plan?id=ORI429172SRG1&amp;postcode=4655</t>
  </si>
  <si>
    <t>https://www.energymadeeasy.gov.au/plan?id=GLO433104SRG1&amp;postcode=4217</t>
  </si>
  <si>
    <t>https://www.energymadeeasy.gov.au/plan?id=GLO433102SRG1&amp;postcode=4000</t>
  </si>
  <si>
    <t>July 2023</t>
  </si>
  <si>
    <t>*Non-regulated gas standing offers from 2009 to 2023 (inc GST)</t>
  </si>
  <si>
    <t xml:space="preserve">The Queensland Tariff-Tracking project has produced 5 workbooks and 12 reports: </t>
  </si>
  <si>
    <t>Workbook 1: Regulated/standard electricity offers 2009 - 2023</t>
  </si>
  <si>
    <t>Workbook 2: Standard retail gas offers 2009 - 2023</t>
  </si>
  <si>
    <t>Workbook 3: Published electricity market offers as of July 2012 - July 2023</t>
  </si>
  <si>
    <t>Workbook 4: Published gas market offers as of July 2012 - July 2023</t>
  </si>
  <si>
    <t>Workbook 5: Solar market offers as of July 2016 - July 2023</t>
  </si>
  <si>
    <r>
      <t>Report 12: Queensland</t>
    </r>
    <r>
      <rPr>
        <sz val="10"/>
        <rFont val="Arial"/>
        <family val="2"/>
      </rPr>
      <t xml:space="preserve"> Energy Prices July 2023, An update report</t>
    </r>
    <r>
      <rPr>
        <sz val="10"/>
        <rFont val="Verdana"/>
        <family val="2"/>
      </rPr>
      <t xml:space="preserve"> (September 2023)   </t>
    </r>
  </si>
  <si>
    <t>https://www.energymadeeasy.gov.au/plan?id=AGL15285SRG15&amp;postcode=4000</t>
  </si>
  <si>
    <t>https://www.energymadeeasy.gov.au/plan?id=ORI429171SRG4&amp;postcode=4000</t>
  </si>
  <si>
    <t>https://www.energymadeeasy.gov.au/plan?id=ALI45818SRG12&amp;postcode=4000</t>
  </si>
  <si>
    <t>https://www.energymadeeasy.gov.au/plan?id=GLO578761SRG1&amp;postcode=4000</t>
  </si>
  <si>
    <t>https://www.energymadeeasy.gov.au/plan?id=RED21243SRG6&amp;postcode=4000</t>
  </si>
  <si>
    <t>https://www.energymadeeasy.gov.au/plan?id=AGL15286SRG15&amp;postcode=4217</t>
  </si>
  <si>
    <t>https://www.energymadeeasy.gov.au/plan?id=ORI429137SRG4&amp;postcode=4217</t>
  </si>
  <si>
    <t>https://www.energymadeeasy.gov.au/plan?id=ALI45815SRG11&amp;postcode=4217</t>
  </si>
  <si>
    <t>https://www.energymadeeasy.gov.au/plan?id=GLO578763SRG1&amp;postcode=4217</t>
  </si>
  <si>
    <t>https://www.energymadeeasy.gov.au/plan?id=RED21244SRG7&amp;postcode=4217</t>
  </si>
  <si>
    <t>https://www.energymadeeasy.gov.au/plan?id=COV523091SRG1&amp;postcode=4217</t>
  </si>
  <si>
    <t>https://www.energymadeeasy.gov.au/plan?id=COV523092SRG1&amp;postcode=4000</t>
  </si>
  <si>
    <t>https://www.energymadeeasy.gov.au/plan?id=ORI429148SRG4&amp;postcode=4700</t>
  </si>
  <si>
    <t>https://www.energymadeeasy.gov.au/plan?id=ORI429172SRG4&amp;postcode=4655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</si>
</sst>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40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57"/>
      <name val="Arial"/>
      <family val="2"/>
    </font>
    <font>
      <sz val="10"/>
      <color indexed="9"/>
      <name val="Verdana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color indexed="18"/>
      <name val="Arial"/>
      <family val="2"/>
    </font>
    <font>
      <sz val="10"/>
      <color indexed="18"/>
      <name val="Verdana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0"/>
      <name val="Verdana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Verdana"/>
      <family val="2"/>
    </font>
    <font>
      <b/>
      <sz val="10"/>
      <color theme="0"/>
      <name val="Verdana"/>
      <family val="2"/>
    </font>
  </fonts>
  <fills count="2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194">
    <xf numFmtId="0" fontId="0" fillId="0" borderId="0" xfId="0"/>
    <xf numFmtId="0" fontId="0" fillId="2" borderId="0" xfId="0" applyFill="1"/>
    <xf numFmtId="0" fontId="17" fillId="0" borderId="0" xfId="0" applyFont="1"/>
    <xf numFmtId="0" fontId="0" fillId="5" borderId="9" xfId="0" applyFill="1" applyBorder="1"/>
    <xf numFmtId="0" fontId="0" fillId="4" borderId="9" xfId="0" applyFill="1" applyBorder="1"/>
    <xf numFmtId="0" fontId="0" fillId="2" borderId="9" xfId="0" applyFill="1" applyBorder="1"/>
    <xf numFmtId="0" fontId="0" fillId="3" borderId="9" xfId="0" applyFill="1" applyBorder="1"/>
    <xf numFmtId="0" fontId="16" fillId="0" borderId="10" xfId="0" applyFont="1" applyBorder="1"/>
    <xf numFmtId="0" fontId="0" fillId="0" borderId="10" xfId="0" applyBorder="1"/>
    <xf numFmtId="0" fontId="0" fillId="6" borderId="10" xfId="0" applyFill="1" applyBorder="1"/>
    <xf numFmtId="0" fontId="0" fillId="6" borderId="0" xfId="0" applyFill="1"/>
    <xf numFmtId="0" fontId="16" fillId="0" borderId="0" xfId="0" applyFont="1"/>
    <xf numFmtId="0" fontId="18" fillId="0" borderId="0" xfId="0" applyFont="1"/>
    <xf numFmtId="0" fontId="19" fillId="0" borderId="0" xfId="0" applyFont="1"/>
    <xf numFmtId="0" fontId="0" fillId="0" borderId="9" xfId="0" applyBorder="1"/>
    <xf numFmtId="0" fontId="0" fillId="6" borderId="9" xfId="0" applyFill="1" applyBorder="1"/>
    <xf numFmtId="0" fontId="20" fillId="0" borderId="0" xfId="0" applyFont="1"/>
    <xf numFmtId="0" fontId="0" fillId="3" borderId="0" xfId="0" applyFill="1"/>
    <xf numFmtId="0" fontId="0" fillId="5" borderId="0" xfId="0" applyFill="1"/>
    <xf numFmtId="0" fontId="9" fillId="0" borderId="0" xfId="0" applyFont="1"/>
    <xf numFmtId="0" fontId="0" fillId="4" borderId="0" xfId="0" applyFill="1"/>
    <xf numFmtId="2" fontId="0" fillId="0" borderId="0" xfId="0" applyNumberFormat="1"/>
    <xf numFmtId="0" fontId="9" fillId="0" borderId="0" xfId="0" applyFont="1" applyAlignment="1">
      <alignment horizontal="right"/>
    </xf>
    <xf numFmtId="0" fontId="23" fillId="0" borderId="9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0" fillId="0" borderId="0" xfId="0" applyProtection="1">
      <protection hidden="1"/>
    </xf>
    <xf numFmtId="0" fontId="15" fillId="6" borderId="0" xfId="0" applyFont="1" applyFill="1" applyProtection="1">
      <protection hidden="1"/>
    </xf>
    <xf numFmtId="0" fontId="7" fillId="0" borderId="0" xfId="0" applyFont="1"/>
    <xf numFmtId="0" fontId="0" fillId="9" borderId="9" xfId="0" applyFill="1" applyBorder="1"/>
    <xf numFmtId="0" fontId="0" fillId="9" borderId="0" xfId="0" applyFill="1"/>
    <xf numFmtId="0" fontId="6" fillId="0" borderId="0" xfId="0" applyFont="1"/>
    <xf numFmtId="164" fontId="0" fillId="0" borderId="0" xfId="0" applyNumberFormat="1"/>
    <xf numFmtId="0" fontId="17" fillId="0" borderId="0" xfId="0" applyFont="1" applyProtection="1">
      <protection hidden="1"/>
    </xf>
    <xf numFmtId="0" fontId="0" fillId="3" borderId="9" xfId="0" applyFill="1" applyBorder="1" applyProtection="1">
      <protection hidden="1"/>
    </xf>
    <xf numFmtId="0" fontId="18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4" fillId="0" borderId="0" xfId="0" applyFont="1" applyProtection="1">
      <protection hidden="1"/>
    </xf>
    <xf numFmtId="2" fontId="0" fillId="0" borderId="0" xfId="0" applyNumberFormat="1" applyProtection="1">
      <protection hidden="1"/>
    </xf>
    <xf numFmtId="2" fontId="0" fillId="6" borderId="0" xfId="0" applyNumberFormat="1" applyFill="1" applyProtection="1">
      <protection hidden="1"/>
    </xf>
    <xf numFmtId="1" fontId="0" fillId="6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3" fontId="8" fillId="6" borderId="0" xfId="0" applyNumberFormat="1" applyFont="1" applyFill="1" applyProtection="1">
      <protection hidden="1"/>
    </xf>
    <xf numFmtId="3" fontId="8" fillId="6" borderId="11" xfId="0" applyNumberFormat="1" applyFont="1" applyFill="1" applyBorder="1" applyProtection="1">
      <protection hidden="1"/>
    </xf>
    <xf numFmtId="2" fontId="19" fillId="0" borderId="0" xfId="0" applyNumberFormat="1" applyFont="1" applyProtection="1">
      <protection hidden="1"/>
    </xf>
    <xf numFmtId="2" fontId="24" fillId="0" borderId="0" xfId="0" applyNumberFormat="1" applyFont="1" applyProtection="1">
      <protection hidden="1"/>
    </xf>
    <xf numFmtId="0" fontId="15" fillId="7" borderId="0" xfId="0" applyFont="1" applyFill="1" applyProtection="1">
      <protection locked="0"/>
    </xf>
    <xf numFmtId="0" fontId="0" fillId="2" borderId="9" xfId="0" applyFill="1" applyBorder="1" applyProtection="1">
      <protection hidden="1"/>
    </xf>
    <xf numFmtId="1" fontId="0" fillId="6" borderId="11" xfId="0" applyNumberFormat="1" applyFill="1" applyBorder="1" applyProtection="1">
      <protection hidden="1"/>
    </xf>
    <xf numFmtId="0" fontId="0" fillId="4" borderId="9" xfId="0" applyFill="1" applyBorder="1" applyProtection="1">
      <protection hidden="1"/>
    </xf>
    <xf numFmtId="0" fontId="15" fillId="0" borderId="0" xfId="0" applyFont="1" applyProtection="1">
      <protection hidden="1"/>
    </xf>
    <xf numFmtId="2" fontId="0" fillId="0" borderId="0" xfId="0" applyNumberFormat="1" applyAlignment="1" applyProtection="1">
      <alignment horizontal="right"/>
      <protection hidden="1"/>
    </xf>
    <xf numFmtId="0" fontId="0" fillId="5" borderId="9" xfId="0" applyFill="1" applyBorder="1" applyProtection="1">
      <protection hidden="1"/>
    </xf>
    <xf numFmtId="0" fontId="0" fillId="9" borderId="9" xfId="0" applyFill="1" applyBorder="1" applyProtection="1">
      <protection hidden="1"/>
    </xf>
    <xf numFmtId="0" fontId="0" fillId="8" borderId="0" xfId="0" applyFill="1" applyProtection="1">
      <protection hidden="1"/>
    </xf>
    <xf numFmtId="0" fontId="15" fillId="8" borderId="0" xfId="0" applyFont="1" applyFill="1" applyProtection="1">
      <protection hidden="1"/>
    </xf>
    <xf numFmtId="0" fontId="5" fillId="8" borderId="0" xfId="0" applyFont="1" applyFill="1" applyProtection="1">
      <protection hidden="1"/>
    </xf>
    <xf numFmtId="0" fontId="26" fillId="8" borderId="0" xfId="0" applyFont="1" applyFill="1" applyProtection="1">
      <protection hidden="1"/>
    </xf>
    <xf numFmtId="0" fontId="0" fillId="10" borderId="9" xfId="0" applyFill="1" applyBorder="1" applyProtection="1">
      <protection hidden="1"/>
    </xf>
    <xf numFmtId="0" fontId="0" fillId="10" borderId="9" xfId="0" applyFill="1" applyBorder="1"/>
    <xf numFmtId="0" fontId="0" fillId="10" borderId="0" xfId="0" applyFill="1"/>
    <xf numFmtId="0" fontId="4" fillId="0" borderId="0" xfId="0" applyFont="1"/>
    <xf numFmtId="0" fontId="0" fillId="11" borderId="9" xfId="0" applyFill="1" applyBorder="1" applyProtection="1">
      <protection hidden="1"/>
    </xf>
    <xf numFmtId="0" fontId="0" fillId="11" borderId="9" xfId="0" applyFill="1" applyBorder="1"/>
    <xf numFmtId="0" fontId="0" fillId="11" borderId="0" xfId="0" applyFill="1"/>
    <xf numFmtId="0" fontId="3" fillId="0" borderId="0" xfId="0" applyFont="1"/>
    <xf numFmtId="0" fontId="0" fillId="0" borderId="9" xfId="0" applyBorder="1" applyProtection="1">
      <protection hidden="1"/>
    </xf>
    <xf numFmtId="0" fontId="0" fillId="13" borderId="0" xfId="0" applyFill="1" applyAlignment="1">
      <alignment horizontal="right" wrapText="1"/>
    </xf>
    <xf numFmtId="0" fontId="0" fillId="13" borderId="0" xfId="0" applyFill="1" applyAlignment="1">
      <alignment horizontal="left" wrapText="1"/>
    </xf>
    <xf numFmtId="0" fontId="0" fillId="13" borderId="0" xfId="0" applyFill="1" applyAlignment="1">
      <alignment wrapText="1"/>
    </xf>
    <xf numFmtId="0" fontId="0" fillId="6" borderId="12" xfId="0" applyFill="1" applyBorder="1" applyAlignment="1">
      <alignment horizontal="right" wrapText="1"/>
    </xf>
    <xf numFmtId="0" fontId="0" fillId="14" borderId="0" xfId="0" applyFill="1" applyAlignment="1">
      <alignment horizontal="right" wrapText="1"/>
    </xf>
    <xf numFmtId="0" fontId="0" fillId="14" borderId="13" xfId="0" applyFill="1" applyBorder="1" applyAlignment="1">
      <alignment horizontal="right" wrapText="1"/>
    </xf>
    <xf numFmtId="0" fontId="0" fillId="15" borderId="0" xfId="0" applyFill="1" applyAlignment="1">
      <alignment horizontal="right" wrapText="1"/>
    </xf>
    <xf numFmtId="0" fontId="0" fillId="15" borderId="13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0" borderId="13" xfId="0" applyFill="1" applyBorder="1" applyAlignment="1">
      <alignment horizontal="right" wrapText="1"/>
    </xf>
    <xf numFmtId="0" fontId="0" fillId="12" borderId="0" xfId="0" applyFill="1" applyAlignment="1">
      <alignment horizontal="right" wrapText="1"/>
    </xf>
    <xf numFmtId="0" fontId="0" fillId="12" borderId="13" xfId="0" applyFill="1" applyBorder="1" applyAlignment="1">
      <alignment horizontal="right" wrapText="1"/>
    </xf>
    <xf numFmtId="0" fontId="0" fillId="16" borderId="0" xfId="0" applyFill="1" applyAlignment="1">
      <alignment horizontal="center" wrapText="1"/>
    </xf>
    <xf numFmtId="0" fontId="0" fillId="16" borderId="15" xfId="0" applyFill="1" applyBorder="1" applyAlignment="1">
      <alignment horizontal="center" wrapText="1"/>
    </xf>
    <xf numFmtId="0" fontId="0" fillId="13" borderId="14" xfId="0" applyFill="1" applyBorder="1"/>
    <xf numFmtId="0" fontId="0" fillId="0" borderId="14" xfId="0" applyBorder="1" applyAlignment="1">
      <alignment horizontal="left"/>
    </xf>
    <xf numFmtId="0" fontId="0" fillId="0" borderId="14" xfId="0" applyBorder="1"/>
    <xf numFmtId="14" fontId="0" fillId="0" borderId="14" xfId="0" applyNumberFormat="1" applyBorder="1"/>
    <xf numFmtId="0" fontId="0" fillId="0" borderId="14" xfId="0" applyBorder="1" applyAlignment="1">
      <alignment horizontal="right"/>
    </xf>
    <xf numFmtId="0" fontId="2" fillId="0" borderId="0" xfId="0" applyFont="1"/>
    <xf numFmtId="0" fontId="0" fillId="0" borderId="14" xfId="0" applyBorder="1" applyAlignment="1">
      <alignment horizontal="center"/>
    </xf>
    <xf numFmtId="14" fontId="0" fillId="17" borderId="14" xfId="0" applyNumberFormat="1" applyFill="1" applyBorder="1"/>
    <xf numFmtId="1" fontId="0" fillId="0" borderId="14" xfId="0" applyNumberFormat="1" applyBorder="1"/>
    <xf numFmtId="0" fontId="2" fillId="8" borderId="0" xfId="0" applyFont="1" applyFill="1" applyProtection="1">
      <protection hidden="1"/>
    </xf>
    <xf numFmtId="0" fontId="26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27" fillId="19" borderId="0" xfId="0" applyFont="1" applyFill="1" applyProtection="1">
      <protection hidden="1"/>
    </xf>
    <xf numFmtId="0" fontId="28" fillId="8" borderId="6" xfId="0" applyFont="1" applyFill="1" applyBorder="1" applyProtection="1">
      <protection hidden="1"/>
    </xf>
    <xf numFmtId="0" fontId="26" fillId="8" borderId="7" xfId="0" applyFont="1" applyFill="1" applyBorder="1" applyProtection="1">
      <protection hidden="1"/>
    </xf>
    <xf numFmtId="0" fontId="26" fillId="8" borderId="8" xfId="0" applyFont="1" applyFill="1" applyBorder="1" applyProtection="1">
      <protection hidden="1"/>
    </xf>
    <xf numFmtId="0" fontId="26" fillId="8" borderId="4" xfId="0" applyFont="1" applyFill="1" applyBorder="1" applyProtection="1">
      <protection hidden="1"/>
    </xf>
    <xf numFmtId="0" fontId="26" fillId="8" borderId="5" xfId="0" applyFont="1" applyFill="1" applyBorder="1" applyProtection="1">
      <protection hidden="1"/>
    </xf>
    <xf numFmtId="0" fontId="26" fillId="8" borderId="1" xfId="0" applyFont="1" applyFill="1" applyBorder="1" applyProtection="1">
      <protection hidden="1"/>
    </xf>
    <xf numFmtId="0" fontId="26" fillId="8" borderId="2" xfId="0" applyFont="1" applyFill="1" applyBorder="1" applyProtection="1">
      <protection hidden="1"/>
    </xf>
    <xf numFmtId="0" fontId="26" fillId="8" borderId="3" xfId="0" applyFont="1" applyFill="1" applyBorder="1" applyProtection="1">
      <protection hidden="1"/>
    </xf>
    <xf numFmtId="0" fontId="0" fillId="0" borderId="7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4" xfId="0" applyBorder="1" applyProtection="1">
      <protection hidden="1"/>
    </xf>
    <xf numFmtId="15" fontId="0" fillId="0" borderId="0" xfId="0" applyNumberFormat="1" applyAlignment="1" applyProtection="1">
      <alignment horizontal="left"/>
      <protection hidden="1"/>
    </xf>
    <xf numFmtId="4" fontId="0" fillId="0" borderId="0" xfId="0" applyNumberFormat="1" applyProtection="1">
      <protection hidden="1"/>
    </xf>
    <xf numFmtId="3" fontId="29" fillId="0" borderId="0" xfId="0" applyNumberFormat="1" applyFont="1" applyProtection="1">
      <protection hidden="1"/>
    </xf>
    <xf numFmtId="3" fontId="1" fillId="6" borderId="5" xfId="0" applyNumberFormat="1" applyFont="1" applyFill="1" applyBorder="1" applyProtection="1">
      <protection hidden="1"/>
    </xf>
    <xf numFmtId="0" fontId="0" fillId="0" borderId="1" xfId="0" applyBorder="1" applyProtection="1">
      <protection hidden="1"/>
    </xf>
    <xf numFmtId="15" fontId="0" fillId="0" borderId="2" xfId="0" applyNumberFormat="1" applyBorder="1" applyAlignment="1" applyProtection="1">
      <alignment horizontal="left"/>
      <protection hidden="1"/>
    </xf>
    <xf numFmtId="4" fontId="0" fillId="0" borderId="2" xfId="0" applyNumberFormat="1" applyBorder="1" applyProtection="1">
      <protection hidden="1"/>
    </xf>
    <xf numFmtId="3" fontId="29" fillId="0" borderId="2" xfId="0" applyNumberFormat="1" applyFont="1" applyBorder="1" applyProtection="1">
      <protection hidden="1"/>
    </xf>
    <xf numFmtId="3" fontId="1" fillId="6" borderId="3" xfId="0" applyNumberFormat="1" applyFont="1" applyFill="1" applyBorder="1" applyProtection="1">
      <protection hidden="1"/>
    </xf>
    <xf numFmtId="2" fontId="0" fillId="0" borderId="2" xfId="0" applyNumberFormat="1" applyBorder="1" applyProtection="1">
      <protection hidden="1"/>
    </xf>
    <xf numFmtId="3" fontId="27" fillId="7" borderId="0" xfId="0" applyNumberFormat="1" applyFont="1" applyFill="1" applyProtection="1">
      <protection locked="0"/>
    </xf>
    <xf numFmtId="0" fontId="26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27" fillId="12" borderId="0" xfId="0" applyFont="1" applyFill="1" applyProtection="1">
      <protection hidden="1"/>
    </xf>
    <xf numFmtId="0" fontId="26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27" fillId="20" borderId="0" xfId="0" applyFont="1" applyFill="1" applyProtection="1">
      <protection hidden="1"/>
    </xf>
    <xf numFmtId="0" fontId="26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27" fillId="21" borderId="0" xfId="0" applyFont="1" applyFill="1" applyProtection="1">
      <protection hidden="1"/>
    </xf>
    <xf numFmtId="49" fontId="2" fillId="21" borderId="17" xfId="0" applyNumberFormat="1" applyFont="1" applyFill="1" applyBorder="1" applyAlignment="1" applyProtection="1">
      <alignment horizontal="left"/>
      <protection hidden="1"/>
    </xf>
    <xf numFmtId="49" fontId="2" fillId="20" borderId="17" xfId="0" applyNumberFormat="1" applyFont="1" applyFill="1" applyBorder="1" applyAlignment="1" applyProtection="1">
      <alignment horizontal="left"/>
      <protection hidden="1"/>
    </xf>
    <xf numFmtId="49" fontId="2" fillId="19" borderId="17" xfId="0" applyNumberFormat="1" applyFont="1" applyFill="1" applyBorder="1" applyAlignment="1" applyProtection="1">
      <alignment horizontal="left"/>
      <protection hidden="1"/>
    </xf>
    <xf numFmtId="49" fontId="2" fillId="12" borderId="17" xfId="0" applyNumberFormat="1" applyFont="1" applyFill="1" applyBorder="1" applyAlignment="1" applyProtection="1">
      <alignment horizontal="left"/>
      <protection hidden="1"/>
    </xf>
    <xf numFmtId="49" fontId="14" fillId="11" borderId="17" xfId="0" applyNumberFormat="1" applyFont="1" applyFill="1" applyBorder="1" applyAlignment="1" applyProtection="1">
      <alignment horizontal="left"/>
      <protection hidden="1"/>
    </xf>
    <xf numFmtId="49" fontId="2" fillId="10" borderId="17" xfId="0" applyNumberFormat="1" applyFont="1" applyFill="1" applyBorder="1" applyAlignment="1" applyProtection="1">
      <alignment horizontal="left"/>
      <protection hidden="1"/>
    </xf>
    <xf numFmtId="49" fontId="14" fillId="9" borderId="17" xfId="0" applyNumberFormat="1" applyFont="1" applyFill="1" applyBorder="1" applyAlignment="1" applyProtection="1">
      <alignment horizontal="left"/>
      <protection hidden="1"/>
    </xf>
    <xf numFmtId="49" fontId="14" fillId="5" borderId="17" xfId="0" applyNumberFormat="1" applyFont="1" applyFill="1" applyBorder="1" applyAlignment="1" applyProtection="1">
      <alignment horizontal="left"/>
      <protection hidden="1"/>
    </xf>
    <xf numFmtId="49" fontId="2" fillId="4" borderId="17" xfId="0" applyNumberFormat="1" applyFont="1" applyFill="1" applyBorder="1" applyAlignment="1" applyProtection="1">
      <alignment horizontal="left"/>
      <protection hidden="1"/>
    </xf>
    <xf numFmtId="49" fontId="2" fillId="2" borderId="17" xfId="0" applyNumberFormat="1" applyFont="1" applyFill="1" applyBorder="1" applyAlignment="1" applyProtection="1">
      <alignment horizontal="left"/>
      <protection hidden="1"/>
    </xf>
    <xf numFmtId="49" fontId="2" fillId="3" borderId="18" xfId="0" applyNumberFormat="1" applyFont="1" applyFill="1" applyBorder="1" applyAlignment="1" applyProtection="1">
      <alignment horizontal="left"/>
      <protection hidden="1"/>
    </xf>
    <xf numFmtId="1" fontId="0" fillId="0" borderId="0" xfId="0" applyNumberFormat="1"/>
    <xf numFmtId="0" fontId="2" fillId="22" borderId="0" xfId="0" applyFont="1" applyFill="1"/>
    <xf numFmtId="0" fontId="0" fillId="22" borderId="9" xfId="0" applyFill="1" applyBorder="1"/>
    <xf numFmtId="0" fontId="2" fillId="0" borderId="14" xfId="0" applyFont="1" applyBorder="1"/>
    <xf numFmtId="0" fontId="0" fillId="16" borderId="14" xfId="0" applyFill="1" applyBorder="1" applyAlignment="1">
      <alignment horizontal="center" wrapText="1"/>
    </xf>
    <xf numFmtId="0" fontId="30" fillId="0" borderId="14" xfId="1" applyBorder="1"/>
    <xf numFmtId="2" fontId="0" fillId="0" borderId="14" xfId="0" applyNumberFormat="1" applyBorder="1"/>
    <xf numFmtId="0" fontId="1" fillId="0" borderId="14" xfId="0" applyFont="1" applyBorder="1"/>
    <xf numFmtId="2" fontId="2" fillId="0" borderId="14" xfId="0" applyNumberFormat="1" applyFont="1" applyBorder="1"/>
    <xf numFmtId="49" fontId="2" fillId="23" borderId="17" xfId="0" applyNumberFormat="1" applyFont="1" applyFill="1" applyBorder="1" applyAlignment="1" applyProtection="1">
      <alignment horizontal="left"/>
      <protection hidden="1"/>
    </xf>
    <xf numFmtId="14" fontId="0" fillId="24" borderId="14" xfId="0" applyNumberFormat="1" applyFill="1" applyBorder="1"/>
    <xf numFmtId="0" fontId="35" fillId="0" borderId="0" xfId="1" applyFont="1"/>
    <xf numFmtId="2" fontId="36" fillId="0" borderId="14" xfId="0" applyNumberFormat="1" applyFont="1" applyBorder="1"/>
    <xf numFmtId="0" fontId="30" fillId="0" borderId="0" xfId="1"/>
    <xf numFmtId="0" fontId="36" fillId="0" borderId="14" xfId="0" applyFont="1" applyBorder="1"/>
    <xf numFmtId="0" fontId="28" fillId="6" borderId="19" xfId="0" applyFont="1" applyFill="1" applyBorder="1" applyAlignment="1" applyProtection="1">
      <alignment wrapText="1"/>
      <protection hidden="1"/>
    </xf>
    <xf numFmtId="0" fontId="28" fillId="6" borderId="11" xfId="0" applyFont="1" applyFill="1" applyBorder="1" applyAlignment="1" applyProtection="1">
      <alignment wrapText="1"/>
      <protection hidden="1"/>
    </xf>
    <xf numFmtId="0" fontId="28" fillId="6" borderId="14" xfId="0" applyFont="1" applyFill="1" applyBorder="1" applyAlignment="1" applyProtection="1">
      <alignment wrapText="1"/>
      <protection hidden="1"/>
    </xf>
    <xf numFmtId="0" fontId="28" fillId="6" borderId="20" xfId="0" applyFont="1" applyFill="1" applyBorder="1" applyAlignment="1" applyProtection="1">
      <alignment wrapText="1"/>
      <protection hidden="1"/>
    </xf>
    <xf numFmtId="0" fontId="26" fillId="6" borderId="14" xfId="0" applyFont="1" applyFill="1" applyBorder="1" applyAlignment="1" applyProtection="1">
      <alignment wrapText="1"/>
      <protection hidden="1"/>
    </xf>
    <xf numFmtId="0" fontId="27" fillId="6" borderId="21" xfId="0" applyFont="1" applyFill="1" applyBorder="1" applyAlignment="1" applyProtection="1">
      <alignment wrapText="1"/>
      <protection hidden="1"/>
    </xf>
    <xf numFmtId="0" fontId="1" fillId="8" borderId="16" xfId="0" applyFont="1" applyFill="1" applyBorder="1" applyProtection="1">
      <protection hidden="1"/>
    </xf>
    <xf numFmtId="0" fontId="11" fillId="8" borderId="0" xfId="0" applyFont="1" applyFill="1" applyProtection="1">
      <protection hidden="1"/>
    </xf>
    <xf numFmtId="0" fontId="12" fillId="8" borderId="0" xfId="0" applyFont="1" applyFill="1" applyProtection="1">
      <protection hidden="1"/>
    </xf>
    <xf numFmtId="0" fontId="16" fillId="8" borderId="6" xfId="0" applyFont="1" applyFill="1" applyBorder="1" applyProtection="1">
      <protection hidden="1"/>
    </xf>
    <xf numFmtId="0" fontId="17" fillId="8" borderId="7" xfId="0" applyFont="1" applyFill="1" applyBorder="1" applyProtection="1">
      <protection hidden="1"/>
    </xf>
    <xf numFmtId="0" fontId="17" fillId="8" borderId="8" xfId="0" applyFont="1" applyFill="1" applyBorder="1" applyProtection="1">
      <protection hidden="1"/>
    </xf>
    <xf numFmtId="0" fontId="13" fillId="8" borderId="0" xfId="0" applyFont="1" applyFill="1" applyProtection="1">
      <protection hidden="1"/>
    </xf>
    <xf numFmtId="0" fontId="17" fillId="8" borderId="4" xfId="0" applyFont="1" applyFill="1" applyBorder="1" applyProtection="1">
      <protection hidden="1"/>
    </xf>
    <xf numFmtId="0" fontId="17" fillId="8" borderId="0" xfId="0" applyFont="1" applyFill="1" applyProtection="1">
      <protection hidden="1"/>
    </xf>
    <xf numFmtId="0" fontId="17" fillId="8" borderId="5" xfId="0" applyFont="1" applyFill="1" applyBorder="1" applyProtection="1">
      <protection hidden="1"/>
    </xf>
    <xf numFmtId="0" fontId="17" fillId="8" borderId="1" xfId="0" applyFont="1" applyFill="1" applyBorder="1" applyProtection="1">
      <protection hidden="1"/>
    </xf>
    <xf numFmtId="0" fontId="17" fillId="8" borderId="2" xfId="0" applyFont="1" applyFill="1" applyBorder="1" applyProtection="1">
      <protection hidden="1"/>
    </xf>
    <xf numFmtId="0" fontId="17" fillId="8" borderId="3" xfId="0" applyFont="1" applyFill="1" applyBorder="1" applyProtection="1">
      <protection hidden="1"/>
    </xf>
    <xf numFmtId="0" fontId="0" fillId="18" borderId="0" xfId="0" applyFill="1" applyProtection="1">
      <protection hidden="1"/>
    </xf>
    <xf numFmtId="0" fontId="0" fillId="8" borderId="17" xfId="0" applyFill="1" applyBorder="1" applyProtection="1">
      <protection hidden="1"/>
    </xf>
    <xf numFmtId="0" fontId="0" fillId="0" borderId="17" xfId="0" applyBorder="1" applyProtection="1">
      <protection hidden="1"/>
    </xf>
    <xf numFmtId="0" fontId="0" fillId="8" borderId="18" xfId="0" applyFill="1" applyBorder="1" applyProtection="1">
      <protection hidden="1"/>
    </xf>
    <xf numFmtId="0" fontId="0" fillId="7" borderId="0" xfId="0" applyFill="1" applyProtection="1">
      <protection hidden="1"/>
    </xf>
    <xf numFmtId="2" fontId="1" fillId="0" borderId="14" xfId="0" applyNumberFormat="1" applyFont="1" applyBorder="1"/>
    <xf numFmtId="2" fontId="37" fillId="0" borderId="14" xfId="0" applyNumberFormat="1" applyFont="1" applyBorder="1"/>
    <xf numFmtId="0" fontId="37" fillId="0" borderId="14" xfId="0" applyFont="1" applyBorder="1"/>
    <xf numFmtId="0" fontId="36" fillId="25" borderId="14" xfId="0" applyFont="1" applyFill="1" applyBorder="1"/>
    <xf numFmtId="0" fontId="0" fillId="0" borderId="14" xfId="0" applyBorder="1" applyAlignment="1">
      <alignment horizontal="left" vertical="top"/>
    </xf>
    <xf numFmtId="2" fontId="2" fillId="25" borderId="14" xfId="0" applyNumberFormat="1" applyFont="1" applyFill="1" applyBorder="1"/>
    <xf numFmtId="0" fontId="0" fillId="23" borderId="0" xfId="0" applyFill="1"/>
    <xf numFmtId="0" fontId="0" fillId="23" borderId="0" xfId="0" applyFill="1" applyProtection="1">
      <protection hidden="1"/>
    </xf>
    <xf numFmtId="0" fontId="38" fillId="26" borderId="0" xfId="0" applyFont="1" applyFill="1"/>
    <xf numFmtId="0" fontId="0" fillId="26" borderId="0" xfId="0" applyFill="1"/>
    <xf numFmtId="49" fontId="38" fillId="26" borderId="17" xfId="0" applyNumberFormat="1" applyFont="1" applyFill="1" applyBorder="1" applyAlignment="1" applyProtection="1">
      <alignment horizontal="left"/>
      <protection hidden="1"/>
    </xf>
    <xf numFmtId="0" fontId="36" fillId="27" borderId="14" xfId="0" applyFont="1" applyFill="1" applyBorder="1"/>
    <xf numFmtId="0" fontId="0" fillId="17" borderId="0" xfId="0" applyFill="1"/>
    <xf numFmtId="49" fontId="2" fillId="17" borderId="17" xfId="0" applyNumberFormat="1" applyFont="1" applyFill="1" applyBorder="1" applyAlignment="1" applyProtection="1">
      <alignment horizontal="left"/>
      <protection hidden="1"/>
    </xf>
    <xf numFmtId="0" fontId="38" fillId="28" borderId="0" xfId="0" applyFont="1" applyFill="1"/>
    <xf numFmtId="0" fontId="39" fillId="28" borderId="0" xfId="0" applyFont="1" applyFill="1"/>
    <xf numFmtId="0" fontId="0" fillId="28" borderId="0" xfId="0" applyFill="1"/>
    <xf numFmtId="49" fontId="38" fillId="28" borderId="17" xfId="0" applyNumberFormat="1" applyFont="1" applyFill="1" applyBorder="1" applyAlignment="1" applyProtection="1">
      <alignment horizontal="left"/>
      <protection hidden="1"/>
    </xf>
    <xf numFmtId="0" fontId="15" fillId="0" borderId="10" xfId="0" applyFont="1" applyBorder="1" applyProtection="1"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965200</xdr:colOff>
      <xdr:row>18</xdr:row>
      <xdr:rowOff>114300</xdr:rowOff>
    </xdr:from>
    <xdr:to>
      <xdr:col>16</xdr:col>
      <xdr:colOff>317500</xdr:colOff>
      <xdr:row>46</xdr:row>
      <xdr:rowOff>76200</xdr:rowOff>
    </xdr:to>
    <xdr:pic>
      <xdr:nvPicPr>
        <xdr:cNvPr id="2" name="Picture 1" descr="Queensland gas map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00" y="3162300"/>
          <a:ext cx="4038600" cy="4635500"/>
        </a:xfrm>
        <a:prstGeom prst="rect">
          <a:avLst/>
        </a:prstGeom>
      </xdr:spPr>
    </xdr:pic>
    <xdr:clientData/>
  </xdr:twoCellAnchor>
  <xdr:twoCellAnchor editAs="oneCell">
    <xdr:from>
      <xdr:col>8</xdr:col>
      <xdr:colOff>673100</xdr:colOff>
      <xdr:row>6</xdr:row>
      <xdr:rowOff>12700</xdr:rowOff>
    </xdr:from>
    <xdr:to>
      <xdr:col>11</xdr:col>
      <xdr:colOff>63500</xdr:colOff>
      <xdr:row>11</xdr:row>
      <xdr:rowOff>76200</xdr:rowOff>
    </xdr:to>
    <xdr:pic>
      <xdr:nvPicPr>
        <xdr:cNvPr id="3" name="Picture 2" descr="Alviss-Consulting-Logo-Inline Resized for web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93100" y="1028700"/>
          <a:ext cx="2311400" cy="90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11</xdr:col>
      <xdr:colOff>351746</xdr:colOff>
      <xdr:row>4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0"/>
          <a:ext cx="4720546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plan?id=ORI18933SRG3&amp;postcode=4000" TargetMode="External"/><Relationship Id="rId13" Type="http://schemas.openxmlformats.org/officeDocument/2006/relationships/hyperlink" Target="https://www.energymadeeasy.gov.au/plan?id=ORI18932SRG3&amp;postcode=4680" TargetMode="External"/><Relationship Id="rId3" Type="http://schemas.openxmlformats.org/officeDocument/2006/relationships/hyperlink" Target="https://www.energymadeeasy.gov.au/plan?id=ALI45813MRG&amp;postcode=4217" TargetMode="External"/><Relationship Id="rId7" Type="http://schemas.openxmlformats.org/officeDocument/2006/relationships/hyperlink" Target="https://www.energymadeeasy.gov.au/plan?id=AGL15285SRG2&amp;postcode=4000" TargetMode="External"/><Relationship Id="rId12" Type="http://schemas.openxmlformats.org/officeDocument/2006/relationships/hyperlink" Target="https://www.energymadeeasy.gov.au/plan?id=ALI45816MRG2&amp;utm_source=Alinta%20Energy&amp;utm_campaign=bpi-retailer&amp;utm_medium=retailer&amp;postcode=4000" TargetMode="External"/><Relationship Id="rId2" Type="http://schemas.openxmlformats.org/officeDocument/2006/relationships/hyperlink" Target="https://www.energymadeeasy.gov.au/plan?id=ORI18930SRG3&amp;postcode=4217" TargetMode="External"/><Relationship Id="rId16" Type="http://schemas.openxmlformats.org/officeDocument/2006/relationships/comments" Target="../comments15.xml"/><Relationship Id="rId1" Type="http://schemas.openxmlformats.org/officeDocument/2006/relationships/hyperlink" Target="https://www.energymadeeasy.gov.au/plan?id=AGL15286SRG2&amp;postcode=4217" TargetMode="External"/><Relationship Id="rId6" Type="http://schemas.openxmlformats.org/officeDocument/2006/relationships/hyperlink" Target="https://www.energymadeeasy.gov.au/plan?id=RED21244SRG3&amp;postcode=4217" TargetMode="External"/><Relationship Id="rId11" Type="http://schemas.openxmlformats.org/officeDocument/2006/relationships/hyperlink" Target="https://www.energymadeeasy.gov.au/plan?id=RED21243SRG3&amp;postcode=4000" TargetMode="External"/><Relationship Id="rId5" Type="http://schemas.openxmlformats.org/officeDocument/2006/relationships/hyperlink" Target="https://www.energymadeeasy.gov.au/plan?id=GLO48737SRG1&amp;postcode=4217" TargetMode="External"/><Relationship Id="rId15" Type="http://schemas.openxmlformats.org/officeDocument/2006/relationships/vmlDrawing" Target="../drawings/vmlDrawing15.vml"/><Relationship Id="rId10" Type="http://schemas.openxmlformats.org/officeDocument/2006/relationships/hyperlink" Target="https://www.energymadeeasy.gov.au/plan?id=GLO49336SRG1&amp;postcode=4000" TargetMode="External"/><Relationship Id="rId4" Type="http://schemas.openxmlformats.org/officeDocument/2006/relationships/hyperlink" Target="https://www.energymadeeasy.gov.au/plan?id=COV12978SRG3&amp;postcode=4217" TargetMode="External"/><Relationship Id="rId9" Type="http://schemas.openxmlformats.org/officeDocument/2006/relationships/hyperlink" Target="https://www.energymadeeasy.gov.au/plan?id=COV12976SRG3&amp;postcode=4000" TargetMode="External"/><Relationship Id="rId14" Type="http://schemas.openxmlformats.org/officeDocument/2006/relationships/hyperlink" Target="https://www.energymadeeasy.gov.au/plan?id=ORI19120MRG3&amp;postcode=4670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6.xml"/><Relationship Id="rId3" Type="http://schemas.openxmlformats.org/officeDocument/2006/relationships/hyperlink" Target="https://www.energymadeeasy.gov.au/offer/991863?utm_source=Origin%20Energy&amp;utm_campaign=bpi-retailer&amp;utm_medium=retailer" TargetMode="External"/><Relationship Id="rId7" Type="http://schemas.openxmlformats.org/officeDocument/2006/relationships/vmlDrawing" Target="../drawings/vmlDrawing16.vml"/><Relationship Id="rId2" Type="http://schemas.openxmlformats.org/officeDocument/2006/relationships/hyperlink" Target="https://www.energymadeeasy.gov.au/offer/977784?utm_source=AGL&amp;utm_campaign=bpi-retailer&amp;utm_medium=retailer" TargetMode="External"/><Relationship Id="rId1" Type="http://schemas.openxmlformats.org/officeDocument/2006/relationships/hyperlink" Target="https://www.energymadeeasy.gov.au/offer/977783?utm_source=AGL&amp;utm_campaign=bpi-retailer&amp;utm_medium=retailer" TargetMode="External"/><Relationship Id="rId6" Type="http://schemas.openxmlformats.org/officeDocument/2006/relationships/hyperlink" Target="https://www.energymadeeasy.gov.au/offer/991862?utm_source=Origin%20Energy&amp;utm_campaign=bpi-retailer&amp;utm_medium=retailer" TargetMode="External"/><Relationship Id="rId5" Type="http://schemas.openxmlformats.org/officeDocument/2006/relationships/hyperlink" Target="https://www.energymadeeasy.gov.au/offer/991861?utm_source=Origin%20Energy&amp;utm_campaign=bpi-retailer&amp;utm_medium=retailer" TargetMode="External"/><Relationship Id="rId4" Type="http://schemas.openxmlformats.org/officeDocument/2006/relationships/hyperlink" Target="https://www.energymadeeasy.gov.au/offer/991860?utm_source=Origin%20Energy&amp;utm_campaign=bpi-retailer&amp;utm_medium=retailer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F101"/>
  <sheetViews>
    <sheetView workbookViewId="0">
      <selection activeCell="H47" sqref="H47"/>
    </sheetView>
  </sheetViews>
  <sheetFormatPr baseColWidth="10" defaultRowHeight="13" x14ac:dyDescent="0.15"/>
  <cols>
    <col min="1" max="4" width="10.83203125" style="25"/>
    <col min="5" max="5" width="13" style="25" customWidth="1"/>
    <col min="6" max="7" width="10.83203125" style="25"/>
    <col min="8" max="8" width="13.1640625" style="25" customWidth="1"/>
    <col min="9" max="9" width="13.6640625" style="25" bestFit="1" customWidth="1"/>
    <col min="10" max="10" width="7" style="25" customWidth="1"/>
    <col min="11" max="11" width="12.6640625" style="25" bestFit="1" customWidth="1"/>
    <col min="12" max="12" width="15" style="25" customWidth="1"/>
    <col min="13" max="13" width="12" style="25" customWidth="1"/>
    <col min="14" max="14" width="12.83203125" style="25" customWidth="1"/>
    <col min="15" max="16" width="10.83203125" style="25"/>
    <col min="17" max="17" width="13.33203125" style="25" customWidth="1"/>
    <col min="18" max="18" width="14.5" style="25" customWidth="1"/>
    <col min="19" max="19" width="13.5" style="25" customWidth="1"/>
    <col min="20" max="20" width="13.33203125" style="25" customWidth="1"/>
    <col min="21" max="16384" width="10.83203125" style="25"/>
  </cols>
  <sheetData>
    <row r="1" spans="1:58" ht="15" thickBot="1" x14ac:dyDescent="0.2">
      <c r="A1" s="158" t="s">
        <v>90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</row>
    <row r="2" spans="1:58" x14ac:dyDescent="0.15">
      <c r="A2" s="159" t="s">
        <v>141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160" t="s">
        <v>16</v>
      </c>
      <c r="N2" s="161"/>
      <c r="O2" s="161"/>
      <c r="P2" s="161"/>
      <c r="Q2" s="161"/>
      <c r="R2" s="161"/>
      <c r="S2" s="162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</row>
    <row r="3" spans="1:58" ht="14" x14ac:dyDescent="0.15">
      <c r="A3" s="163" t="s">
        <v>241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164" t="s">
        <v>114</v>
      </c>
      <c r="N3" s="165"/>
      <c r="O3" s="165"/>
      <c r="P3" s="165"/>
      <c r="Q3" s="165"/>
      <c r="R3" s="165"/>
      <c r="S3" s="166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</row>
    <row r="4" spans="1:58" x14ac:dyDescent="0.1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164" t="s">
        <v>86</v>
      </c>
      <c r="N4" s="165"/>
      <c r="O4" s="165"/>
      <c r="P4" s="165"/>
      <c r="Q4" s="165"/>
      <c r="R4" s="165"/>
      <c r="S4" s="166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</row>
    <row r="5" spans="1:58" x14ac:dyDescent="0.15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164" t="s">
        <v>87</v>
      </c>
      <c r="N5" s="165"/>
      <c r="O5" s="165"/>
      <c r="P5" s="165"/>
      <c r="Q5" s="165"/>
      <c r="R5" s="165"/>
      <c r="S5" s="166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</row>
    <row r="6" spans="1:58" ht="14" thickBot="1" x14ac:dyDescent="0.2">
      <c r="A6" s="55" t="s">
        <v>144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167" t="s">
        <v>88</v>
      </c>
      <c r="N6" s="168"/>
      <c r="O6" s="168"/>
      <c r="P6" s="168"/>
      <c r="Q6" s="168"/>
      <c r="R6" s="168"/>
      <c r="S6" s="169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</row>
    <row r="7" spans="1:58" x14ac:dyDescent="0.15">
      <c r="A7" s="54" t="s">
        <v>148</v>
      </c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</row>
    <row r="8" spans="1:58" ht="14" thickBot="1" x14ac:dyDescent="0.2">
      <c r="A8" s="54" t="s">
        <v>131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</row>
    <row r="9" spans="1:58" x14ac:dyDescent="0.15">
      <c r="A9" s="54" t="s">
        <v>54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160" t="s">
        <v>132</v>
      </c>
      <c r="N9" s="161"/>
      <c r="O9" s="161"/>
      <c r="P9" s="161"/>
      <c r="Q9" s="161"/>
      <c r="R9" s="161"/>
      <c r="S9" s="161"/>
      <c r="T9" s="161"/>
      <c r="U9" s="162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</row>
    <row r="10" spans="1:58" x14ac:dyDescent="0.15">
      <c r="A10" s="54" t="s">
        <v>71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164" t="s">
        <v>9</v>
      </c>
      <c r="N10" s="165"/>
      <c r="O10" s="165"/>
      <c r="P10" s="165"/>
      <c r="Q10" s="165"/>
      <c r="R10" s="165"/>
      <c r="S10" s="165"/>
      <c r="T10" s="165"/>
      <c r="U10" s="166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</row>
    <row r="11" spans="1:58" x14ac:dyDescent="0.15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164" t="s">
        <v>72</v>
      </c>
      <c r="N11" s="165"/>
      <c r="O11" s="165"/>
      <c r="P11" s="165"/>
      <c r="Q11" s="165"/>
      <c r="R11" s="165"/>
      <c r="S11" s="165"/>
      <c r="T11" s="165"/>
      <c r="U11" s="166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</row>
    <row r="12" spans="1:58" x14ac:dyDescent="0.15">
      <c r="A12" s="55" t="s">
        <v>103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164" t="s">
        <v>102</v>
      </c>
      <c r="N12" s="165"/>
      <c r="O12" s="165"/>
      <c r="P12" s="165"/>
      <c r="Q12" s="165"/>
      <c r="R12" s="165"/>
      <c r="S12" s="165"/>
      <c r="T12" s="165"/>
      <c r="U12" s="166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</row>
    <row r="13" spans="1:58" x14ac:dyDescent="0.15">
      <c r="A13" s="54" t="s">
        <v>105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164" t="s">
        <v>52</v>
      </c>
      <c r="N13" s="165"/>
      <c r="O13" s="165"/>
      <c r="P13" s="165"/>
      <c r="Q13" s="165"/>
      <c r="R13" s="165"/>
      <c r="S13" s="165"/>
      <c r="T13" s="165"/>
      <c r="U13" s="166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</row>
    <row r="14" spans="1:58" x14ac:dyDescent="0.15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164" t="s">
        <v>96</v>
      </c>
      <c r="N14" s="165"/>
      <c r="O14" s="165"/>
      <c r="P14" s="165"/>
      <c r="Q14" s="165"/>
      <c r="R14" s="165"/>
      <c r="S14" s="165"/>
      <c r="T14" s="165"/>
      <c r="U14" s="166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</row>
    <row r="15" spans="1:58" x14ac:dyDescent="0.15">
      <c r="A15" s="55" t="s">
        <v>115</v>
      </c>
      <c r="B15" s="54"/>
      <c r="C15" s="54"/>
      <c r="D15" s="54"/>
      <c r="E15" s="54"/>
      <c r="F15" s="54"/>
      <c r="G15" s="170"/>
      <c r="H15" s="170"/>
      <c r="I15" s="54"/>
      <c r="J15" s="54"/>
      <c r="K15" s="54"/>
      <c r="L15" s="54"/>
      <c r="M15" s="164" t="s">
        <v>56</v>
      </c>
      <c r="N15" s="165"/>
      <c r="O15" s="165"/>
      <c r="P15" s="165"/>
      <c r="Q15" s="165"/>
      <c r="R15" s="165"/>
      <c r="S15" s="165"/>
      <c r="T15" s="165"/>
      <c r="U15" s="166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</row>
    <row r="16" spans="1:58" x14ac:dyDescent="0.15">
      <c r="A16" s="90" t="s">
        <v>259</v>
      </c>
      <c r="B16" s="54"/>
      <c r="C16" s="54"/>
      <c r="D16" s="54"/>
      <c r="E16" s="54"/>
      <c r="F16" s="54"/>
      <c r="G16" s="170"/>
      <c r="H16" s="170"/>
      <c r="I16" s="54"/>
      <c r="J16" s="54"/>
      <c r="K16" s="54"/>
      <c r="L16" s="54"/>
      <c r="M16" s="164" t="s">
        <v>133</v>
      </c>
      <c r="N16" s="165"/>
      <c r="O16" s="165"/>
      <c r="P16" s="165"/>
      <c r="Q16" s="165"/>
      <c r="R16" s="165"/>
      <c r="S16" s="165"/>
      <c r="T16" s="165"/>
      <c r="U16" s="166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</row>
    <row r="17" spans="1:58" ht="14" thickBot="1" x14ac:dyDescent="0.2">
      <c r="A17" s="90" t="s">
        <v>260</v>
      </c>
      <c r="B17" s="54"/>
      <c r="C17" s="54"/>
      <c r="D17" s="54"/>
      <c r="E17" s="54"/>
      <c r="F17" s="54"/>
      <c r="G17" s="170"/>
      <c r="H17" s="170"/>
      <c r="I17" s="54"/>
      <c r="J17" s="54"/>
      <c r="K17" s="54"/>
      <c r="L17" s="54"/>
      <c r="M17" s="167" t="s">
        <v>104</v>
      </c>
      <c r="N17" s="168"/>
      <c r="O17" s="168"/>
      <c r="P17" s="168"/>
      <c r="Q17" s="168"/>
      <c r="R17" s="168"/>
      <c r="S17" s="168"/>
      <c r="T17" s="168"/>
      <c r="U17" s="169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</row>
    <row r="18" spans="1:58" x14ac:dyDescent="0.15">
      <c r="A18" s="90" t="s">
        <v>261</v>
      </c>
      <c r="B18" s="54"/>
      <c r="C18" s="54"/>
      <c r="D18" s="54"/>
      <c r="E18" s="54"/>
      <c r="F18" s="54"/>
      <c r="G18" s="170"/>
      <c r="H18" s="170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</row>
    <row r="19" spans="1:58" ht="14" thickBot="1" x14ac:dyDescent="0.2">
      <c r="A19" s="90" t="s">
        <v>262</v>
      </c>
      <c r="B19" s="54"/>
      <c r="C19" s="54"/>
      <c r="D19" s="54"/>
      <c r="E19" s="54"/>
      <c r="F19" s="54"/>
      <c r="G19" s="170"/>
      <c r="H19" s="170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</row>
    <row r="20" spans="1:58" x14ac:dyDescent="0.15">
      <c r="A20" s="90" t="s">
        <v>263</v>
      </c>
      <c r="B20" s="54"/>
      <c r="C20" s="54"/>
      <c r="D20" s="54"/>
      <c r="E20" s="54"/>
      <c r="F20" s="54"/>
      <c r="G20" s="170"/>
      <c r="H20" s="170"/>
      <c r="I20" s="157" t="s">
        <v>218</v>
      </c>
      <c r="J20" s="54"/>
      <c r="K20" s="157" t="s">
        <v>142</v>
      </c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</row>
    <row r="21" spans="1:58" x14ac:dyDescent="0.15">
      <c r="A21" s="90" t="s">
        <v>264</v>
      </c>
      <c r="E21" s="54"/>
      <c r="F21" s="54"/>
      <c r="G21" s="170"/>
      <c r="H21" s="170"/>
      <c r="I21" s="171" t="s">
        <v>98</v>
      </c>
      <c r="J21" s="54"/>
      <c r="K21" s="192" t="s">
        <v>257</v>
      </c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</row>
    <row r="22" spans="1:58" x14ac:dyDescent="0.15">
      <c r="A22" s="90" t="s">
        <v>157</v>
      </c>
      <c r="B22" s="56"/>
      <c r="C22" s="56"/>
      <c r="D22" s="56"/>
      <c r="E22" s="56"/>
      <c r="F22" s="56"/>
      <c r="G22" s="170"/>
      <c r="H22" s="170"/>
      <c r="I22" s="171" t="s">
        <v>217</v>
      </c>
      <c r="J22" s="54"/>
      <c r="K22" s="185" t="s">
        <v>240</v>
      </c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</row>
    <row r="23" spans="1:58" x14ac:dyDescent="0.15">
      <c r="A23" s="90" t="s">
        <v>158</v>
      </c>
      <c r="B23" s="56"/>
      <c r="C23" s="56"/>
      <c r="D23" s="56"/>
      <c r="E23" s="56"/>
      <c r="G23" s="54"/>
      <c r="H23" s="170"/>
      <c r="I23" s="172" t="s">
        <v>194</v>
      </c>
      <c r="J23" s="54"/>
      <c r="K23" s="188" t="s">
        <v>239</v>
      </c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</row>
    <row r="24" spans="1:58" x14ac:dyDescent="0.15">
      <c r="A24" s="90" t="s">
        <v>159</v>
      </c>
      <c r="B24" s="54"/>
      <c r="C24" s="54"/>
      <c r="D24" s="54"/>
      <c r="F24" s="56"/>
      <c r="G24" s="54"/>
      <c r="H24" s="54"/>
      <c r="I24" s="171" t="s">
        <v>198</v>
      </c>
      <c r="J24" s="54"/>
      <c r="K24" s="145" t="s">
        <v>181</v>
      </c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</row>
    <row r="25" spans="1:58" x14ac:dyDescent="0.15">
      <c r="A25" s="90" t="s">
        <v>160</v>
      </c>
      <c r="B25" s="56"/>
      <c r="C25" s="56"/>
      <c r="D25" s="56"/>
      <c r="E25" s="56"/>
      <c r="F25" s="54"/>
      <c r="G25" s="54"/>
      <c r="H25" s="54"/>
      <c r="I25" s="171" t="s">
        <v>201</v>
      </c>
      <c r="J25" s="54"/>
      <c r="K25" s="125" t="s">
        <v>167</v>
      </c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</row>
    <row r="26" spans="1:58" ht="14" thickBot="1" x14ac:dyDescent="0.2">
      <c r="A26" s="90" t="s">
        <v>161</v>
      </c>
      <c r="B26" s="56"/>
      <c r="C26" s="56"/>
      <c r="D26" s="56"/>
      <c r="E26" s="56"/>
      <c r="F26" s="54"/>
      <c r="G26" s="54"/>
      <c r="H26" s="54"/>
      <c r="I26" s="173" t="s">
        <v>203</v>
      </c>
      <c r="J26" s="54"/>
      <c r="K26" s="126" t="s">
        <v>164</v>
      </c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</row>
    <row r="27" spans="1:58" x14ac:dyDescent="0.15">
      <c r="A27" s="54" t="s">
        <v>162</v>
      </c>
      <c r="B27" s="54"/>
      <c r="C27" s="54"/>
      <c r="D27" s="54"/>
      <c r="E27" s="54"/>
      <c r="F27" s="54"/>
      <c r="G27" s="54"/>
      <c r="H27" s="54"/>
      <c r="I27" s="54"/>
      <c r="J27" s="54"/>
      <c r="K27" s="127" t="s">
        <v>156</v>
      </c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</row>
    <row r="28" spans="1:58" x14ac:dyDescent="0.15">
      <c r="A28" s="90" t="s">
        <v>165</v>
      </c>
      <c r="B28" s="54"/>
      <c r="C28" s="54"/>
      <c r="D28" s="54"/>
      <c r="E28" s="54"/>
      <c r="F28" s="54"/>
      <c r="G28" s="54"/>
      <c r="H28" s="54"/>
      <c r="I28" s="54"/>
      <c r="J28" s="54"/>
      <c r="K28" s="128" t="s">
        <v>168</v>
      </c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</row>
    <row r="29" spans="1:58" x14ac:dyDescent="0.15">
      <c r="A29" s="90" t="s">
        <v>166</v>
      </c>
      <c r="B29" s="54"/>
      <c r="C29" s="54"/>
      <c r="D29" s="54"/>
      <c r="E29" s="54"/>
      <c r="F29" s="54"/>
      <c r="G29" s="54"/>
      <c r="H29" s="54"/>
      <c r="I29" s="54"/>
      <c r="J29" s="54"/>
      <c r="K29" s="129" t="s">
        <v>169</v>
      </c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</row>
    <row r="30" spans="1:58" x14ac:dyDescent="0.15">
      <c r="A30" s="90" t="s">
        <v>180</v>
      </c>
      <c r="B30" s="54"/>
      <c r="C30" s="54"/>
      <c r="D30" s="54"/>
      <c r="E30" s="54"/>
      <c r="F30" s="54"/>
      <c r="G30" s="54"/>
      <c r="H30" s="54"/>
      <c r="I30" s="54"/>
      <c r="J30" s="54"/>
      <c r="K30" s="130" t="s">
        <v>170</v>
      </c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</row>
    <row r="31" spans="1:58" x14ac:dyDescent="0.15">
      <c r="A31" s="90" t="s">
        <v>238</v>
      </c>
      <c r="B31" s="54"/>
      <c r="C31" s="54"/>
      <c r="D31" s="54"/>
      <c r="E31" s="54"/>
      <c r="F31" s="54"/>
      <c r="G31" s="54"/>
      <c r="H31" s="54"/>
      <c r="I31" s="54"/>
      <c r="J31" s="54"/>
      <c r="K31" s="131" t="s">
        <v>171</v>
      </c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</row>
    <row r="32" spans="1:58" x14ac:dyDescent="0.15">
      <c r="A32" s="90" t="s">
        <v>242</v>
      </c>
      <c r="B32" s="54"/>
      <c r="C32" s="54"/>
      <c r="D32" s="54"/>
      <c r="E32" s="54"/>
      <c r="F32" s="54"/>
      <c r="G32" s="54"/>
      <c r="H32" s="54"/>
      <c r="I32" s="54"/>
      <c r="J32" s="54"/>
      <c r="K32" s="132" t="s">
        <v>171</v>
      </c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</row>
    <row r="33" spans="1:58" x14ac:dyDescent="0.15">
      <c r="A33" s="90" t="s">
        <v>265</v>
      </c>
      <c r="B33" s="54"/>
      <c r="C33" s="54"/>
      <c r="D33" s="54"/>
      <c r="E33" s="54"/>
      <c r="F33" s="54"/>
      <c r="G33" s="54"/>
      <c r="H33" s="54"/>
      <c r="I33" s="54"/>
      <c r="J33" s="54"/>
      <c r="K33" s="133" t="s">
        <v>172</v>
      </c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</row>
    <row r="34" spans="1:58" ht="14" x14ac:dyDescent="0.15">
      <c r="A34" s="57" t="s">
        <v>163</v>
      </c>
      <c r="B34" s="54"/>
      <c r="C34" s="54"/>
      <c r="D34" s="54"/>
      <c r="E34" s="54"/>
      <c r="F34" s="54"/>
      <c r="G34" s="54"/>
      <c r="H34" s="54"/>
      <c r="I34" s="54"/>
      <c r="J34" s="54"/>
      <c r="K34" s="134" t="s">
        <v>143</v>
      </c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</row>
    <row r="35" spans="1:58" ht="14" thickBot="1" x14ac:dyDescent="0.2">
      <c r="A35" s="55"/>
      <c r="B35" s="54"/>
      <c r="C35" s="54"/>
      <c r="D35" s="54"/>
      <c r="E35" s="54"/>
      <c r="F35" s="54"/>
      <c r="G35" s="54"/>
      <c r="H35" s="54"/>
      <c r="I35" s="54"/>
      <c r="J35" s="54"/>
      <c r="K35" s="135" t="s">
        <v>145</v>
      </c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</row>
    <row r="36" spans="1:58" x14ac:dyDescent="0.15">
      <c r="A36" s="55" t="s">
        <v>140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</row>
    <row r="37" spans="1:58" x14ac:dyDescent="0.15">
      <c r="A37" s="90" t="s">
        <v>258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</row>
    <row r="38" spans="1:58" x14ac:dyDescent="0.15">
      <c r="A38" s="54" t="s">
        <v>107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</row>
    <row r="39" spans="1:58" x14ac:dyDescent="0.15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</row>
    <row r="40" spans="1:58" x14ac:dyDescent="0.15">
      <c r="A40" s="54" t="s">
        <v>182</v>
      </c>
      <c r="B40" s="54"/>
      <c r="C40" s="54"/>
      <c r="D40" s="54"/>
      <c r="E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</row>
    <row r="41" spans="1:58" x14ac:dyDescent="0.15">
      <c r="A41" s="54" t="s">
        <v>108</v>
      </c>
      <c r="B41" s="54"/>
      <c r="C41" s="54"/>
      <c r="D41" s="54"/>
      <c r="E41" s="54"/>
      <c r="F41" s="17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</row>
    <row r="42" spans="1:58" x14ac:dyDescent="0.15">
      <c r="A42" s="54" t="s">
        <v>15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</row>
    <row r="43" spans="1:58" x14ac:dyDescent="0.15">
      <c r="A43" s="54" t="s">
        <v>147</v>
      </c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</row>
    <row r="44" spans="1:58" x14ac:dyDescent="0.15">
      <c r="A44" s="54" t="s">
        <v>12</v>
      </c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</row>
    <row r="45" spans="1:58" x14ac:dyDescent="0.15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</row>
    <row r="46" spans="1:58" x14ac:dyDescent="0.15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</row>
    <row r="47" spans="1:58" x14ac:dyDescent="0.15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</row>
    <row r="48" spans="1:58" x14ac:dyDescent="0.15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 t="s">
        <v>14</v>
      </c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</row>
    <row r="49" spans="1:58" x14ac:dyDescent="0.15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</row>
    <row r="50" spans="1:58" x14ac:dyDescent="0.1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</row>
    <row r="51" spans="1:58" x14ac:dyDescent="0.15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</row>
    <row r="52" spans="1:58" x14ac:dyDescent="0.15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</row>
    <row r="53" spans="1:58" x14ac:dyDescent="0.1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</row>
    <row r="54" spans="1:58" x14ac:dyDescent="0.15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</row>
    <row r="55" spans="1:58" x14ac:dyDescent="0.15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</row>
    <row r="56" spans="1:58" x14ac:dyDescent="0.1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</row>
    <row r="57" spans="1:58" x14ac:dyDescent="0.15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</row>
    <row r="58" spans="1:58" x14ac:dyDescent="0.15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</row>
    <row r="59" spans="1:58" x14ac:dyDescent="0.15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</row>
    <row r="60" spans="1:58" x14ac:dyDescent="0.15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</row>
    <row r="61" spans="1:58" x14ac:dyDescent="0.15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</row>
    <row r="62" spans="1:58" x14ac:dyDescent="0.15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</row>
    <row r="63" spans="1:58" x14ac:dyDescent="0.15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</row>
    <row r="64" spans="1:58" x14ac:dyDescent="0.15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</row>
    <row r="65" spans="1:58" x14ac:dyDescent="0.15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</row>
    <row r="66" spans="1:58" x14ac:dyDescent="0.15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</row>
    <row r="67" spans="1:58" x14ac:dyDescent="0.15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</row>
    <row r="68" spans="1:58" x14ac:dyDescent="0.15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</row>
    <row r="69" spans="1:58" x14ac:dyDescent="0.15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</row>
    <row r="70" spans="1:58" x14ac:dyDescent="0.15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</row>
    <row r="71" spans="1:58" x14ac:dyDescent="0.15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</row>
    <row r="72" spans="1:58" x14ac:dyDescent="0.15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</row>
    <row r="73" spans="1:58" x14ac:dyDescent="0.15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</row>
    <row r="74" spans="1:58" x14ac:dyDescent="0.15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</row>
    <row r="75" spans="1:58" x14ac:dyDescent="0.1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</row>
    <row r="76" spans="1:58" x14ac:dyDescent="0.15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</row>
    <row r="77" spans="1:58" x14ac:dyDescent="0.15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</row>
    <row r="78" spans="1:58" x14ac:dyDescent="0.15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</row>
    <row r="79" spans="1:58" x14ac:dyDescent="0.15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</row>
    <row r="80" spans="1:58" x14ac:dyDescent="0.15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</row>
    <row r="81" spans="1:58" x14ac:dyDescent="0.15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</row>
    <row r="82" spans="1:58" x14ac:dyDescent="0.15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</row>
    <row r="83" spans="1:58" x14ac:dyDescent="0.15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</row>
    <row r="84" spans="1:58" x14ac:dyDescent="0.15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</row>
    <row r="85" spans="1:58" x14ac:dyDescent="0.15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</row>
    <row r="86" spans="1:58" x14ac:dyDescent="0.1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</row>
    <row r="87" spans="1:58" x14ac:dyDescent="0.1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</row>
    <row r="88" spans="1:58" x14ac:dyDescent="0.15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</row>
    <row r="89" spans="1:58" x14ac:dyDescent="0.15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</row>
    <row r="90" spans="1:58" x14ac:dyDescent="0.15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</row>
    <row r="91" spans="1:58" x14ac:dyDescent="0.15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</row>
    <row r="92" spans="1:58" x14ac:dyDescent="0.15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</row>
    <row r="93" spans="1:58" x14ac:dyDescent="0.15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</row>
    <row r="94" spans="1:58" x14ac:dyDescent="0.15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</row>
    <row r="95" spans="1:58" x14ac:dyDescent="0.1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</row>
    <row r="96" spans="1:58" x14ac:dyDescent="0.15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</row>
    <row r="97" spans="1:58" x14ac:dyDescent="0.1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</row>
    <row r="98" spans="1:58" x14ac:dyDescent="0.15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</row>
    <row r="99" spans="1:58" x14ac:dyDescent="0.15">
      <c r="A99" s="54"/>
      <c r="B99" s="54"/>
      <c r="C99" s="54"/>
      <c r="D99" s="54"/>
      <c r="E99" s="54"/>
      <c r="F99" s="54"/>
      <c r="G99" s="54"/>
      <c r="H99" s="54"/>
    </row>
    <row r="100" spans="1:58" x14ac:dyDescent="0.15">
      <c r="A100" s="54"/>
      <c r="B100" s="54"/>
      <c r="C100" s="54"/>
      <c r="D100" s="54"/>
      <c r="E100" s="54"/>
      <c r="F100" s="54"/>
    </row>
    <row r="101" spans="1:58" x14ac:dyDescent="0.15">
      <c r="A101" s="54"/>
      <c r="B101" s="54"/>
      <c r="C101" s="54"/>
      <c r="D101" s="54"/>
      <c r="E101" s="54"/>
    </row>
  </sheetData>
  <sheetProtection algorithmName="SHA-512" hashValue="D4t+GjtpixxycGkPk4C0IBY/36ars4fkz1Bpda8oTv7BJc5iv6vg9mDXSEvoWeeev52jfjyUQTh87HlXNznQrg==" saltValue="AmLe6IvazwfzTS8tHTxlVg==" spinCount="100000" sheet="1" objects="1" scenarios="1"/>
  <phoneticPr fontId="10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I42"/>
  <sheetViews>
    <sheetView zoomScale="125" workbookViewId="0">
      <selection activeCell="E5" sqref="E5"/>
    </sheetView>
  </sheetViews>
  <sheetFormatPr baseColWidth="10" defaultRowHeight="13" x14ac:dyDescent="0.15"/>
  <cols>
    <col min="1" max="1" width="22.5" style="25" customWidth="1"/>
    <col min="2" max="2" width="3.33203125" style="25" customWidth="1"/>
    <col min="3" max="4" width="10" style="25" customWidth="1"/>
    <col min="5" max="16384" width="10.83203125" style="25"/>
  </cols>
  <sheetData>
    <row r="1" spans="1:9" x14ac:dyDescent="0.15">
      <c r="A1" s="32" t="s">
        <v>126</v>
      </c>
    </row>
    <row r="2" spans="1:9" x14ac:dyDescent="0.15">
      <c r="A2" s="62"/>
      <c r="B2" s="62"/>
      <c r="C2" s="62"/>
      <c r="D2" s="62"/>
      <c r="E2" s="62"/>
      <c r="F2" s="62"/>
      <c r="G2" s="62"/>
      <c r="H2" s="62"/>
      <c r="I2" s="62"/>
    </row>
    <row r="3" spans="1:9" x14ac:dyDescent="0.15">
      <c r="A3" s="193" t="s">
        <v>31</v>
      </c>
      <c r="B3" s="193"/>
      <c r="C3" s="193"/>
    </row>
    <row r="5" spans="1:9" x14ac:dyDescent="0.15">
      <c r="A5" s="34" t="s">
        <v>110</v>
      </c>
      <c r="B5" s="34" t="s">
        <v>184</v>
      </c>
      <c r="E5" s="46">
        <v>2500</v>
      </c>
    </row>
    <row r="7" spans="1:9" x14ac:dyDescent="0.15">
      <c r="A7" s="35" t="s">
        <v>125</v>
      </c>
    </row>
    <row r="9" spans="1:9" x14ac:dyDescent="0.15">
      <c r="A9" s="34" t="s">
        <v>121</v>
      </c>
      <c r="C9" s="36" t="s">
        <v>98</v>
      </c>
      <c r="D9" s="36" t="s">
        <v>101</v>
      </c>
      <c r="E9" s="37" t="s">
        <v>47</v>
      </c>
    </row>
    <row r="10" spans="1:9" x14ac:dyDescent="0.15">
      <c r="A10" s="25" t="s">
        <v>91</v>
      </c>
      <c r="C10" s="38">
        <f>IF($E5&gt;='APT Jul''15'!E7,('APT Jul''15'!E7*'APT Jul''15'!E9/100*1.1),($E5*'APT Jul''15'!E9/100*1.1))</f>
        <v>34.585925000000003</v>
      </c>
      <c r="D10" s="38">
        <f>IF($E5&gt;='APT Jul''15'!F7,('APT Jul''15'!F7*'APT Jul''15'!F9/100*1.1),($E5*'APT Jul''15'!F9/100*1.1))</f>
        <v>73.162056000000021</v>
      </c>
      <c r="E10" s="39"/>
    </row>
    <row r="11" spans="1:9" x14ac:dyDescent="0.15">
      <c r="A11" s="25" t="s">
        <v>58</v>
      </c>
      <c r="C11" s="38">
        <f>IF($E5&lt;'APT Jul''15'!E7,0,IF($E5&lt;='APT Jul''15'!E8,($E5-'APT Jul''15'!E7)*('APT Jul''15'!E10/100*1.1),('APT Jul''15'!E8-'APT Jul''15'!E7)*('APT Jul''15'!E10/100*1.1)))</f>
        <v>49.820100000000004</v>
      </c>
      <c r="D11" s="38">
        <f>IF($E5&lt;'APT Jul''15'!F7,0,IF($E5&lt;='APT Jul''15'!F8,($E5-'APT Jul''15'!F7)*('APT Jul''15'!F10/100*1.1),('APT Jul''15'!F8-'APT Jul''15'!F7)*('APT Jul''15'!F10/100*1.1)))</f>
        <v>0</v>
      </c>
      <c r="E11" s="39"/>
    </row>
    <row r="12" spans="1:9" x14ac:dyDescent="0.15">
      <c r="A12" s="25" t="s">
        <v>49</v>
      </c>
      <c r="C12" s="38">
        <f>IF(($E5&lt;'APT Jul''15'!E8),(0),($E5-'APT Jul''15'!E8)*'APT Jul''15'!E11/100*1.1)</f>
        <v>5.2340750000000007</v>
      </c>
      <c r="D12" s="38">
        <f>IF(($E5&lt;'APT Jul''15'!F8),(0),($E5-'APT Jul''15'!F8)*'APT Jul''15'!F11/100*1.1)</f>
        <v>5.0838040000000007</v>
      </c>
      <c r="E12" s="39"/>
    </row>
    <row r="13" spans="1:9" x14ac:dyDescent="0.15">
      <c r="A13" s="25" t="s">
        <v>50</v>
      </c>
      <c r="C13" s="38">
        <f>91*'APT Jul''15'!E12/100*1.1</f>
        <v>105.09499000000001</v>
      </c>
      <c r="D13" s="38">
        <f>91*'APT Jul''15'!F12/100*1.1</f>
        <v>103.23313</v>
      </c>
      <c r="E13" s="40">
        <f>AVERAGE(C13:D13)</f>
        <v>104.16406000000001</v>
      </c>
    </row>
    <row r="14" spans="1:9" x14ac:dyDescent="0.15">
      <c r="A14" s="25" t="s">
        <v>51</v>
      </c>
      <c r="C14" s="38">
        <f>SUM(C10:C13)</f>
        <v>194.73509000000001</v>
      </c>
      <c r="D14" s="38">
        <f>SUM(D10:D13)</f>
        <v>181.47899000000001</v>
      </c>
      <c r="E14" s="40">
        <f t="shared" ref="E14:E15" si="0">AVERAGE(C14:D14)</f>
        <v>188.10704000000001</v>
      </c>
    </row>
    <row r="15" spans="1:9" x14ac:dyDescent="0.15">
      <c r="A15" s="26" t="s">
        <v>48</v>
      </c>
      <c r="B15" s="41"/>
      <c r="C15" s="42">
        <f>C14*4</f>
        <v>778.94036000000006</v>
      </c>
      <c r="D15" s="42">
        <f>D14*4</f>
        <v>725.91596000000004</v>
      </c>
      <c r="E15" s="48">
        <f t="shared" si="0"/>
        <v>752.42816000000005</v>
      </c>
    </row>
    <row r="16" spans="1:9" x14ac:dyDescent="0.15">
      <c r="C16" s="38"/>
      <c r="D16" s="38"/>
      <c r="E16" s="38"/>
    </row>
    <row r="17" spans="1:5" x14ac:dyDescent="0.15">
      <c r="A17" s="35" t="s">
        <v>57</v>
      </c>
      <c r="C17" s="38"/>
      <c r="D17" s="38"/>
      <c r="E17" s="38"/>
    </row>
    <row r="18" spans="1:5" x14ac:dyDescent="0.15">
      <c r="C18" s="38"/>
      <c r="D18" s="38"/>
      <c r="E18" s="38"/>
    </row>
    <row r="19" spans="1:5" x14ac:dyDescent="0.15">
      <c r="A19" s="34" t="s">
        <v>111</v>
      </c>
      <c r="C19" s="44" t="s">
        <v>98</v>
      </c>
      <c r="D19" s="36" t="s">
        <v>101</v>
      </c>
      <c r="E19" s="45" t="s">
        <v>47</v>
      </c>
    </row>
    <row r="20" spans="1:5" x14ac:dyDescent="0.15">
      <c r="A20" s="25" t="s">
        <v>91</v>
      </c>
      <c r="C20" s="38">
        <f>IF($E5&gt;='Envestra Jul''15'!E7,('Envestra Jul''15'!E7*'Envestra Jul''15'!E9/100*1.1),($E5*'Envestra Jul''15'!E9/100*1.1))</f>
        <v>44.562848000000002</v>
      </c>
      <c r="D20" s="38">
        <f>IF($E5&gt;='Envestra Jul''15'!F7,('Envestra Jul''15'!F7*'Envestra Jul''15'!F9/100*1.1),($E5*'Envestra Jul''15'!F9/100*1.1))</f>
        <v>44.019800000000004</v>
      </c>
      <c r="E20" s="39"/>
    </row>
    <row r="21" spans="1:5" x14ac:dyDescent="0.15">
      <c r="A21" s="25" t="s">
        <v>58</v>
      </c>
      <c r="C21" s="38">
        <f>IF($E5&lt;'Envestra Jul''15'!E7,0,IF($E5&lt;='Envestra Jul''15'!E8,($E5-'Envestra Jul''15'!E7)*('Envestra Jul''15'!E10/100*1.1),('Envestra Jul''15'!E8-'Envestra Jul''15'!E7)*('Envestra Jul''15'!E10/100*1.1)))</f>
        <v>76.085856000000021</v>
      </c>
      <c r="D21" s="38">
        <f>IF($E5&lt;'Envestra Jul''15'!F7,0,IF($E5&lt;='Envestra Jul''15'!F8,($E5-'Envestra Jul''15'!F7)*('Envestra Jul''15'!F10/100*1.1),('Envestra Jul''15'!F8-'Envestra Jul''15'!F7)*('Envestra Jul''15'!F10/100*1.1)))</f>
        <v>72.655439999999999</v>
      </c>
      <c r="E21" s="39"/>
    </row>
    <row r="22" spans="1:5" x14ac:dyDescent="0.15">
      <c r="A22" s="25" t="s">
        <v>49</v>
      </c>
      <c r="C22" s="38">
        <f>IF(($E5&lt;'Envestra Jul''15'!E8),(0),($E5-'Envestra Jul''15'!E8)*'Envestra Jul''15'!E11/100*1.1)</f>
        <v>0</v>
      </c>
      <c r="D22" s="38">
        <f>IF(($E5&lt;'Envestra Jul''15'!F8),(0),($E5-'Envestra Jul''15'!F8)*'Envestra Jul''15'!F11/100*1.1)</f>
        <v>0</v>
      </c>
      <c r="E22" s="39"/>
    </row>
    <row r="23" spans="1:5" x14ac:dyDescent="0.15">
      <c r="A23" s="25" t="s">
        <v>50</v>
      </c>
      <c r="C23" s="38">
        <f>91*'Envestra Jul''15'!E12/100*1.1</f>
        <v>70.93086000000001</v>
      </c>
      <c r="D23" s="38">
        <f>91*'Envestra Jul''15'!F12/100*1.1</f>
        <v>69.379310000000004</v>
      </c>
      <c r="E23" s="40">
        <f>AVERAGE(C23:D23)</f>
        <v>70.155085000000014</v>
      </c>
    </row>
    <row r="24" spans="1:5" x14ac:dyDescent="0.15">
      <c r="A24" s="25" t="s">
        <v>51</v>
      </c>
      <c r="C24" s="38">
        <f>SUM(C20:C23)</f>
        <v>191.57956400000003</v>
      </c>
      <c r="D24" s="38">
        <f>SUM(D20:D23)</f>
        <v>186.05455000000001</v>
      </c>
      <c r="E24" s="40">
        <f t="shared" ref="E24:E25" si="1">AVERAGE(C24:D24)</f>
        <v>188.81705700000003</v>
      </c>
    </row>
    <row r="25" spans="1:5" x14ac:dyDescent="0.15">
      <c r="A25" s="26" t="s">
        <v>48</v>
      </c>
      <c r="B25" s="41"/>
      <c r="C25" s="42">
        <f>C24*4</f>
        <v>766.31825600000013</v>
      </c>
      <c r="D25" s="42">
        <f>D24*4</f>
        <v>744.21820000000002</v>
      </c>
      <c r="E25" s="48">
        <f t="shared" si="1"/>
        <v>755.26822800000014</v>
      </c>
    </row>
    <row r="26" spans="1:5" x14ac:dyDescent="0.15">
      <c r="C26" s="38"/>
      <c r="D26" s="38"/>
      <c r="E26" s="38"/>
    </row>
    <row r="27" spans="1:5" x14ac:dyDescent="0.15">
      <c r="A27" s="34" t="s">
        <v>119</v>
      </c>
      <c r="C27" s="44" t="s">
        <v>98</v>
      </c>
      <c r="D27" s="36" t="s">
        <v>101</v>
      </c>
      <c r="E27" s="45" t="s">
        <v>47</v>
      </c>
    </row>
    <row r="28" spans="1:5" x14ac:dyDescent="0.15">
      <c r="A28" s="25" t="s">
        <v>91</v>
      </c>
      <c r="C28" s="51" t="s">
        <v>124</v>
      </c>
      <c r="D28" s="38">
        <f>IF($E5&gt;='Envestra Jul''15'!F16,('Envestra Jul''15'!F16*'Envestra Jul''15'!F18/100*1.1),($E5*'Envestra Jul''15'!F18/100*1.1))</f>
        <v>51.05474000000001</v>
      </c>
      <c r="E28" s="39"/>
    </row>
    <row r="29" spans="1:5" x14ac:dyDescent="0.15">
      <c r="A29" s="25" t="s">
        <v>58</v>
      </c>
      <c r="C29" s="51" t="s">
        <v>124</v>
      </c>
      <c r="D29" s="38">
        <f>IF($E5&lt;'Envestra Jul''15'!F16,0,IF($E5&lt;='Envestra Jul''15'!F17,($E5-'Envestra Jul''15'!F16)*('Envestra Jul''15'!F19/100*1.1),('Envestra Jul''15'!F17-'Envestra Jul''15'!F16)*('Envestra Jul''15'!F19/100*1.1)))</f>
        <v>79.612632000000005</v>
      </c>
      <c r="E29" s="39"/>
    </row>
    <row r="30" spans="1:5" x14ac:dyDescent="0.15">
      <c r="A30" s="25" t="s">
        <v>49</v>
      </c>
      <c r="C30" s="51" t="s">
        <v>124</v>
      </c>
      <c r="D30" s="38">
        <f>IF(($E5&lt;'Envestra Jul''15'!F17),(0),($E5-'Envestra Jul''15'!F17)*'Envestra Jul''15'!F20/100*1.1)</f>
        <v>0</v>
      </c>
      <c r="E30" s="39"/>
    </row>
    <row r="31" spans="1:5" x14ac:dyDescent="0.15">
      <c r="A31" s="25" t="s">
        <v>50</v>
      </c>
      <c r="C31" s="51" t="s">
        <v>124</v>
      </c>
      <c r="D31" s="38">
        <f>91*'Envestra Jul''15'!F21/100*1.1</f>
        <v>68.348280000000017</v>
      </c>
      <c r="E31" s="40">
        <f>AVERAGE(D31)</f>
        <v>68.348280000000017</v>
      </c>
    </row>
    <row r="32" spans="1:5" x14ac:dyDescent="0.15">
      <c r="A32" s="25" t="s">
        <v>51</v>
      </c>
      <c r="C32" s="51" t="s">
        <v>124</v>
      </c>
      <c r="D32" s="38">
        <f>SUM(D28:D31)</f>
        <v>199.01565200000002</v>
      </c>
      <c r="E32" s="40">
        <f t="shared" ref="E32:E33" si="2">AVERAGE(D32)</f>
        <v>199.01565200000002</v>
      </c>
    </row>
    <row r="33" spans="1:9" x14ac:dyDescent="0.15">
      <c r="A33" s="26" t="s">
        <v>48</v>
      </c>
      <c r="B33" s="41"/>
      <c r="C33" s="42"/>
      <c r="D33" s="42">
        <f>D32*4</f>
        <v>796.06260800000007</v>
      </c>
      <c r="E33" s="48">
        <f t="shared" si="2"/>
        <v>796.06260800000007</v>
      </c>
    </row>
    <row r="34" spans="1:9" x14ac:dyDescent="0.15">
      <c r="C34" s="38"/>
      <c r="D34" s="38"/>
      <c r="E34" s="38"/>
    </row>
    <row r="35" spans="1:9" x14ac:dyDescent="0.15">
      <c r="A35" s="34" t="s">
        <v>120</v>
      </c>
      <c r="C35" s="44" t="s">
        <v>98</v>
      </c>
      <c r="D35" s="36" t="s">
        <v>101</v>
      </c>
      <c r="E35" s="45" t="s">
        <v>47</v>
      </c>
    </row>
    <row r="36" spans="1:9" x14ac:dyDescent="0.15">
      <c r="A36" s="25" t="s">
        <v>91</v>
      </c>
      <c r="C36" s="51" t="s">
        <v>124</v>
      </c>
      <c r="D36" s="38">
        <f>IF($E5&gt;='Envestra Jul''15'!F25,('Envestra Jul''15'!F25*'Envestra Jul''15'!F26/100*1.1),($E5*'Envestra Jul''15'!F26/100*1.1))</f>
        <v>91.190000000000012</v>
      </c>
      <c r="E36" s="39"/>
    </row>
    <row r="37" spans="1:9" x14ac:dyDescent="0.15">
      <c r="A37" s="25" t="s">
        <v>49</v>
      </c>
      <c r="C37" s="51" t="s">
        <v>124</v>
      </c>
      <c r="D37" s="38">
        <f>IF(($E5&lt;'Envestra Jul''15'!F25),(0),($E5-'Envestra Jul''15'!F25)*'Envestra Jul''15'!F27/100*1.1)</f>
        <v>0</v>
      </c>
      <c r="E37" s="39"/>
    </row>
    <row r="38" spans="1:9" x14ac:dyDescent="0.15">
      <c r="A38" s="25" t="s">
        <v>50</v>
      </c>
      <c r="C38" s="51" t="s">
        <v>124</v>
      </c>
      <c r="D38" s="38">
        <f>91*'Envestra Jul''15'!F28/100*1.1</f>
        <v>27.417390000000005</v>
      </c>
      <c r="E38" s="40">
        <f>AVERAGE(D38)</f>
        <v>27.417390000000005</v>
      </c>
    </row>
    <row r="39" spans="1:9" x14ac:dyDescent="0.15">
      <c r="A39" s="25" t="s">
        <v>51</v>
      </c>
      <c r="C39" s="51" t="s">
        <v>124</v>
      </c>
      <c r="D39" s="38">
        <f>SUM(D36:D38)</f>
        <v>118.60739000000001</v>
      </c>
      <c r="E39" s="40">
        <f t="shared" ref="E39:E40" si="3">AVERAGE(D39)</f>
        <v>118.60739000000001</v>
      </c>
    </row>
    <row r="40" spans="1:9" x14ac:dyDescent="0.15">
      <c r="A40" s="26" t="s">
        <v>48</v>
      </c>
      <c r="B40" s="41"/>
      <c r="C40" s="42"/>
      <c r="D40" s="42">
        <f>D39*4</f>
        <v>474.42956000000004</v>
      </c>
      <c r="E40" s="48">
        <f t="shared" si="3"/>
        <v>474.42956000000004</v>
      </c>
    </row>
    <row r="42" spans="1:9" x14ac:dyDescent="0.15">
      <c r="A42" s="62"/>
      <c r="B42" s="62"/>
      <c r="C42" s="62"/>
      <c r="D42" s="62"/>
      <c r="E42" s="62"/>
      <c r="F42" s="62"/>
      <c r="G42" s="62"/>
      <c r="H42" s="62"/>
      <c r="I42" s="62"/>
    </row>
  </sheetData>
  <sheetProtection algorithmName="SHA-512" hashValue="76sA9YK2N5/qUKt8dtnMrBGkHXbWsa5/GVuvIRfdTKq5ZqJ3FJBY9eWxwQf+BVY97JYam3pOl41gG4svLILvWQ==" saltValue="L0Oi5uyFUkbKAndrrc/6jg==" spinCount="100000" sheet="1" objects="1" scenarios="1"/>
  <mergeCells count="1">
    <mergeCell ref="A3:C3"/>
  </mergeCells>
  <phoneticPr fontId="10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I42"/>
  <sheetViews>
    <sheetView zoomScale="125" workbookViewId="0">
      <selection activeCell="E5" sqref="E5"/>
    </sheetView>
  </sheetViews>
  <sheetFormatPr baseColWidth="10" defaultRowHeight="13" x14ac:dyDescent="0.15"/>
  <cols>
    <col min="1" max="1" width="22.5" style="25" customWidth="1"/>
    <col min="2" max="2" width="3.33203125" style="25" customWidth="1"/>
    <col min="3" max="4" width="10" style="25" customWidth="1"/>
    <col min="5" max="16384" width="10.83203125" style="25"/>
  </cols>
  <sheetData>
    <row r="1" spans="1:9" x14ac:dyDescent="0.15">
      <c r="A1" s="32" t="s">
        <v>126</v>
      </c>
    </row>
    <row r="2" spans="1:9" x14ac:dyDescent="0.15">
      <c r="A2" s="58"/>
      <c r="B2" s="58"/>
      <c r="C2" s="58"/>
      <c r="D2" s="58"/>
      <c r="E2" s="58"/>
      <c r="F2" s="58"/>
      <c r="G2" s="58"/>
      <c r="H2" s="58"/>
      <c r="I2" s="58"/>
    </row>
    <row r="3" spans="1:9" x14ac:dyDescent="0.15">
      <c r="A3" s="193" t="s">
        <v>73</v>
      </c>
      <c r="B3" s="193"/>
      <c r="C3" s="193"/>
    </row>
    <row r="5" spans="1:9" x14ac:dyDescent="0.15">
      <c r="A5" s="34" t="s">
        <v>110</v>
      </c>
      <c r="B5" s="34" t="s">
        <v>184</v>
      </c>
      <c r="E5" s="46">
        <v>2500</v>
      </c>
    </row>
    <row r="7" spans="1:9" x14ac:dyDescent="0.15">
      <c r="A7" s="35" t="s">
        <v>125</v>
      </c>
    </row>
    <row r="9" spans="1:9" x14ac:dyDescent="0.15">
      <c r="A9" s="34" t="s">
        <v>121</v>
      </c>
      <c r="C9" s="36" t="s">
        <v>98</v>
      </c>
      <c r="D9" s="36" t="s">
        <v>101</v>
      </c>
      <c r="E9" s="37" t="s">
        <v>47</v>
      </c>
    </row>
    <row r="10" spans="1:9" x14ac:dyDescent="0.15">
      <c r="A10" s="25" t="s">
        <v>91</v>
      </c>
      <c r="C10" s="38">
        <f>IF($E5&gt;='APT Jul''14'!E7,('APT Jul''14'!E7*'APT Jul''14'!E9/100),($E5*'APT Jul''14'!E9/100))</f>
        <v>33.878350000000005</v>
      </c>
      <c r="D10" s="38">
        <f>IF($E5&gt;='APT Jul''14'!F7,('APT Jul''14'!F7*'APT Jul''14'!F9/100),($E5*'APT Jul''14'!F9/100))</f>
        <v>75.287520000000001</v>
      </c>
      <c r="E10" s="39"/>
    </row>
    <row r="11" spans="1:9" x14ac:dyDescent="0.15">
      <c r="A11" s="25" t="s">
        <v>58</v>
      </c>
      <c r="C11" s="38">
        <f>IF($E5&lt;'APT Jul''14'!E7,0,IF($E5&lt;='APT Jul''14'!E8,($E5-'APT Jul''14'!E7)*('APT Jul''14'!E10/100),('APT Jul''14'!E8-'APT Jul''14'!E7)*('APT Jul''14'!E10/100)))</f>
        <v>49.001700000000007</v>
      </c>
      <c r="D11" s="38">
        <f>IF($E5&lt;'APT Jul''14'!F7,0,IF($E5&lt;='APT Jul''14'!F8,($E5-'APT Jul''14'!F7)*('APT Jul''14'!F10/100),('APT Jul''14'!F8-'APT Jul''14'!F7)*('APT Jul''14'!F10/100)))</f>
        <v>0</v>
      </c>
      <c r="E11" s="39"/>
    </row>
    <row r="12" spans="1:9" x14ac:dyDescent="0.15">
      <c r="A12" s="25" t="s">
        <v>49</v>
      </c>
      <c r="C12" s="38">
        <f>IF(($E5&lt;'APT Jul''14'!E8),(0),($E5-'APT Jul''14'!E8)*'APT Jul''14'!E11/100)</f>
        <v>5.1705500000000004</v>
      </c>
      <c r="D12" s="38">
        <f>IF(($E5&lt;'APT Jul''14'!F8),(0),($E5-'APT Jul''14'!F8)*'APT Jul''14'!F11/100)</f>
        <v>4.8624399999999994</v>
      </c>
      <c r="E12" s="39"/>
    </row>
    <row r="13" spans="1:9" x14ac:dyDescent="0.15">
      <c r="A13" s="25" t="s">
        <v>50</v>
      </c>
      <c r="C13" s="38">
        <f>91*'APT Jul''14'!E12/100</f>
        <v>99.569469999999995</v>
      </c>
      <c r="D13" s="38">
        <f>91*'APT Jul''14'!F12/100</f>
        <v>100.14003999999998</v>
      </c>
      <c r="E13" s="40">
        <f>AVERAGE(C13:D13)</f>
        <v>99.854754999999983</v>
      </c>
    </row>
    <row r="14" spans="1:9" x14ac:dyDescent="0.15">
      <c r="A14" s="25" t="s">
        <v>51</v>
      </c>
      <c r="C14" s="38">
        <f>SUM(C10:C13)</f>
        <v>187.62007</v>
      </c>
      <c r="D14" s="38">
        <f>SUM(D10:D13)</f>
        <v>180.28999999999996</v>
      </c>
      <c r="E14" s="40">
        <f t="shared" ref="E14:E15" si="0">AVERAGE(C14:D14)</f>
        <v>183.95503499999998</v>
      </c>
    </row>
    <row r="15" spans="1:9" x14ac:dyDescent="0.15">
      <c r="A15" s="26" t="s">
        <v>48</v>
      </c>
      <c r="B15" s="41"/>
      <c r="C15" s="42">
        <f>C14*4</f>
        <v>750.48027999999999</v>
      </c>
      <c r="D15" s="42">
        <f>D14*4</f>
        <v>721.15999999999985</v>
      </c>
      <c r="E15" s="48">
        <f t="shared" si="0"/>
        <v>735.82013999999992</v>
      </c>
    </row>
    <row r="16" spans="1:9" x14ac:dyDescent="0.15">
      <c r="C16" s="38"/>
      <c r="D16" s="38"/>
      <c r="E16" s="38"/>
    </row>
    <row r="17" spans="1:5" x14ac:dyDescent="0.15">
      <c r="A17" s="35" t="s">
        <v>57</v>
      </c>
      <c r="C17" s="38"/>
      <c r="D17" s="38"/>
      <c r="E17" s="38"/>
    </row>
    <row r="18" spans="1:5" x14ac:dyDescent="0.15">
      <c r="C18" s="38"/>
      <c r="D18" s="38"/>
      <c r="E18" s="38"/>
    </row>
    <row r="19" spans="1:5" x14ac:dyDescent="0.15">
      <c r="A19" s="34" t="s">
        <v>111</v>
      </c>
      <c r="C19" s="44" t="s">
        <v>98</v>
      </c>
      <c r="D19" s="36" t="s">
        <v>101</v>
      </c>
      <c r="E19" s="45" t="s">
        <v>47</v>
      </c>
    </row>
    <row r="20" spans="1:5" x14ac:dyDescent="0.15">
      <c r="A20" s="25" t="s">
        <v>91</v>
      </c>
      <c r="C20" s="38">
        <f>IF($E5&gt;='Envestra Jul''14'!E7,('Envestra Jul''14'!E7*'Envestra Jul''14'!E9/100),($E5*'Envestra Jul''14'!E9/100))</f>
        <v>43.06535199999999</v>
      </c>
      <c r="D20" s="38">
        <f>IF($E5&gt;='Envestra Jul''14'!F7,('Envestra Jul''14'!F7*'Envestra Jul''14'!F9/100),($E5*'Envestra Jul''14'!F9/100))</f>
        <v>47.804679999999998</v>
      </c>
      <c r="E20" s="39"/>
    </row>
    <row r="21" spans="1:5" x14ac:dyDescent="0.15">
      <c r="A21" s="25" t="s">
        <v>58</v>
      </c>
      <c r="C21" s="38">
        <f>IF($E5&lt;'Envestra Jul''14'!E7,0,IF($E5&lt;='Envestra Jul''14'!E8,($E5-'Envestra Jul''14'!E7)*('Envestra Jul''14'!E10/100),('Envestra Jul''14'!E8-'Envestra Jul''14'!E7)*('Envestra Jul''14'!E10/100)))</f>
        <v>74.813903999999994</v>
      </c>
      <c r="D21" s="38">
        <f>IF($E5&lt;'Envestra Jul''14'!F7,0,IF($E5&lt;='Envestra Jul''14'!F8,($E5-'Envestra Jul''14'!F7)*('Envestra Jul''14'!F10/100),('Envestra Jul''14'!F8-'Envestra Jul''14'!F7)*('Envestra Jul''14'!F10/100)))</f>
        <v>73.811760000000007</v>
      </c>
      <c r="E21" s="39"/>
    </row>
    <row r="22" spans="1:5" x14ac:dyDescent="0.15">
      <c r="A22" s="25" t="s">
        <v>49</v>
      </c>
      <c r="C22" s="38">
        <f>IF(($E5&lt;'Envestra Jul''14'!E8),(0),($E5-'Envestra Jul''14'!E8)*'Envestra Jul''14'!E11/100)</f>
        <v>0</v>
      </c>
      <c r="D22" s="38">
        <f>IF(($E5&lt;'Envestra Jul''14'!F8),(0),($E5-'Envestra Jul''14'!F8)*'Envestra Jul''14'!F11/100)</f>
        <v>0</v>
      </c>
      <c r="E22" s="39"/>
    </row>
    <row r="23" spans="1:5" x14ac:dyDescent="0.15">
      <c r="A23" s="25" t="s">
        <v>50</v>
      </c>
      <c r="C23" s="38">
        <f>91*'Envestra Jul''14'!E12/100</f>
        <v>75.044970000000006</v>
      </c>
      <c r="D23" s="38">
        <f>91*'Envestra Jul''14'!F12/100</f>
        <v>71.531459999999996</v>
      </c>
      <c r="E23" s="40">
        <f>AVERAGE(C23:D23)</f>
        <v>73.288215000000008</v>
      </c>
    </row>
    <row r="24" spans="1:5" x14ac:dyDescent="0.15">
      <c r="A24" s="25" t="s">
        <v>51</v>
      </c>
      <c r="C24" s="38">
        <f>SUM(C20:C23)</f>
        <v>192.92422599999998</v>
      </c>
      <c r="D24" s="38">
        <f>SUM(D20:D23)</f>
        <v>193.14789999999999</v>
      </c>
      <c r="E24" s="40">
        <f t="shared" ref="E24:E25" si="1">AVERAGE(C24:D24)</f>
        <v>193.03606299999998</v>
      </c>
    </row>
    <row r="25" spans="1:5" x14ac:dyDescent="0.15">
      <c r="A25" s="26" t="s">
        <v>48</v>
      </c>
      <c r="B25" s="41"/>
      <c r="C25" s="42">
        <f>C24*4</f>
        <v>771.6969039999999</v>
      </c>
      <c r="D25" s="42">
        <f>D24*4</f>
        <v>772.59159999999997</v>
      </c>
      <c r="E25" s="48">
        <f t="shared" si="1"/>
        <v>772.14425199999994</v>
      </c>
    </row>
    <row r="26" spans="1:5" x14ac:dyDescent="0.15">
      <c r="C26" s="38"/>
      <c r="D26" s="38"/>
      <c r="E26" s="38"/>
    </row>
    <row r="27" spans="1:5" x14ac:dyDescent="0.15">
      <c r="A27" s="34" t="s">
        <v>119</v>
      </c>
      <c r="C27" s="44" t="s">
        <v>98</v>
      </c>
      <c r="D27" s="36" t="s">
        <v>101</v>
      </c>
      <c r="E27" s="45" t="s">
        <v>47</v>
      </c>
    </row>
    <row r="28" spans="1:5" x14ac:dyDescent="0.15">
      <c r="A28" s="25" t="s">
        <v>91</v>
      </c>
      <c r="C28" s="51" t="s">
        <v>124</v>
      </c>
      <c r="D28" s="38">
        <f>IF($E5&gt;='Envestra Jul''14'!F16,('Envestra Jul''14'!F16*'Envestra Jul''14'!F18/100),($E5*'Envestra Jul''14'!F18/100))</f>
        <v>50.849040000000002</v>
      </c>
      <c r="E28" s="39"/>
    </row>
    <row r="29" spans="1:5" x14ac:dyDescent="0.15">
      <c r="A29" s="25" t="s">
        <v>58</v>
      </c>
      <c r="C29" s="51" t="s">
        <v>124</v>
      </c>
      <c r="D29" s="38">
        <f>IF($E5&lt;'Envestra Jul''14'!F16,0,IF($E5&lt;='Envestra Jul''14'!F17,($E5-'Envestra Jul''14'!F16)*('Envestra Jul''14'!F19/100),('Envestra Jul''14'!F17-'Envestra Jul''14'!F16)*('Envestra Jul''14'!F19/100)))</f>
        <v>80.942399999999992</v>
      </c>
      <c r="E29" s="39"/>
    </row>
    <row r="30" spans="1:5" x14ac:dyDescent="0.15">
      <c r="A30" s="25" t="s">
        <v>49</v>
      </c>
      <c r="C30" s="51" t="s">
        <v>124</v>
      </c>
      <c r="D30" s="38">
        <f>IF(($E5&lt;'Envestra Jul''14'!F17),(0),($E5-'Envestra Jul''14'!F17)*'Envestra Jul''14'!F20/100)</f>
        <v>0</v>
      </c>
      <c r="E30" s="39"/>
    </row>
    <row r="31" spans="1:5" x14ac:dyDescent="0.15">
      <c r="A31" s="25" t="s">
        <v>50</v>
      </c>
      <c r="C31" s="51" t="s">
        <v>124</v>
      </c>
      <c r="D31" s="38">
        <f>91*'Envestra Jul''14'!F21/100</f>
        <v>70.770699999999991</v>
      </c>
      <c r="E31" s="40">
        <f>AVERAGE(D31)</f>
        <v>70.770699999999991</v>
      </c>
    </row>
    <row r="32" spans="1:5" x14ac:dyDescent="0.15">
      <c r="A32" s="25" t="s">
        <v>51</v>
      </c>
      <c r="C32" s="51" t="s">
        <v>124</v>
      </c>
      <c r="D32" s="38">
        <f>SUM(D28:D31)</f>
        <v>202.56214</v>
      </c>
      <c r="E32" s="40">
        <f t="shared" ref="E32:E33" si="2">AVERAGE(D32)</f>
        <v>202.56214</v>
      </c>
    </row>
    <row r="33" spans="1:9" x14ac:dyDescent="0.15">
      <c r="A33" s="26" t="s">
        <v>48</v>
      </c>
      <c r="B33" s="41"/>
      <c r="C33" s="42"/>
      <c r="D33" s="42">
        <f>D32*4</f>
        <v>810.24856</v>
      </c>
      <c r="E33" s="48">
        <f t="shared" si="2"/>
        <v>810.24856</v>
      </c>
    </row>
    <row r="34" spans="1:9" x14ac:dyDescent="0.15">
      <c r="C34" s="38"/>
      <c r="D34" s="38"/>
      <c r="E34" s="38"/>
    </row>
    <row r="35" spans="1:9" x14ac:dyDescent="0.15">
      <c r="A35" s="34" t="s">
        <v>120</v>
      </c>
      <c r="C35" s="44" t="s">
        <v>98</v>
      </c>
      <c r="D35" s="36" t="s">
        <v>101</v>
      </c>
      <c r="E35" s="45" t="s">
        <v>47</v>
      </c>
    </row>
    <row r="36" spans="1:9" x14ac:dyDescent="0.15">
      <c r="A36" s="25" t="s">
        <v>91</v>
      </c>
      <c r="C36" s="51" t="s">
        <v>124</v>
      </c>
      <c r="D36" s="38">
        <f>IF($E5&gt;='Envestra Jul''14'!F25,('Envestra Jul''14'!F25*'Envestra Jul''14'!F26/100),($E5*'Envestra Jul''14'!F26/100))</f>
        <v>68.254999999999995</v>
      </c>
      <c r="E36" s="39"/>
    </row>
    <row r="37" spans="1:9" x14ac:dyDescent="0.15">
      <c r="A37" s="25" t="s">
        <v>49</v>
      </c>
      <c r="C37" s="51" t="s">
        <v>124</v>
      </c>
      <c r="D37" s="38">
        <f>IF(($E5&lt;'Envestra Jul''14'!F25),(0),($E5-'Envestra Jul''14'!F25)*'Envestra Jul''14'!F27/100)</f>
        <v>22.646249999999998</v>
      </c>
      <c r="E37" s="39"/>
    </row>
    <row r="38" spans="1:9" x14ac:dyDescent="0.15">
      <c r="A38" s="25" t="s">
        <v>50</v>
      </c>
      <c r="C38" s="51" t="s">
        <v>124</v>
      </c>
      <c r="D38" s="38">
        <f>91*'Envestra Jul''14'!F28/100</f>
        <v>32.282249999999998</v>
      </c>
      <c r="E38" s="40">
        <f>AVERAGE(D38)</f>
        <v>32.282249999999998</v>
      </c>
    </row>
    <row r="39" spans="1:9" x14ac:dyDescent="0.15">
      <c r="A39" s="25" t="s">
        <v>51</v>
      </c>
      <c r="C39" s="51" t="s">
        <v>124</v>
      </c>
      <c r="D39" s="38">
        <f>SUM(D36:D38)</f>
        <v>123.18349999999998</v>
      </c>
      <c r="E39" s="40">
        <f t="shared" ref="E39:E40" si="3">AVERAGE(D39)</f>
        <v>123.18349999999998</v>
      </c>
    </row>
    <row r="40" spans="1:9" x14ac:dyDescent="0.15">
      <c r="A40" s="26" t="s">
        <v>48</v>
      </c>
      <c r="B40" s="41"/>
      <c r="C40" s="42"/>
      <c r="D40" s="42">
        <f>D39*4</f>
        <v>492.73399999999992</v>
      </c>
      <c r="E40" s="48">
        <f t="shared" si="3"/>
        <v>492.73399999999992</v>
      </c>
    </row>
    <row r="42" spans="1:9" x14ac:dyDescent="0.15">
      <c r="A42" s="58"/>
      <c r="B42" s="58"/>
      <c r="C42" s="58"/>
      <c r="D42" s="58"/>
      <c r="E42" s="58"/>
      <c r="F42" s="58"/>
      <c r="G42" s="58"/>
      <c r="H42" s="58"/>
      <c r="I42" s="58"/>
    </row>
  </sheetData>
  <sheetProtection algorithmName="SHA-512" hashValue="V0v4sOD0H2MtO/MkzeXC5OMr8p63LgRlu+OW/CAwvt7l5nszRs64mInq9rCAAsz0uh47C7MWIjL+mawqcYG8Aw==" saltValue="58PfXePb0+08/1CwQR8etg==" spinCount="100000" sheet="1" objects="1" scenarios="1"/>
  <mergeCells count="1">
    <mergeCell ref="A3:C3"/>
  </mergeCells>
  <phoneticPr fontId="10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I42"/>
  <sheetViews>
    <sheetView zoomScale="125" workbookViewId="0">
      <selection activeCell="E5" sqref="E5"/>
    </sheetView>
  </sheetViews>
  <sheetFormatPr baseColWidth="10" defaultRowHeight="13" x14ac:dyDescent="0.15"/>
  <cols>
    <col min="1" max="1" width="22.5" style="25" customWidth="1"/>
    <col min="2" max="2" width="3.33203125" style="25" customWidth="1"/>
    <col min="3" max="4" width="10" style="25" customWidth="1"/>
    <col min="5" max="16384" width="10.83203125" style="25"/>
  </cols>
  <sheetData>
    <row r="1" spans="1:9" x14ac:dyDescent="0.15">
      <c r="A1" s="32" t="s">
        <v>126</v>
      </c>
    </row>
    <row r="2" spans="1:9" x14ac:dyDescent="0.15">
      <c r="A2" s="53"/>
      <c r="B2" s="53"/>
      <c r="C2" s="53"/>
      <c r="D2" s="53"/>
      <c r="E2" s="53"/>
      <c r="F2" s="53"/>
      <c r="G2" s="53"/>
      <c r="H2" s="53"/>
      <c r="I2" s="53"/>
    </row>
    <row r="3" spans="1:9" x14ac:dyDescent="0.15">
      <c r="A3" s="193" t="s">
        <v>137</v>
      </c>
      <c r="B3" s="193"/>
      <c r="C3" s="193"/>
    </row>
    <row r="5" spans="1:9" x14ac:dyDescent="0.15">
      <c r="A5" s="34" t="s">
        <v>110</v>
      </c>
      <c r="B5" s="34" t="s">
        <v>184</v>
      </c>
      <c r="E5" s="46">
        <v>2500</v>
      </c>
    </row>
    <row r="7" spans="1:9" x14ac:dyDescent="0.15">
      <c r="A7" s="35" t="s">
        <v>125</v>
      </c>
    </row>
    <row r="9" spans="1:9" x14ac:dyDescent="0.15">
      <c r="A9" s="34" t="s">
        <v>121</v>
      </c>
      <c r="C9" s="36" t="s">
        <v>98</v>
      </c>
      <c r="D9" s="36" t="s">
        <v>101</v>
      </c>
      <c r="E9" s="37" t="s">
        <v>47</v>
      </c>
    </row>
    <row r="10" spans="1:9" x14ac:dyDescent="0.15">
      <c r="A10" s="25" t="s">
        <v>91</v>
      </c>
      <c r="C10" s="38">
        <f>IF($E5&gt;='APT Jul''13'!E7,('APT Jul''13'!E7*'APT Jul''13'!E9/100),($E5*'APT Jul''13'!E9/100))</f>
        <v>31.840875</v>
      </c>
      <c r="D10" s="38">
        <f>IF($E5&gt;='APT Jul''13'!F7,('APT Jul''13'!F7*'APT Jul''13'!F9/100),($E5*'APT Jul''13'!F9/100))</f>
        <v>67.605119999999999</v>
      </c>
      <c r="E10" s="39"/>
    </row>
    <row r="11" spans="1:9" x14ac:dyDescent="0.15">
      <c r="A11" s="25" t="s">
        <v>58</v>
      </c>
      <c r="C11" s="38">
        <f>IF($E5&lt;'APT Jul''13'!E7,0,IF($E5&lt;='APT Jul''13'!E8,($E5-'APT Jul''13'!E7)*('APT Jul''13'!E10/100),('APT Jul''13'!E8-'APT Jul''13'!E7)*('APT Jul''13'!E10/100)))</f>
        <v>45.489399999999996</v>
      </c>
      <c r="D11" s="38">
        <f>IF($E5&lt;'APT Jul''13'!F7,0,IF($E5&lt;='APT Jul''13'!F8,($E5-'APT Jul''13'!F7)*('APT Jul''13'!F10/100),('APT Jul''13'!F8-'APT Jul''13'!F7)*('APT Jul''13'!F10/100)))</f>
        <v>0</v>
      </c>
      <c r="E11" s="39"/>
    </row>
    <row r="12" spans="1:9" x14ac:dyDescent="0.15">
      <c r="A12" s="25" t="s">
        <v>49</v>
      </c>
      <c r="C12" s="38">
        <f>IF(($E5&lt;'APT Jul''13'!E8),(0),($E5-'APT Jul''13'!E8)*'APT Jul''13'!E11/100)</f>
        <v>4.810575</v>
      </c>
      <c r="D12" s="38">
        <f>IF(($E5&lt;'APT Jul''13'!F8),(0),($E5-'APT Jul''13'!F8)*'APT Jul''13'!F11/100)</f>
        <v>4.3137599999999994</v>
      </c>
      <c r="E12" s="39"/>
    </row>
    <row r="13" spans="1:9" x14ac:dyDescent="0.15">
      <c r="A13" s="25" t="s">
        <v>50</v>
      </c>
      <c r="C13" s="38">
        <f>91*'APT Jul''13'!E12/100</f>
        <v>92.92282999999999</v>
      </c>
      <c r="D13" s="38">
        <f>91*'APT Jul''13'!F12/100</f>
        <v>94.684590000000014</v>
      </c>
      <c r="E13" s="40">
        <f>AVERAGE(C13:D13)</f>
        <v>93.803709999999995</v>
      </c>
    </row>
    <row r="14" spans="1:9" x14ac:dyDescent="0.15">
      <c r="A14" s="25" t="s">
        <v>51</v>
      </c>
      <c r="C14" s="38">
        <f>SUM(C10:C13)</f>
        <v>175.06367999999998</v>
      </c>
      <c r="D14" s="38">
        <f>SUM(D10:D13)</f>
        <v>166.60347000000002</v>
      </c>
      <c r="E14" s="40">
        <f t="shared" ref="E14:E15" si="0">AVERAGE(C14:D14)</f>
        <v>170.833575</v>
      </c>
    </row>
    <row r="15" spans="1:9" x14ac:dyDescent="0.15">
      <c r="A15" s="26" t="s">
        <v>48</v>
      </c>
      <c r="B15" s="41"/>
      <c r="C15" s="42">
        <f>C14*4</f>
        <v>700.25471999999991</v>
      </c>
      <c r="D15" s="42">
        <f>D14*4</f>
        <v>666.41388000000006</v>
      </c>
      <c r="E15" s="48">
        <f t="shared" si="0"/>
        <v>683.33429999999998</v>
      </c>
    </row>
    <row r="16" spans="1:9" x14ac:dyDescent="0.15">
      <c r="C16" s="38"/>
      <c r="D16" s="38"/>
      <c r="E16" s="38"/>
    </row>
    <row r="17" spans="1:5" x14ac:dyDescent="0.15">
      <c r="A17" s="35" t="s">
        <v>57</v>
      </c>
      <c r="C17" s="38"/>
      <c r="D17" s="38"/>
      <c r="E17" s="38"/>
    </row>
    <row r="18" spans="1:5" x14ac:dyDescent="0.15">
      <c r="C18" s="38"/>
      <c r="D18" s="38"/>
      <c r="E18" s="38"/>
    </row>
    <row r="19" spans="1:5" x14ac:dyDescent="0.15">
      <c r="A19" s="34" t="s">
        <v>111</v>
      </c>
      <c r="C19" s="44" t="s">
        <v>98</v>
      </c>
      <c r="D19" s="36" t="s">
        <v>101</v>
      </c>
      <c r="E19" s="45" t="s">
        <v>47</v>
      </c>
    </row>
    <row r="20" spans="1:5" x14ac:dyDescent="0.15">
      <c r="A20" s="25" t="s">
        <v>91</v>
      </c>
      <c r="C20" s="38">
        <f>IF($E5&gt;='Envestra Jul''13'!E7,('Envestra Jul''13'!E7*'Envestra Jul''13'!E9/100),($E5*'Envestra Jul''13'!E9/100))</f>
        <v>40.539355999999998</v>
      </c>
      <c r="D20" s="38">
        <f>IF($E5&gt;='Envestra Jul''13'!F7,('Envestra Jul''13'!F7*'Envestra Jul''13'!F9/100),($E5*'Envestra Jul''13'!F9/100))</f>
        <v>44.34892</v>
      </c>
      <c r="E20" s="39"/>
    </row>
    <row r="21" spans="1:5" x14ac:dyDescent="0.15">
      <c r="A21" s="25" t="s">
        <v>58</v>
      </c>
      <c r="C21" s="38">
        <f>IF($E5&lt;'Envestra Jul''13'!E7,0,IF($E5&lt;='Envestra Jul''13'!E8,($E5-'Envestra Jul''13'!E7)*('Envestra Jul''13'!E10/100),('Envestra Jul''13'!E8-'Envestra Jul''13'!E7)*('Envestra Jul''13'!E10/100)))</f>
        <v>71.518391999999992</v>
      </c>
      <c r="D21" s="38">
        <f>IF($E5&lt;'Envestra Jul''13'!F7,0,IF($E5&lt;='Envestra Jul''13'!F8,($E5-'Envestra Jul''13'!F7)*('Envestra Jul''13'!F10/100),('Envestra Jul''13'!F8-'Envestra Jul''13'!F7)*('Envestra Jul''13'!F10/100)))</f>
        <v>68.608320000000006</v>
      </c>
      <c r="E21" s="39"/>
    </row>
    <row r="22" spans="1:5" x14ac:dyDescent="0.15">
      <c r="A22" s="25" t="s">
        <v>49</v>
      </c>
      <c r="C22" s="38">
        <f>IF(($E5&lt;'Envestra Jul''13'!E8),(0),($E5-'Envestra Jul''13'!E8)*'Envestra Jul''13'!E11/100)</f>
        <v>0</v>
      </c>
      <c r="D22" s="38">
        <f>IF(($E5&lt;'Envestra Jul''13'!F8),(0),($E5-'Envestra Jul''13'!F8)*'Envestra Jul''13'!F11/100)</f>
        <v>0</v>
      </c>
      <c r="E22" s="39"/>
    </row>
    <row r="23" spans="1:5" x14ac:dyDescent="0.15">
      <c r="A23" s="25" t="s">
        <v>50</v>
      </c>
      <c r="C23" s="38">
        <f>91*'Envestra Jul''13'!E12/100</f>
        <v>72.102029999999999</v>
      </c>
      <c r="D23" s="38">
        <f>91*'Envestra Jul''13'!F12/100</f>
        <v>69.099029999999999</v>
      </c>
      <c r="E23" s="40">
        <f>AVERAGE(C23:D23)</f>
        <v>70.600529999999992</v>
      </c>
    </row>
    <row r="24" spans="1:5" x14ac:dyDescent="0.15">
      <c r="A24" s="25" t="s">
        <v>51</v>
      </c>
      <c r="C24" s="38">
        <f>SUM(C20:C23)</f>
        <v>184.15977799999999</v>
      </c>
      <c r="D24" s="38">
        <f>SUM(D20:D23)</f>
        <v>182.05627000000001</v>
      </c>
      <c r="E24" s="40">
        <f t="shared" ref="E24:E25" si="1">AVERAGE(C24:D24)</f>
        <v>183.108024</v>
      </c>
    </row>
    <row r="25" spans="1:5" x14ac:dyDescent="0.15">
      <c r="A25" s="26" t="s">
        <v>48</v>
      </c>
      <c r="B25" s="41"/>
      <c r="C25" s="42">
        <f>C24*4</f>
        <v>736.63911199999995</v>
      </c>
      <c r="D25" s="42">
        <f>D24*4</f>
        <v>728.22508000000005</v>
      </c>
      <c r="E25" s="48">
        <f t="shared" si="1"/>
        <v>732.432096</v>
      </c>
    </row>
    <row r="26" spans="1:5" x14ac:dyDescent="0.15">
      <c r="C26" s="38"/>
      <c r="D26" s="38"/>
      <c r="E26" s="38"/>
    </row>
    <row r="27" spans="1:5" x14ac:dyDescent="0.15">
      <c r="A27" s="34" t="s">
        <v>119</v>
      </c>
      <c r="C27" s="44" t="s">
        <v>98</v>
      </c>
      <c r="D27" s="36" t="s">
        <v>101</v>
      </c>
      <c r="E27" s="45" t="s">
        <v>47</v>
      </c>
    </row>
    <row r="28" spans="1:5" x14ac:dyDescent="0.15">
      <c r="A28" s="25" t="s">
        <v>91</v>
      </c>
      <c r="C28" s="51" t="s">
        <v>124</v>
      </c>
      <c r="D28" s="38">
        <f>IF($E5&gt;='Envestra Jul''13'!F16,('Envestra Jul''13'!F16*'Envestra Jul''13'!F18/100),($E5*'Envestra Jul''13'!F18/100))</f>
        <v>47.146440000000005</v>
      </c>
      <c r="E28" s="39"/>
    </row>
    <row r="29" spans="1:5" x14ac:dyDescent="0.15">
      <c r="A29" s="25" t="s">
        <v>58</v>
      </c>
      <c r="C29" s="51" t="s">
        <v>124</v>
      </c>
      <c r="D29" s="38">
        <f>IF($E5&lt;'Envestra Jul''13'!F16,0,IF($E5&lt;='Envestra Jul''13'!F17,($E5-'Envestra Jul''13'!F16)*('Envestra Jul''13'!F19/100),('Envestra Jul''13'!F17-'Envestra Jul''13'!F16)*('Envestra Jul''13'!F19/100)))</f>
        <v>75.546240000000012</v>
      </c>
      <c r="E29" s="39"/>
    </row>
    <row r="30" spans="1:5" x14ac:dyDescent="0.15">
      <c r="A30" s="25" t="s">
        <v>49</v>
      </c>
      <c r="C30" s="51" t="s">
        <v>124</v>
      </c>
      <c r="D30" s="38">
        <f>IF(($E5&lt;'Envestra Jul''13'!F17),(0),($E5-'Envestra Jul''13'!F17)*'Envestra Jul''13'!F20/100)</f>
        <v>0</v>
      </c>
      <c r="E30" s="39"/>
    </row>
    <row r="31" spans="1:5" x14ac:dyDescent="0.15">
      <c r="A31" s="25" t="s">
        <v>50</v>
      </c>
      <c r="C31" s="51" t="s">
        <v>124</v>
      </c>
      <c r="D31" s="38">
        <f>91*'Envestra Jul''13'!F21/100</f>
        <v>68.348280000000003</v>
      </c>
      <c r="E31" s="40">
        <f>AVERAGE(D31)</f>
        <v>68.348280000000003</v>
      </c>
    </row>
    <row r="32" spans="1:5" x14ac:dyDescent="0.15">
      <c r="A32" s="25" t="s">
        <v>51</v>
      </c>
      <c r="C32" s="51" t="s">
        <v>124</v>
      </c>
      <c r="D32" s="38">
        <f>SUM(D28:D31)</f>
        <v>191.04096000000004</v>
      </c>
      <c r="E32" s="40">
        <f t="shared" ref="E32:E33" si="2">AVERAGE(D32)</f>
        <v>191.04096000000004</v>
      </c>
    </row>
    <row r="33" spans="1:9" x14ac:dyDescent="0.15">
      <c r="A33" s="26" t="s">
        <v>48</v>
      </c>
      <c r="B33" s="41"/>
      <c r="C33" s="42"/>
      <c r="D33" s="42">
        <f>D32*4</f>
        <v>764.16384000000016</v>
      </c>
      <c r="E33" s="48">
        <f t="shared" si="2"/>
        <v>764.16384000000016</v>
      </c>
    </row>
    <row r="34" spans="1:9" x14ac:dyDescent="0.15">
      <c r="C34" s="38"/>
      <c r="D34" s="38"/>
      <c r="E34" s="38"/>
    </row>
    <row r="35" spans="1:9" x14ac:dyDescent="0.15">
      <c r="A35" s="34" t="s">
        <v>120</v>
      </c>
      <c r="C35" s="44" t="s">
        <v>98</v>
      </c>
      <c r="D35" s="36" t="s">
        <v>101</v>
      </c>
      <c r="E35" s="45" t="s">
        <v>47</v>
      </c>
    </row>
    <row r="36" spans="1:9" x14ac:dyDescent="0.15">
      <c r="A36" s="25" t="s">
        <v>91</v>
      </c>
      <c r="C36" s="51" t="s">
        <v>124</v>
      </c>
      <c r="D36" s="38">
        <f>IF($E5&gt;='Envestra Jul''13'!F25,('Envestra Jul''13'!F25*'Envestra Jul''13'!F26/100),($E5*'Envestra Jul''13'!F26/100))</f>
        <v>63.436999999999998</v>
      </c>
      <c r="E36" s="39"/>
    </row>
    <row r="37" spans="1:9" x14ac:dyDescent="0.15">
      <c r="A37" s="25" t="s">
        <v>49</v>
      </c>
      <c r="C37" s="51" t="s">
        <v>124</v>
      </c>
      <c r="D37" s="38">
        <f>IF(($E5&lt;'Envestra Jul''13'!F25),(0),($E5-'Envestra Jul''13'!F25)*'Envestra Jul''13'!F27/100)</f>
        <v>20.864250000000002</v>
      </c>
      <c r="E37" s="39"/>
    </row>
    <row r="38" spans="1:9" x14ac:dyDescent="0.15">
      <c r="A38" s="25" t="s">
        <v>50</v>
      </c>
      <c r="C38" s="51" t="s">
        <v>124</v>
      </c>
      <c r="D38" s="38">
        <f>91*'Envestra Jul''13'!F28/100</f>
        <v>31.241210000000002</v>
      </c>
      <c r="E38" s="40">
        <f>AVERAGE(D38)</f>
        <v>31.241210000000002</v>
      </c>
    </row>
    <row r="39" spans="1:9" x14ac:dyDescent="0.15">
      <c r="A39" s="25" t="s">
        <v>51</v>
      </c>
      <c r="C39" s="51" t="s">
        <v>124</v>
      </c>
      <c r="D39" s="38">
        <f>SUM(D36:D38)</f>
        <v>115.54246000000001</v>
      </c>
      <c r="E39" s="40">
        <f t="shared" ref="E39:E40" si="3">AVERAGE(D39)</f>
        <v>115.54246000000001</v>
      </c>
    </row>
    <row r="40" spans="1:9" x14ac:dyDescent="0.15">
      <c r="A40" s="26" t="s">
        <v>48</v>
      </c>
      <c r="B40" s="41"/>
      <c r="C40" s="42"/>
      <c r="D40" s="42">
        <f>D39*4</f>
        <v>462.16984000000002</v>
      </c>
      <c r="E40" s="48">
        <f t="shared" si="3"/>
        <v>462.16984000000002</v>
      </c>
    </row>
    <row r="42" spans="1:9" x14ac:dyDescent="0.15">
      <c r="A42" s="53"/>
      <c r="B42" s="53"/>
      <c r="C42" s="53"/>
      <c r="D42" s="53"/>
      <c r="E42" s="53"/>
      <c r="F42" s="53"/>
      <c r="G42" s="53"/>
      <c r="H42" s="53"/>
      <c r="I42" s="53"/>
    </row>
  </sheetData>
  <sheetProtection algorithmName="SHA-512" hashValue="mpvoGMHH1C22EltITYJw6eOqmaK61Zz9isXMVt61ct51GO50FOPemexvA48I9YRUICcYv5/GMwJNDgrGXl3bKA==" saltValue="Ft+HKqgWEOeCekJv0AjgTQ==" spinCount="100000" sheet="1" objects="1" scenarios="1"/>
  <mergeCells count="1">
    <mergeCell ref="A3:C3"/>
  </mergeCells>
  <phoneticPr fontId="10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I40"/>
  <sheetViews>
    <sheetView topLeftCell="A2" zoomScale="150" workbookViewId="0">
      <selection activeCell="E5" sqref="E5"/>
    </sheetView>
  </sheetViews>
  <sheetFormatPr baseColWidth="10" defaultRowHeight="13" x14ac:dyDescent="0.15"/>
  <cols>
    <col min="1" max="1" width="22.5" style="25" customWidth="1"/>
    <col min="2" max="2" width="3.33203125" style="25" customWidth="1"/>
    <col min="3" max="4" width="10" style="25" customWidth="1"/>
    <col min="5" max="16384" width="10.83203125" style="25"/>
  </cols>
  <sheetData>
    <row r="1" spans="1:9" x14ac:dyDescent="0.15">
      <c r="A1" s="32" t="s">
        <v>126</v>
      </c>
    </row>
    <row r="2" spans="1:9" x14ac:dyDescent="0.15">
      <c r="A2" s="52"/>
      <c r="B2" s="52"/>
      <c r="C2" s="52"/>
      <c r="D2" s="52"/>
      <c r="E2" s="52"/>
      <c r="F2" s="52"/>
      <c r="G2" s="52"/>
      <c r="H2" s="52"/>
      <c r="I2" s="52"/>
    </row>
    <row r="3" spans="1:9" x14ac:dyDescent="0.15">
      <c r="A3" s="193" t="s">
        <v>130</v>
      </c>
      <c r="B3" s="193"/>
      <c r="C3" s="193"/>
    </row>
    <row r="5" spans="1:9" x14ac:dyDescent="0.15">
      <c r="A5" s="34" t="s">
        <v>110</v>
      </c>
      <c r="B5" s="34" t="s">
        <v>184</v>
      </c>
      <c r="E5" s="46">
        <v>2500</v>
      </c>
    </row>
    <row r="7" spans="1:9" x14ac:dyDescent="0.15">
      <c r="A7" s="35" t="s">
        <v>125</v>
      </c>
    </row>
    <row r="9" spans="1:9" x14ac:dyDescent="0.15">
      <c r="A9" s="34" t="s">
        <v>121</v>
      </c>
      <c r="C9" s="36" t="s">
        <v>98</v>
      </c>
      <c r="D9" s="36" t="s">
        <v>101</v>
      </c>
      <c r="E9" s="37" t="s">
        <v>47</v>
      </c>
    </row>
    <row r="10" spans="1:9" x14ac:dyDescent="0.15">
      <c r="A10" s="25" t="s">
        <v>91</v>
      </c>
      <c r="C10" s="38">
        <f>IF($E5&gt;='APT Jul''12'!E7,('APT Jul''12'!E7*'APT Jul''12'!E9/100),($E5*'APT Jul''12'!E9/100))</f>
        <v>30.860500000000002</v>
      </c>
      <c r="D10" s="38">
        <f>IF($E5&gt;='APT Jul''12'!F7,('APT Jul''12'!F7*'APT Jul''12'!F9/100),($E5*'APT Jul''12'!F9/100))</f>
        <v>62.99568</v>
      </c>
      <c r="E10" s="39"/>
    </row>
    <row r="11" spans="1:9" x14ac:dyDescent="0.15">
      <c r="A11" s="25" t="s">
        <v>58</v>
      </c>
      <c r="C11" s="38">
        <f>IF($E5&lt;'APT Jul''12'!E7,0,IF($E5&lt;='APT Jul''12'!E8,($E5-'APT Jul''12'!E7)*('APT Jul''12'!E10/100),('APT Jul''12'!E8-'APT Jul''12'!E7)*('APT Jul''12'!E10/100)))</f>
        <v>43.630949999999999</v>
      </c>
      <c r="D11" s="38">
        <f>IF($E5&lt;'APT Jul''12'!F7,0,IF($E5&lt;='APT Jul''12'!F8,($E5-'APT Jul''12'!F7)*('APT Jul''12'!F10/100),('APT Jul''12'!F8-'APT Jul''12'!F7)*('APT Jul''12'!F10/100)))</f>
        <v>0</v>
      </c>
      <c r="E11" s="39"/>
    </row>
    <row r="12" spans="1:9" x14ac:dyDescent="0.15">
      <c r="A12" s="25" t="s">
        <v>49</v>
      </c>
      <c r="C12" s="38">
        <f>IF(($E5&lt;'APT Jul''12'!E8),(0),($E5-'APT Jul''12'!E8)*'APT Jul''12'!E11/100)</f>
        <v>4.6026750000000005</v>
      </c>
      <c r="D12" s="38">
        <f>IF(($E5&lt;'APT Jul''12'!F8),(0),($E5-'APT Jul''12'!F8)*'APT Jul''12'!F11/100)</f>
        <v>3.9731999999999998</v>
      </c>
      <c r="E12" s="39"/>
    </row>
    <row r="13" spans="1:9" x14ac:dyDescent="0.15">
      <c r="A13" s="25" t="s">
        <v>50</v>
      </c>
      <c r="C13" s="38">
        <f>91*'APT Jul''12'!E12/100</f>
        <v>86.987809999999996</v>
      </c>
      <c r="D13" s="38">
        <f>91*'APT Jul''12'!F12/100</f>
        <v>89.99991</v>
      </c>
      <c r="E13" s="40">
        <f>AVERAGE(C13:D13)</f>
        <v>88.493859999999998</v>
      </c>
    </row>
    <row r="14" spans="1:9" x14ac:dyDescent="0.15">
      <c r="A14" s="25" t="s">
        <v>51</v>
      </c>
      <c r="C14" s="38">
        <f>SUM(C10:C13)</f>
        <v>166.08193499999999</v>
      </c>
      <c r="D14" s="38">
        <f>SUM(D10:D13)</f>
        <v>156.96879000000001</v>
      </c>
      <c r="E14" s="40">
        <f t="shared" ref="E14:E15" si="0">AVERAGE(C14:D14)</f>
        <v>161.5253625</v>
      </c>
    </row>
    <row r="15" spans="1:9" x14ac:dyDescent="0.15">
      <c r="A15" s="26" t="s">
        <v>48</v>
      </c>
      <c r="B15" s="41"/>
      <c r="C15" s="42">
        <f>C14*4</f>
        <v>664.32773999999995</v>
      </c>
      <c r="D15" s="42">
        <f>D14*4</f>
        <v>627.87516000000005</v>
      </c>
      <c r="E15" s="48">
        <f t="shared" si="0"/>
        <v>646.10145</v>
      </c>
    </row>
    <row r="16" spans="1:9" x14ac:dyDescent="0.15">
      <c r="C16" s="38"/>
      <c r="D16" s="38"/>
      <c r="E16" s="38"/>
    </row>
    <row r="17" spans="1:5" x14ac:dyDescent="0.15">
      <c r="A17" s="35" t="s">
        <v>57</v>
      </c>
      <c r="C17" s="38"/>
      <c r="D17" s="38"/>
      <c r="E17" s="38"/>
    </row>
    <row r="18" spans="1:5" x14ac:dyDescent="0.15">
      <c r="C18" s="38"/>
      <c r="D18" s="38"/>
      <c r="E18" s="38"/>
    </row>
    <row r="19" spans="1:5" x14ac:dyDescent="0.15">
      <c r="A19" s="34" t="s">
        <v>111</v>
      </c>
      <c r="C19" s="44" t="s">
        <v>98</v>
      </c>
      <c r="D19" s="36" t="s">
        <v>101</v>
      </c>
      <c r="E19" s="45" t="s">
        <v>47</v>
      </c>
    </row>
    <row r="20" spans="1:5" x14ac:dyDescent="0.15">
      <c r="A20" s="25" t="s">
        <v>91</v>
      </c>
      <c r="C20" s="38">
        <f>IF($E5&gt;='Envestra Jul''12'!E7,('Envestra Jul''12'!E7*'Envestra Jul''12'!E9/100),($E5*'Envestra Jul''12'!E9/100))</f>
        <v>32.928455999999997</v>
      </c>
      <c r="D20" s="38">
        <f>IF($E5&gt;='Envestra Jul''12'!F7,('Envestra Jul''12'!F7*'Envestra Jul''12'!F9/100),($E5*'Envestra Jul''12'!F9/100))</f>
        <v>36.28548</v>
      </c>
      <c r="E20" s="39"/>
    </row>
    <row r="21" spans="1:5" x14ac:dyDescent="0.15">
      <c r="A21" s="25" t="s">
        <v>58</v>
      </c>
      <c r="C21" s="38">
        <f>IF($E5&lt;'Envestra Jul''12'!E7,0,IF($E5&lt;='Envestra Jul''12'!E8,($E5-'Envestra Jul''12'!E7)*('Envestra Jul''12'!E10/100),('Envestra Jul''12'!E8-'Envestra Jul''12'!E7)*('Envestra Jul''12'!E10/100)))</f>
        <v>65.139359999999996</v>
      </c>
      <c r="D21" s="38">
        <f>IF($E5&lt;'Envestra Jul''12'!F7,0,IF($E5&lt;='Envestra Jul''12'!F8,($E5-'Envestra Jul''12'!F7)*('Envestra Jul''12'!F10/100),('Envestra Jul''12'!F8-'Envestra Jul''12'!F7)*('Envestra Jul''12'!F10/100)))</f>
        <v>61.477679999999992</v>
      </c>
      <c r="E21" s="39"/>
    </row>
    <row r="22" spans="1:5" x14ac:dyDescent="0.15">
      <c r="A22" s="25" t="s">
        <v>49</v>
      </c>
      <c r="C22" s="38">
        <f>IF(($E5&lt;'Envestra Jul''12'!E8),(0),($E5-'Envestra Jul''12'!E8)*'Envestra Jul''12'!E11/100)</f>
        <v>0</v>
      </c>
      <c r="D22" s="38">
        <f>IF(($E5&lt;'Envestra Jul''12'!F8),(0),($E5-'Envestra Jul''12'!F8)*'Envestra Jul''12'!F11/100)</f>
        <v>0</v>
      </c>
      <c r="E22" s="39"/>
    </row>
    <row r="23" spans="1:5" x14ac:dyDescent="0.15">
      <c r="A23" s="25" t="s">
        <v>50</v>
      </c>
      <c r="C23" s="38">
        <f>91*'Envestra Jul''12'!E12/100</f>
        <v>69.999930000000006</v>
      </c>
      <c r="D23" s="38">
        <f>91*'Envestra Jul''12'!F12/100</f>
        <v>68.098029999999994</v>
      </c>
      <c r="E23" s="40">
        <f>AVERAGE(C23:D23)</f>
        <v>69.04898</v>
      </c>
    </row>
    <row r="24" spans="1:5" x14ac:dyDescent="0.15">
      <c r="A24" s="25" t="s">
        <v>51</v>
      </c>
      <c r="C24" s="38">
        <f>SUM(C20:C23)</f>
        <v>168.067746</v>
      </c>
      <c r="D24" s="38">
        <f>SUM(D20:D23)</f>
        <v>165.86118999999999</v>
      </c>
      <c r="E24" s="40">
        <f t="shared" ref="E24:E25" si="1">AVERAGE(C24:D24)</f>
        <v>166.96446800000001</v>
      </c>
    </row>
    <row r="25" spans="1:5" x14ac:dyDescent="0.15">
      <c r="A25" s="26" t="s">
        <v>48</v>
      </c>
      <c r="B25" s="41"/>
      <c r="C25" s="42">
        <f>C24*4</f>
        <v>672.270984</v>
      </c>
      <c r="D25" s="42">
        <f>D24*4</f>
        <v>663.44475999999997</v>
      </c>
      <c r="E25" s="48">
        <f t="shared" si="1"/>
        <v>667.85787200000004</v>
      </c>
    </row>
    <row r="26" spans="1:5" x14ac:dyDescent="0.15">
      <c r="C26" s="38"/>
      <c r="D26" s="38"/>
      <c r="E26" s="38"/>
    </row>
    <row r="27" spans="1:5" x14ac:dyDescent="0.15">
      <c r="A27" s="34" t="s">
        <v>119</v>
      </c>
      <c r="C27" s="44" t="s">
        <v>98</v>
      </c>
      <c r="D27" s="36" t="s">
        <v>101</v>
      </c>
      <c r="E27" s="45" t="s">
        <v>47</v>
      </c>
    </row>
    <row r="28" spans="1:5" x14ac:dyDescent="0.15">
      <c r="A28" s="25" t="s">
        <v>91</v>
      </c>
      <c r="C28" s="51" t="s">
        <v>124</v>
      </c>
      <c r="D28" s="38">
        <f>IF($E5&gt;='Envestra Jul''12'!F16,('Envestra Jul''12'!F16*'Envestra Jul''12'!F18/100),($E5*'Envestra Jul''12'!F18/100))</f>
        <v>38.342480000000002</v>
      </c>
      <c r="E28" s="39"/>
    </row>
    <row r="29" spans="1:5" x14ac:dyDescent="0.15">
      <c r="A29" s="25" t="s">
        <v>58</v>
      </c>
      <c r="C29" s="51" t="s">
        <v>124</v>
      </c>
      <c r="D29" s="38">
        <f>IF($E5&lt;'Envestra Jul''12'!F16,0,IF($E5&lt;='Envestra Jul''12'!F17,($E5-'Envestra Jul''12'!F16)*('Envestra Jul''12'!F19/100),('Envestra Jul''12'!F17-'Envestra Jul''12'!F16)*('Envestra Jul''12'!F19/100)))</f>
        <v>68.030160000000009</v>
      </c>
      <c r="E29" s="39"/>
    </row>
    <row r="30" spans="1:5" x14ac:dyDescent="0.15">
      <c r="A30" s="25" t="s">
        <v>49</v>
      </c>
      <c r="C30" s="51" t="s">
        <v>124</v>
      </c>
      <c r="D30" s="38">
        <f>IF(($E5&lt;'Envestra Jul''12'!F17),(0),($E5-'Envestra Jul''12'!F17)*'Envestra Jul''12'!F20/100)</f>
        <v>0</v>
      </c>
      <c r="E30" s="39"/>
    </row>
    <row r="31" spans="1:5" x14ac:dyDescent="0.15">
      <c r="A31" s="25" t="s">
        <v>50</v>
      </c>
      <c r="C31" s="51" t="s">
        <v>124</v>
      </c>
      <c r="D31" s="38">
        <f>91*'Envestra Jul''12'!F21/100</f>
        <v>67.347279999999998</v>
      </c>
      <c r="E31" s="40">
        <f>AVERAGE(D31)</f>
        <v>67.347279999999998</v>
      </c>
    </row>
    <row r="32" spans="1:5" x14ac:dyDescent="0.15">
      <c r="A32" s="25" t="s">
        <v>51</v>
      </c>
      <c r="C32" s="51" t="s">
        <v>124</v>
      </c>
      <c r="D32" s="38">
        <f>SUM(D28:D31)</f>
        <v>173.71992</v>
      </c>
      <c r="E32" s="40">
        <f t="shared" ref="E32:E33" si="2">AVERAGE(D32)</f>
        <v>173.71992</v>
      </c>
    </row>
    <row r="33" spans="1:5" x14ac:dyDescent="0.15">
      <c r="A33" s="26" t="s">
        <v>48</v>
      </c>
      <c r="B33" s="41"/>
      <c r="C33" s="42"/>
      <c r="D33" s="42">
        <f>D32*4</f>
        <v>694.87968000000001</v>
      </c>
      <c r="E33" s="48">
        <f t="shared" si="2"/>
        <v>694.87968000000001</v>
      </c>
    </row>
    <row r="34" spans="1:5" x14ac:dyDescent="0.15">
      <c r="C34" s="38"/>
      <c r="D34" s="38"/>
      <c r="E34" s="38"/>
    </row>
    <row r="35" spans="1:5" x14ac:dyDescent="0.15">
      <c r="A35" s="34" t="s">
        <v>120</v>
      </c>
      <c r="C35" s="44" t="s">
        <v>98</v>
      </c>
      <c r="D35" s="36" t="s">
        <v>101</v>
      </c>
      <c r="E35" s="45" t="s">
        <v>47</v>
      </c>
    </row>
    <row r="36" spans="1:5" x14ac:dyDescent="0.15">
      <c r="A36" s="25" t="s">
        <v>91</v>
      </c>
      <c r="C36" s="51" t="s">
        <v>124</v>
      </c>
      <c r="D36" s="38">
        <f>IF($E5&gt;='Envestra Jul''12'!F25,('Envestra Jul''12'!F25*'Envestra Jul''12'!F26/100),($E5*'Envestra Jul''12'!F26/100))</f>
        <v>83.875</v>
      </c>
      <c r="E36" s="39"/>
    </row>
    <row r="37" spans="1:5" x14ac:dyDescent="0.15">
      <c r="A37" s="25" t="s">
        <v>49</v>
      </c>
      <c r="C37" s="51" t="s">
        <v>124</v>
      </c>
      <c r="D37" s="38">
        <f>IF(($E5&lt;'Envestra Jul''12'!F25),(0),($E5-'Envestra Jul''12'!F25)*'Envestra Jul''12'!F27/100)</f>
        <v>0</v>
      </c>
      <c r="E37" s="39"/>
    </row>
    <row r="38" spans="1:5" x14ac:dyDescent="0.15">
      <c r="A38" s="25" t="s">
        <v>50</v>
      </c>
      <c r="C38" s="51" t="s">
        <v>124</v>
      </c>
      <c r="D38" s="38">
        <f>91*'Envestra Jul''12'!F28/100</f>
        <v>31.241210000000002</v>
      </c>
      <c r="E38" s="40">
        <f>AVERAGE(D38)</f>
        <v>31.241210000000002</v>
      </c>
    </row>
    <row r="39" spans="1:5" x14ac:dyDescent="0.15">
      <c r="A39" s="25" t="s">
        <v>51</v>
      </c>
      <c r="C39" s="51" t="s">
        <v>124</v>
      </c>
      <c r="D39" s="38">
        <f>SUM(D36:D38)</f>
        <v>115.11621</v>
      </c>
      <c r="E39" s="40">
        <f t="shared" ref="E39:E40" si="3">AVERAGE(D39)</f>
        <v>115.11621</v>
      </c>
    </row>
    <row r="40" spans="1:5" x14ac:dyDescent="0.15">
      <c r="A40" s="26" t="s">
        <v>48</v>
      </c>
      <c r="B40" s="41"/>
      <c r="C40" s="42"/>
      <c r="D40" s="42">
        <f>D39*4</f>
        <v>460.46483999999998</v>
      </c>
      <c r="E40" s="48">
        <f t="shared" si="3"/>
        <v>460.46483999999998</v>
      </c>
    </row>
  </sheetData>
  <sheetProtection algorithmName="SHA-512" hashValue="y5Irl5hoHA3bJq8g9Z//fdDXKROcX53gYqgKkz88VThIan9i/x0EhtIQD1EDGuHyGdiESUURrFZqEyOC7nGWGA==" saltValue="0amqgW8O4+UR7nmzRsxYJQ==" spinCount="100000" sheet="1" objects="1" scenarios="1"/>
  <mergeCells count="1">
    <mergeCell ref="A3:C3"/>
  </mergeCells>
  <phoneticPr fontId="10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I40"/>
  <sheetViews>
    <sheetView zoomScale="150" workbookViewId="0">
      <selection activeCell="E5" sqref="E5"/>
    </sheetView>
  </sheetViews>
  <sheetFormatPr baseColWidth="10" defaultRowHeight="13" x14ac:dyDescent="0.15"/>
  <cols>
    <col min="1" max="1" width="22.5" style="25" customWidth="1"/>
    <col min="2" max="2" width="3.5" style="25" customWidth="1"/>
    <col min="3" max="4" width="10" style="25" customWidth="1"/>
    <col min="5" max="16384" width="10.83203125" style="25"/>
  </cols>
  <sheetData>
    <row r="1" spans="1:9" x14ac:dyDescent="0.15">
      <c r="A1" s="32" t="s">
        <v>126</v>
      </c>
    </row>
    <row r="2" spans="1:9" x14ac:dyDescent="0.15">
      <c r="A2" s="49"/>
      <c r="B2" s="49"/>
      <c r="C2" s="49"/>
      <c r="D2" s="49"/>
      <c r="E2" s="49"/>
      <c r="F2" s="49"/>
      <c r="G2" s="49"/>
      <c r="H2" s="49"/>
      <c r="I2" s="49"/>
    </row>
    <row r="3" spans="1:9" x14ac:dyDescent="0.15">
      <c r="A3" s="50" t="s">
        <v>13</v>
      </c>
    </row>
    <row r="5" spans="1:9" x14ac:dyDescent="0.15">
      <c r="A5" s="34" t="s">
        <v>110</v>
      </c>
      <c r="B5" s="34" t="s">
        <v>184</v>
      </c>
      <c r="E5" s="46">
        <v>2500</v>
      </c>
    </row>
    <row r="7" spans="1:9" x14ac:dyDescent="0.15">
      <c r="A7" s="35" t="s">
        <v>125</v>
      </c>
    </row>
    <row r="9" spans="1:9" x14ac:dyDescent="0.15">
      <c r="A9" s="34" t="s">
        <v>121</v>
      </c>
      <c r="C9" s="36" t="s">
        <v>98</v>
      </c>
      <c r="D9" s="36" t="s">
        <v>100</v>
      </c>
      <c r="E9" s="37" t="s">
        <v>47</v>
      </c>
    </row>
    <row r="10" spans="1:9" x14ac:dyDescent="0.15">
      <c r="A10" s="25" t="s">
        <v>91</v>
      </c>
      <c r="C10" s="38">
        <f>IF($E5&gt;='APT Jul''11'!E7,('APT Jul''11'!E7*'APT Jul''11'!E9/100),($E5*'APT Jul''11'!E9/100))</f>
        <v>28.01315</v>
      </c>
      <c r="D10" s="38">
        <f>IF($E5&gt;='APT Jul''11'!F7,('APT Jul''11'!F7*'APT Jul''11'!F9/100),($E5*'APT Jul''11'!F9/100))</f>
        <v>55.497749999999996</v>
      </c>
      <c r="E10" s="39"/>
    </row>
    <row r="11" spans="1:9" x14ac:dyDescent="0.15">
      <c r="A11" s="25" t="s">
        <v>58</v>
      </c>
      <c r="C11" s="38">
        <f>IF($E5&lt;'APT Jul''11'!E7,0,IF($E5&lt;='APT Jul''11'!E8,($E5-'APT Jul''11'!E7)*('APT Jul''11'!E10/100),('APT Jul''11'!E8-'APT Jul''11'!E7)*('APT Jul''11'!E10/100)))</f>
        <v>38.047240000000002</v>
      </c>
      <c r="D11" s="38">
        <f>IF($E5&lt;'APT Jul''11'!F7,0,IF($E5&lt;='APT Jul''11'!F8,($E5-'APT Jul''11'!F7)*('APT Jul''11'!F10/100),('APT Jul''11'!F8-'APT Jul''11'!F7)*('APT Jul''11'!F10/100)))</f>
        <v>0</v>
      </c>
      <c r="E11" s="39"/>
    </row>
    <row r="12" spans="1:9" x14ac:dyDescent="0.15">
      <c r="A12" s="25" t="s">
        <v>49</v>
      </c>
      <c r="C12" s="38">
        <f>IF(($E5&lt;'APT Jul''11'!E8),(0),($E5-'APT Jul''11'!E8)*'APT Jul''11'!E11/100)</f>
        <v>4.2348350000000003</v>
      </c>
      <c r="D12" s="38">
        <f>IF(($E5&lt;'APT Jul''11'!F8),(0),($E5-'APT Jul''11'!F8)*'APT Jul''11'!F11/100)</f>
        <v>3.5227499999999998</v>
      </c>
      <c r="E12" s="39"/>
    </row>
    <row r="13" spans="1:9" x14ac:dyDescent="0.15">
      <c r="A13" s="25" t="s">
        <v>50</v>
      </c>
      <c r="C13" s="38">
        <f>91*'APT Jul''11'!E12/100</f>
        <v>77.217140000000001</v>
      </c>
      <c r="D13" s="38">
        <f>91*'APT Jul''11'!F12/100</f>
        <v>82.100200000000001</v>
      </c>
      <c r="E13" s="40">
        <f>AVERAGE(C13:D13)</f>
        <v>79.658670000000001</v>
      </c>
    </row>
    <row r="14" spans="1:9" x14ac:dyDescent="0.15">
      <c r="A14" s="25" t="s">
        <v>51</v>
      </c>
      <c r="C14" s="38">
        <f>SUM(C10:C13)</f>
        <v>147.51236499999999</v>
      </c>
      <c r="D14" s="38">
        <f>SUM(D10:D13)</f>
        <v>141.1207</v>
      </c>
      <c r="E14" s="40">
        <f t="shared" ref="E14:E15" si="0">AVERAGE(C14:D14)</f>
        <v>144.31653249999999</v>
      </c>
    </row>
    <row r="15" spans="1:9" x14ac:dyDescent="0.15">
      <c r="A15" s="26" t="s">
        <v>48</v>
      </c>
      <c r="B15" s="41"/>
      <c r="C15" s="42">
        <f>C14*4</f>
        <v>590.04945999999995</v>
      </c>
      <c r="D15" s="42">
        <f>D14*4</f>
        <v>564.4828</v>
      </c>
      <c r="E15" s="48">
        <f t="shared" si="0"/>
        <v>577.26612999999998</v>
      </c>
    </row>
    <row r="16" spans="1:9" x14ac:dyDescent="0.15">
      <c r="C16" s="38"/>
      <c r="D16" s="38"/>
      <c r="E16" s="38"/>
    </row>
    <row r="17" spans="1:5" x14ac:dyDescent="0.15">
      <c r="A17" s="35" t="s">
        <v>57</v>
      </c>
      <c r="C17" s="38"/>
      <c r="D17" s="38"/>
      <c r="E17" s="38"/>
    </row>
    <row r="18" spans="1:5" x14ac:dyDescent="0.15">
      <c r="C18" s="38"/>
      <c r="D18" s="38"/>
      <c r="E18" s="38"/>
    </row>
    <row r="19" spans="1:5" x14ac:dyDescent="0.15">
      <c r="A19" s="34" t="s">
        <v>111</v>
      </c>
      <c r="C19" s="44" t="s">
        <v>98</v>
      </c>
      <c r="D19" s="44" t="s">
        <v>100</v>
      </c>
      <c r="E19" s="45" t="s">
        <v>47</v>
      </c>
    </row>
    <row r="20" spans="1:5" x14ac:dyDescent="0.15">
      <c r="A20" s="25" t="s">
        <v>91</v>
      </c>
      <c r="C20" s="38">
        <f>IF($E5&gt;='Envestra Jul''11'!E7,('Envestra Jul''11'!E7*'Envestra Jul''11'!E9/100),($E5*'Envestra Jul''11'!E9/100))</f>
        <v>81.077500000000001</v>
      </c>
      <c r="D20" s="38">
        <f>IF($E5&gt;='Envestra Jul''11'!F7,('Envestra Jul''11'!F7*'Envestra Jul''11'!F9/100),($E5*'Envestra Jul''11'!F9/100))</f>
        <v>29.127120000000001</v>
      </c>
      <c r="E20" s="39"/>
    </row>
    <row r="21" spans="1:5" x14ac:dyDescent="0.15">
      <c r="A21" s="25" t="s">
        <v>58</v>
      </c>
      <c r="C21" s="38">
        <f>IF($E5&lt;'Envestra Jul''11'!E7,0,IF($E5&lt;='Envestra Jul''11'!E8,($E5-'Envestra Jul''11'!E7)*('Envestra Jul''11'!E10/100),('Envestra Jul''11'!E8-'Envestra Jul''11'!E7)*('Envestra Jul''11'!E10/100)))</f>
        <v>0</v>
      </c>
      <c r="D21" s="38">
        <f>IF($E5&lt;'Envestra Jul''11'!F7,0,IF($E5&lt;='Envestra Jul''11'!F8,($E5-'Envestra Jul''11'!F7)*('Envestra Jul''11'!F10/100),('Envestra Jul''11'!F8-'Envestra Jul''11'!F7)*('Envestra Jul''11'!F10/100)))</f>
        <v>53.576160000000002</v>
      </c>
      <c r="E21" s="39"/>
    </row>
    <row r="22" spans="1:5" x14ac:dyDescent="0.15">
      <c r="A22" s="25" t="s">
        <v>49</v>
      </c>
      <c r="C22" s="38">
        <f>IF(($E5&lt;'Envestra Jul''11'!E8),(0),($E5-'Envestra Jul''11'!E8)*'Envestra Jul''11'!E11/100)</f>
        <v>0</v>
      </c>
      <c r="D22" s="38">
        <f>IF(($E5&lt;'Envestra Jul''11'!F8),(0),($E5-'Envestra Jul''11'!F8)*'Envestra Jul''11'!F11/100)</f>
        <v>0</v>
      </c>
      <c r="E22" s="40">
        <f>AVERAGE(C22:D22)</f>
        <v>0</v>
      </c>
    </row>
    <row r="23" spans="1:5" x14ac:dyDescent="0.15">
      <c r="A23" s="25" t="s">
        <v>50</v>
      </c>
      <c r="C23" s="38">
        <f>91*'Envestra Jul''11'!E12/100</f>
        <v>65.92586</v>
      </c>
      <c r="D23" s="38">
        <f>91*'Envestra Jul''11'!F12/100</f>
        <v>64.316980000000001</v>
      </c>
      <c r="E23" s="40">
        <f t="shared" ref="E23:E25" si="1">AVERAGE(C23:D23)</f>
        <v>65.121420000000001</v>
      </c>
    </row>
    <row r="24" spans="1:5" x14ac:dyDescent="0.15">
      <c r="A24" s="25" t="s">
        <v>51</v>
      </c>
      <c r="C24" s="38">
        <f>SUM(C20:C23)</f>
        <v>147.00335999999999</v>
      </c>
      <c r="D24" s="38">
        <f>SUM(D20:D23)</f>
        <v>147.02026000000001</v>
      </c>
      <c r="E24" s="40">
        <f t="shared" si="1"/>
        <v>147.01181</v>
      </c>
    </row>
    <row r="25" spans="1:5" x14ac:dyDescent="0.15">
      <c r="A25" s="26" t="s">
        <v>48</v>
      </c>
      <c r="B25" s="41"/>
      <c r="C25" s="42">
        <f>C24*4</f>
        <v>588.01343999999995</v>
      </c>
      <c r="D25" s="42">
        <f>D24*4</f>
        <v>588.08104000000003</v>
      </c>
      <c r="E25" s="48">
        <f t="shared" si="1"/>
        <v>588.04723999999999</v>
      </c>
    </row>
    <row r="26" spans="1:5" x14ac:dyDescent="0.15">
      <c r="C26" s="38"/>
      <c r="D26" s="38"/>
      <c r="E26" s="38"/>
    </row>
    <row r="27" spans="1:5" x14ac:dyDescent="0.15">
      <c r="A27" s="34" t="s">
        <v>119</v>
      </c>
      <c r="C27" s="44" t="s">
        <v>98</v>
      </c>
      <c r="D27" s="44" t="s">
        <v>100</v>
      </c>
      <c r="E27" s="45" t="s">
        <v>47</v>
      </c>
    </row>
    <row r="28" spans="1:5" x14ac:dyDescent="0.15">
      <c r="A28" s="25" t="s">
        <v>91</v>
      </c>
      <c r="C28" s="51" t="s">
        <v>124</v>
      </c>
      <c r="D28" s="38">
        <f>IF($E5&gt;='Envestra Jul''11'!F16,('Envestra Jul''11'!F16*'Envestra Jul''11'!F18/100),($E5*'Envestra Jul''11'!F18/100))</f>
        <v>31.842359999999999</v>
      </c>
      <c r="E28" s="39"/>
    </row>
    <row r="29" spans="1:5" x14ac:dyDescent="0.15">
      <c r="A29" s="25" t="s">
        <v>58</v>
      </c>
      <c r="C29" s="51" t="s">
        <v>124</v>
      </c>
      <c r="D29" s="38">
        <f>IF($E5&lt;'Envestra Jul''11'!F16,0,IF($E5&lt;='Envestra Jul''11'!F17,($E5-'Envestra Jul''11'!F16)*('Envestra Jul''11'!F19/100),('Envestra Jul''11'!F17-'Envestra Jul''11'!F16)*('Envestra Jul''11'!F19/100)))</f>
        <v>58.201439999999998</v>
      </c>
      <c r="E29" s="39"/>
    </row>
    <row r="30" spans="1:5" x14ac:dyDescent="0.15">
      <c r="A30" s="25" t="s">
        <v>49</v>
      </c>
      <c r="C30" s="51" t="s">
        <v>124</v>
      </c>
      <c r="D30" s="38">
        <f>IF(($E5&lt;'Envestra Jul''11'!F17),(0),($E5-'Envestra Jul''11'!F17)*'Envestra Jul''11'!F20/100)</f>
        <v>0</v>
      </c>
      <c r="E30" s="39"/>
    </row>
    <row r="31" spans="1:5" x14ac:dyDescent="0.15">
      <c r="A31" s="25" t="s">
        <v>50</v>
      </c>
      <c r="C31" s="51" t="s">
        <v>124</v>
      </c>
      <c r="D31" s="38">
        <f>91*'Envestra Jul''11'!F21/100</f>
        <v>64.316980000000001</v>
      </c>
      <c r="E31" s="40">
        <v>64.316980000000001</v>
      </c>
    </row>
    <row r="32" spans="1:5" x14ac:dyDescent="0.15">
      <c r="A32" s="25" t="s">
        <v>51</v>
      </c>
      <c r="C32" s="51" t="s">
        <v>124</v>
      </c>
      <c r="D32" s="38">
        <f>SUM(D28:D31)</f>
        <v>154.36078000000001</v>
      </c>
      <c r="E32" s="40">
        <v>206.61078000000001</v>
      </c>
    </row>
    <row r="33" spans="1:5" x14ac:dyDescent="0.15">
      <c r="A33" s="26" t="s">
        <v>48</v>
      </c>
      <c r="B33" s="41"/>
      <c r="C33" s="42"/>
      <c r="D33" s="42">
        <f>D32*4</f>
        <v>617.44312000000002</v>
      </c>
      <c r="E33" s="43">
        <v>826.44312000000002</v>
      </c>
    </row>
    <row r="34" spans="1:5" x14ac:dyDescent="0.15">
      <c r="C34" s="38"/>
      <c r="D34" s="38"/>
      <c r="E34" s="38"/>
    </row>
    <row r="35" spans="1:5" x14ac:dyDescent="0.15">
      <c r="A35" s="34" t="s">
        <v>120</v>
      </c>
      <c r="C35" s="44" t="s">
        <v>98</v>
      </c>
      <c r="D35" s="44" t="s">
        <v>100</v>
      </c>
      <c r="E35" s="45" t="s">
        <v>47</v>
      </c>
    </row>
    <row r="36" spans="1:5" x14ac:dyDescent="0.15">
      <c r="A36" s="25" t="s">
        <v>91</v>
      </c>
      <c r="C36" s="51" t="s">
        <v>124</v>
      </c>
      <c r="D36" s="38">
        <f>IF($E5&gt;='Envestra Jul''11'!F25,('Envestra Jul''11'!F25*'Envestra Jul''11'!F26/100),($E5*'Envestra Jul''11'!F26/100))</f>
        <v>83.875</v>
      </c>
      <c r="E36" s="39"/>
    </row>
    <row r="37" spans="1:5" x14ac:dyDescent="0.15">
      <c r="A37" s="25" t="s">
        <v>49</v>
      </c>
      <c r="C37" s="51" t="s">
        <v>124</v>
      </c>
      <c r="D37" s="38">
        <f>IF(($E5&lt;'Envestra Jul''11'!F25),(0),($E5-'Envestra Jul''11'!F25)*'Envestra Jul''11'!F27/100)</f>
        <v>0</v>
      </c>
      <c r="E37" s="39"/>
    </row>
    <row r="38" spans="1:5" x14ac:dyDescent="0.15">
      <c r="A38" s="25" t="s">
        <v>50</v>
      </c>
      <c r="C38" s="51" t="s">
        <v>124</v>
      </c>
      <c r="D38" s="38">
        <f>91*'Envestra Jul''11'!F28/100</f>
        <v>31.328023999999999</v>
      </c>
      <c r="E38" s="40">
        <v>31.328023999999999</v>
      </c>
    </row>
    <row r="39" spans="1:5" x14ac:dyDescent="0.15">
      <c r="A39" s="25" t="s">
        <v>51</v>
      </c>
      <c r="C39" s="51" t="s">
        <v>124</v>
      </c>
      <c r="D39" s="38">
        <f>SUM(D36:D38)</f>
        <v>115.203024</v>
      </c>
      <c r="E39" s="40">
        <v>199.078024</v>
      </c>
    </row>
    <row r="40" spans="1:5" x14ac:dyDescent="0.15">
      <c r="A40" s="26" t="s">
        <v>48</v>
      </c>
      <c r="B40" s="41"/>
      <c r="C40" s="42"/>
      <c r="D40" s="42">
        <f>D39*4</f>
        <v>460.812096</v>
      </c>
      <c r="E40" s="43">
        <v>796.312096</v>
      </c>
    </row>
  </sheetData>
  <sheetProtection algorithmName="SHA-512" hashValue="cXU7nZWsvvmw3rMmd+t5fvXLybCvEhOZ0i7ioeEooFQTBS4/8hxWdEY0LNn2rWce/CGIk4bFE0u3w8rHJWhlpA==" saltValue="ZEYzS0s0n0PWLYKq1SdGsA==" spinCount="100000" sheet="1" objects="1" scenarios="1"/>
  <phoneticPr fontId="10" type="noConversion"/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I26"/>
  <sheetViews>
    <sheetView zoomScale="150" workbookViewId="0">
      <selection activeCell="E5" sqref="E5"/>
    </sheetView>
  </sheetViews>
  <sheetFormatPr baseColWidth="10" defaultRowHeight="13" x14ac:dyDescent="0.15"/>
  <cols>
    <col min="1" max="1" width="22.5" style="25" customWidth="1"/>
    <col min="2" max="2" width="3.5" style="25" customWidth="1"/>
    <col min="3" max="4" width="10" style="25" customWidth="1"/>
    <col min="5" max="16384" width="10.83203125" style="25"/>
  </cols>
  <sheetData>
    <row r="1" spans="1:9" x14ac:dyDescent="0.15">
      <c r="A1" s="32" t="s">
        <v>126</v>
      </c>
    </row>
    <row r="2" spans="1:9" x14ac:dyDescent="0.15">
      <c r="A2" s="47"/>
      <c r="B2" s="47"/>
      <c r="C2" s="47"/>
      <c r="D2" s="47"/>
      <c r="E2" s="47"/>
      <c r="F2" s="47"/>
      <c r="G2" s="47"/>
      <c r="H2" s="47"/>
      <c r="I2" s="47"/>
    </row>
    <row r="3" spans="1:9" x14ac:dyDescent="0.15">
      <c r="A3" s="193" t="s">
        <v>53</v>
      </c>
      <c r="B3" s="193"/>
      <c r="C3" s="193"/>
    </row>
    <row r="5" spans="1:9" x14ac:dyDescent="0.15">
      <c r="A5" s="34" t="s">
        <v>110</v>
      </c>
      <c r="B5" s="34" t="s">
        <v>184</v>
      </c>
      <c r="E5" s="46">
        <v>2500</v>
      </c>
    </row>
    <row r="7" spans="1:9" x14ac:dyDescent="0.15">
      <c r="A7" s="35" t="s">
        <v>125</v>
      </c>
    </row>
    <row r="9" spans="1:9" x14ac:dyDescent="0.15">
      <c r="A9" s="34" t="s">
        <v>121</v>
      </c>
      <c r="C9" s="36" t="s">
        <v>98</v>
      </c>
      <c r="D9" s="36" t="s">
        <v>100</v>
      </c>
      <c r="E9" s="37" t="s">
        <v>47</v>
      </c>
    </row>
    <row r="10" spans="1:9" x14ac:dyDescent="0.15">
      <c r="A10" s="25" t="s">
        <v>91</v>
      </c>
      <c r="C10" s="38">
        <f>IF($E5&gt;='APT Jul''10'!E7,('APT Jul''10'!E7*'APT Jul''10'!E9/100),($E5*'APT Jul''10'!E9/100))</f>
        <v>26.3934</v>
      </c>
      <c r="D10" s="38">
        <f>IF($E5&gt;='APT Jul''10'!F7,('APT Jul''10'!F7*'APT Jul''10'!F9/100),($E5*'APT Jul''10'!F9/100))</f>
        <v>48.592500000000001</v>
      </c>
      <c r="E10" s="39"/>
    </row>
    <row r="11" spans="1:9" x14ac:dyDescent="0.15">
      <c r="A11" s="25" t="s">
        <v>58</v>
      </c>
      <c r="C11" s="38">
        <f>IF($E5&lt;'APT Jul''10'!E7,0,IF($E5&lt;='APT Jul''10'!E8,($E5-'APT Jul''10'!E7)*('APT Jul''10'!E10/100),('APT Jul''10'!E8-'APT Jul''10'!E7)*('APT Jul''10'!E10/100)))</f>
        <v>36.094850000000001</v>
      </c>
      <c r="D11" s="38">
        <f>IF($E5&lt;'APT Jul''10'!F7,0,IF($E5&lt;='APT Jul''10'!F8,($E5-'APT Jul''10'!F7)*('APT Jul''10'!F10/100),('APT Jul''10'!F8-'APT Jul''10'!F7)*('APT Jul''10'!F10/100)))</f>
        <v>0</v>
      </c>
      <c r="E11" s="39"/>
    </row>
    <row r="12" spans="1:9" x14ac:dyDescent="0.15">
      <c r="A12" s="25" t="s">
        <v>49</v>
      </c>
      <c r="C12" s="38">
        <f>IF(($E5&lt;'APT Jul''10'!E8),(0),($E5-'APT Jul''10'!E8)*'APT Jul''10'!E11/100)</f>
        <v>3.7749249999999996</v>
      </c>
      <c r="D12" s="38">
        <f>IF(($E5&lt;'APT Jul''10'!F8),(0),($E5-'APT Jul''10'!F8)*'APT Jul''10'!F11/100)</f>
        <v>3.08</v>
      </c>
      <c r="E12" s="39"/>
    </row>
    <row r="13" spans="1:9" x14ac:dyDescent="0.15">
      <c r="A13" s="25" t="s">
        <v>50</v>
      </c>
      <c r="C13" s="38">
        <f>91*'APT Jul''10'!E12/100</f>
        <v>70.270199999999988</v>
      </c>
      <c r="D13" s="38">
        <f>91*'APT Jul''10'!F12/100</f>
        <v>65.425359999999998</v>
      </c>
      <c r="E13" s="40">
        <f>AVERAGE(C13:D13)</f>
        <v>67.84778</v>
      </c>
    </row>
    <row r="14" spans="1:9" x14ac:dyDescent="0.15">
      <c r="A14" s="25" t="s">
        <v>51</v>
      </c>
      <c r="C14" s="38">
        <f>SUM(C10:C13)</f>
        <v>136.53337499999998</v>
      </c>
      <c r="D14" s="38">
        <f>SUM(D10:D13)</f>
        <v>117.09786</v>
      </c>
      <c r="E14" s="40">
        <f>AVERAGE(C14:D14)</f>
        <v>126.81561749999999</v>
      </c>
    </row>
    <row r="15" spans="1:9" x14ac:dyDescent="0.15">
      <c r="A15" s="26" t="s">
        <v>48</v>
      </c>
      <c r="B15" s="41"/>
      <c r="C15" s="42">
        <f>C14*4</f>
        <v>546.13349999999991</v>
      </c>
      <c r="D15" s="42">
        <f>D14*4</f>
        <v>468.39143999999999</v>
      </c>
      <c r="E15" s="48">
        <f>AVERAGE(C15:D15)</f>
        <v>507.26246999999995</v>
      </c>
    </row>
    <row r="16" spans="1:9" x14ac:dyDescent="0.15">
      <c r="C16" s="38"/>
      <c r="D16" s="38"/>
      <c r="E16" s="38"/>
    </row>
    <row r="17" spans="1:5" x14ac:dyDescent="0.15">
      <c r="A17" s="35" t="s">
        <v>57</v>
      </c>
      <c r="C17" s="38"/>
      <c r="D17" s="38"/>
      <c r="E17" s="38"/>
    </row>
    <row r="18" spans="1:5" x14ac:dyDescent="0.15">
      <c r="C18" s="38"/>
      <c r="D18" s="38"/>
      <c r="E18" s="38"/>
    </row>
    <row r="19" spans="1:5" x14ac:dyDescent="0.15">
      <c r="A19" s="34" t="s">
        <v>111</v>
      </c>
      <c r="C19" s="44" t="s">
        <v>98</v>
      </c>
      <c r="D19" s="44" t="s">
        <v>100</v>
      </c>
      <c r="E19" s="45" t="s">
        <v>47</v>
      </c>
    </row>
    <row r="20" spans="1:5" x14ac:dyDescent="0.15">
      <c r="A20" s="25" t="s">
        <v>91</v>
      </c>
      <c r="C20" s="38">
        <f>IF($E5&gt;='Envestra Jul''10'!E7,('Envestra Jul''10'!E7*'Envestra Jul''10'!E8/100),($E5*'Envestra Jul''10'!E8/100))</f>
        <v>67.650000000000006</v>
      </c>
      <c r="D20" s="38">
        <f>IF($E5&gt;='Envestra Jul''10'!F7,('Envestra Jul''10'!F7*'Envestra Jul''10'!F8/100),($E5*'Envestra Jul''10'!F8/100))</f>
        <v>67.650000000000006</v>
      </c>
      <c r="E20" s="39"/>
    </row>
    <row r="21" spans="1:5" x14ac:dyDescent="0.15">
      <c r="A21" s="25" t="s">
        <v>58</v>
      </c>
      <c r="C21" s="38">
        <v>0</v>
      </c>
      <c r="D21" s="38">
        <v>0</v>
      </c>
      <c r="E21" s="39"/>
    </row>
    <row r="22" spans="1:5" x14ac:dyDescent="0.15">
      <c r="A22" s="25" t="s">
        <v>49</v>
      </c>
      <c r="C22" s="38">
        <f>IF(($E5&lt;'Envestra Jul''10'!E7),(0),($E5-'Envestra Jul''10'!E7)*'Envestra Jul''10'!E9/100)</f>
        <v>0</v>
      </c>
      <c r="D22" s="38">
        <f>IF(($E5&lt;'Envestra Jul''10'!F7),(0),($E5-'Envestra Jul''10'!F7)*'Envestra Jul''10'!F9/100)</f>
        <v>0</v>
      </c>
      <c r="E22" s="39"/>
    </row>
    <row r="23" spans="1:5" x14ac:dyDescent="0.15">
      <c r="A23" s="25" t="s">
        <v>50</v>
      </c>
      <c r="C23" s="38">
        <f>91*'Envestra Jul''10'!E10/100</f>
        <v>55.164200000000001</v>
      </c>
      <c r="D23" s="38">
        <f>91*'Envestra Jul''10'!F10/100</f>
        <v>50.200150000000001</v>
      </c>
      <c r="E23" s="40">
        <f>AVERAGE(C23:D23)</f>
        <v>52.682175000000001</v>
      </c>
    </row>
    <row r="24" spans="1:5" x14ac:dyDescent="0.15">
      <c r="A24" s="25" t="s">
        <v>51</v>
      </c>
      <c r="C24" s="38">
        <f>SUM(C20:C23)</f>
        <v>122.8142</v>
      </c>
      <c r="D24" s="38">
        <f>SUM(D20:D23)</f>
        <v>117.85015000000001</v>
      </c>
      <c r="E24" s="40">
        <f t="shared" ref="E24:E25" si="0">AVERAGE(C24:D24)</f>
        <v>120.33217500000001</v>
      </c>
    </row>
    <row r="25" spans="1:5" x14ac:dyDescent="0.15">
      <c r="A25" s="26" t="s">
        <v>48</v>
      </c>
      <c r="B25" s="41"/>
      <c r="C25" s="42">
        <f>C24*4</f>
        <v>491.2568</v>
      </c>
      <c r="D25" s="42">
        <f>D24*4</f>
        <v>471.40060000000005</v>
      </c>
      <c r="E25" s="48">
        <f t="shared" si="0"/>
        <v>481.32870000000003</v>
      </c>
    </row>
    <row r="26" spans="1:5" x14ac:dyDescent="0.15">
      <c r="C26" s="38"/>
      <c r="D26" s="38"/>
      <c r="E26" s="38"/>
    </row>
  </sheetData>
  <sheetProtection algorithmName="SHA-512" hashValue="GvvRBh5eD/Ao/YS/kK1cJCIFCDHS3MG0fqstqSy1/s24n90qQSXJ0qiKl1ARnineZdmGVZlYU94TiXdw3xB8LQ==" saltValue="TrQ6wo2IwCvd8AyTwq2YZw==" spinCount="100000" sheet="1" objects="1" scenarios="1"/>
  <mergeCells count="1">
    <mergeCell ref="A3:C3"/>
  </mergeCells>
  <phoneticPr fontId="10" type="noConversion"/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I26"/>
  <sheetViews>
    <sheetView zoomScale="150" workbookViewId="0">
      <selection activeCell="G8" sqref="G8"/>
    </sheetView>
  </sheetViews>
  <sheetFormatPr baseColWidth="10" defaultRowHeight="13" x14ac:dyDescent="0.15"/>
  <cols>
    <col min="1" max="1" width="22.5" style="25" customWidth="1"/>
    <col min="2" max="2" width="3.33203125" style="25" customWidth="1"/>
    <col min="3" max="4" width="10" style="25" customWidth="1"/>
    <col min="5" max="16384" width="10.83203125" style="25"/>
  </cols>
  <sheetData>
    <row r="1" spans="1:9" x14ac:dyDescent="0.15">
      <c r="A1" s="32" t="s">
        <v>126</v>
      </c>
    </row>
    <row r="2" spans="1:9" x14ac:dyDescent="0.15">
      <c r="A2" s="33"/>
      <c r="B2" s="33"/>
      <c r="C2" s="33"/>
      <c r="D2" s="33"/>
      <c r="E2" s="33"/>
      <c r="F2" s="33"/>
      <c r="G2" s="33"/>
      <c r="H2" s="33"/>
      <c r="I2" s="33"/>
    </row>
    <row r="3" spans="1:9" x14ac:dyDescent="0.15">
      <c r="A3" s="193" t="s">
        <v>129</v>
      </c>
      <c r="B3" s="193"/>
      <c r="C3" s="193"/>
    </row>
    <row r="5" spans="1:9" x14ac:dyDescent="0.15">
      <c r="A5" s="34" t="s">
        <v>110</v>
      </c>
      <c r="B5" s="34" t="s">
        <v>184</v>
      </c>
      <c r="E5" s="46">
        <v>2500</v>
      </c>
    </row>
    <row r="7" spans="1:9" x14ac:dyDescent="0.15">
      <c r="A7" s="35" t="s">
        <v>125</v>
      </c>
    </row>
    <row r="9" spans="1:9" x14ac:dyDescent="0.15">
      <c r="A9" s="34" t="s">
        <v>121</v>
      </c>
      <c r="C9" s="36" t="s">
        <v>98</v>
      </c>
      <c r="D9" s="36" t="s">
        <v>100</v>
      </c>
      <c r="E9" s="37" t="s">
        <v>47</v>
      </c>
    </row>
    <row r="10" spans="1:9" x14ac:dyDescent="0.15">
      <c r="A10" s="25" t="s">
        <v>91</v>
      </c>
      <c r="C10" s="38">
        <f>IF($E5&gt;='APT Jul''09'!E7,('APT Jul''09'!E7*'APT Jul''09'!E9/100),($E5*'APT Jul''09'!E9/100))</f>
        <v>24.807750000000002</v>
      </c>
      <c r="D10" s="38">
        <f>IF($E5&gt;='APT Jul''09'!F7,('APT Jul''09'!F7*'APT Jul''09'!F9/100),($E5*'APT Jul''09'!F9/100))</f>
        <v>47.569499999999998</v>
      </c>
      <c r="E10" s="39"/>
    </row>
    <row r="11" spans="1:9" x14ac:dyDescent="0.15">
      <c r="A11" s="25" t="s">
        <v>58</v>
      </c>
      <c r="C11" s="38">
        <f>IF($E5&lt;'APT Jul''09'!E7,0,IF($E5&lt;='APT Jul''09'!E8,($E5-'APT Jul''09'!E7)*('APT Jul''09'!E10/100),('APT Jul''09'!E8-'APT Jul''09'!E7)*('APT Jul''09'!E10/100)))</f>
        <v>33.929499999999997</v>
      </c>
      <c r="D11" s="38">
        <f>IF($E5&lt;'APT Jul''09'!F7,0,IF($E5&lt;='APT Jul''09'!F8,($E5-'APT Jul''09'!F7)*('APT Jul''09'!F10/100),('APT Jul''09'!F8-'APT Jul''09'!F7)*('APT Jul''09'!F10/100)))</f>
        <v>0</v>
      </c>
      <c r="E11" s="39"/>
    </row>
    <row r="12" spans="1:9" x14ac:dyDescent="0.15">
      <c r="A12" s="25" t="s">
        <v>49</v>
      </c>
      <c r="C12" s="38">
        <f>IF(($E5&lt;'APT Jul''09'!E8),(0),($E5-'APT Jul''09'!E8)*'APT Jul''09'!E11/100)</f>
        <v>3.54725</v>
      </c>
      <c r="D12" s="38">
        <f>IF(($E5&lt;'APT Jul''09'!F8),(0),($E5-'APT Jul''09'!F8)*'APT Jul''09'!F11/100)</f>
        <v>3.08</v>
      </c>
      <c r="E12" s="39"/>
    </row>
    <row r="13" spans="1:9" x14ac:dyDescent="0.15">
      <c r="A13" s="25" t="s">
        <v>50</v>
      </c>
      <c r="C13" s="38">
        <f>91*'APT Jul''09'!E12/100</f>
        <v>66.065999999999988</v>
      </c>
      <c r="D13" s="38">
        <f>91*'APT Jul''09'!F12/100</f>
        <v>60.300239999999995</v>
      </c>
      <c r="E13" s="40">
        <f>AVERAGE(C13:D13)</f>
        <v>63.183119999999988</v>
      </c>
    </row>
    <row r="14" spans="1:9" x14ac:dyDescent="0.15">
      <c r="A14" s="25" t="s">
        <v>51</v>
      </c>
      <c r="C14" s="38">
        <f>SUM(C10:C13)</f>
        <v>128.35049999999998</v>
      </c>
      <c r="D14" s="38">
        <f>SUM(D10:D13)</f>
        <v>110.94973999999999</v>
      </c>
      <c r="E14" s="40">
        <f>AVERAGE(C14:D14)</f>
        <v>119.65011999999999</v>
      </c>
    </row>
    <row r="15" spans="1:9" x14ac:dyDescent="0.15">
      <c r="A15" s="26" t="s">
        <v>48</v>
      </c>
      <c r="B15" s="41"/>
      <c r="C15" s="42">
        <f>C14*4</f>
        <v>513.40199999999993</v>
      </c>
      <c r="D15" s="42">
        <f>D14*4</f>
        <v>443.79895999999997</v>
      </c>
      <c r="E15" s="43">
        <f>AVERAGE(C15:D15)</f>
        <v>478.60047999999995</v>
      </c>
    </row>
    <row r="16" spans="1:9" x14ac:dyDescent="0.15">
      <c r="C16" s="38"/>
      <c r="D16" s="38"/>
      <c r="E16" s="38"/>
    </row>
    <row r="17" spans="1:5" x14ac:dyDescent="0.15">
      <c r="A17" s="35" t="s">
        <v>57</v>
      </c>
      <c r="C17" s="38"/>
      <c r="D17" s="38"/>
      <c r="E17" s="38"/>
    </row>
    <row r="18" spans="1:5" x14ac:dyDescent="0.15">
      <c r="C18" s="38"/>
      <c r="D18" s="38"/>
      <c r="E18" s="38"/>
    </row>
    <row r="19" spans="1:5" x14ac:dyDescent="0.15">
      <c r="A19" s="34" t="s">
        <v>111</v>
      </c>
      <c r="C19" s="44" t="s">
        <v>98</v>
      </c>
      <c r="D19" s="44" t="s">
        <v>100</v>
      </c>
      <c r="E19" s="45" t="s">
        <v>47</v>
      </c>
    </row>
    <row r="20" spans="1:5" x14ac:dyDescent="0.15">
      <c r="A20" s="25" t="s">
        <v>91</v>
      </c>
      <c r="C20" s="38">
        <f>IF($E5&gt;='Envestra Jul''09'!E7,('Envestra Jul''09'!E7*'Envestra Jul''09'!E8/100),($E5*'Envestra Jul''09'!E8/100))</f>
        <v>63.524999999999999</v>
      </c>
      <c r="D20" s="38">
        <f>IF($E5&gt;='Envestra Jul''09'!F7,('Envestra Jul''09'!F7*'Envestra Jul''09'!F8/100),($E5*'Envestra Jul''09'!F8/100))</f>
        <v>63.524999999999999</v>
      </c>
      <c r="E20" s="39"/>
    </row>
    <row r="21" spans="1:5" x14ac:dyDescent="0.15">
      <c r="A21" s="25" t="s">
        <v>58</v>
      </c>
      <c r="C21" s="38">
        <v>0</v>
      </c>
      <c r="D21" s="38">
        <v>0</v>
      </c>
      <c r="E21" s="39"/>
    </row>
    <row r="22" spans="1:5" x14ac:dyDescent="0.15">
      <c r="A22" s="25" t="s">
        <v>49</v>
      </c>
      <c r="C22" s="38">
        <f>IF(($E5&lt;'Envestra Jul''09'!E7),(0),($E5-'Envestra Jul''09'!E7)*'Envestra Jul''09'!E9/100)</f>
        <v>0</v>
      </c>
      <c r="D22" s="38">
        <f>IF(($E5&lt;'Envestra Jul''09'!F7),(0),($E5-'Envestra Jul''09'!F7)*'Envestra Jul''09'!F9/100)</f>
        <v>0</v>
      </c>
      <c r="E22" s="39"/>
    </row>
    <row r="23" spans="1:5" x14ac:dyDescent="0.15">
      <c r="A23" s="25" t="s">
        <v>50</v>
      </c>
      <c r="C23" s="38">
        <f>91*'Envestra Jul''09'!E10/100</f>
        <v>51.123800000000003</v>
      </c>
      <c r="D23" s="38">
        <f>91*'Envestra Jul''09'!F10/100</f>
        <v>46.526479999999999</v>
      </c>
      <c r="E23" s="40">
        <f>AVERAGE(C23:D23)</f>
        <v>48.825140000000005</v>
      </c>
    </row>
    <row r="24" spans="1:5" x14ac:dyDescent="0.15">
      <c r="A24" s="25" t="s">
        <v>51</v>
      </c>
      <c r="C24" s="38">
        <f>SUM(C20:C23)</f>
        <v>114.64879999999999</v>
      </c>
      <c r="D24" s="38">
        <f>SUM(D20:D23)</f>
        <v>110.05148</v>
      </c>
      <c r="E24" s="40">
        <f>AVERAGE(C24:D24)</f>
        <v>112.35014</v>
      </c>
    </row>
    <row r="25" spans="1:5" x14ac:dyDescent="0.15">
      <c r="A25" s="26" t="s">
        <v>48</v>
      </c>
      <c r="B25" s="41"/>
      <c r="C25" s="42">
        <f>C24*4</f>
        <v>458.59519999999998</v>
      </c>
      <c r="D25" s="42">
        <f>D24*4</f>
        <v>440.20591999999999</v>
      </c>
      <c r="E25" s="43">
        <f>AVERAGE(C25:D25)</f>
        <v>449.40055999999998</v>
      </c>
    </row>
    <row r="26" spans="1:5" x14ac:dyDescent="0.15">
      <c r="C26" s="38"/>
      <c r="D26" s="38"/>
      <c r="E26" s="38"/>
    </row>
  </sheetData>
  <sheetProtection algorithmName="SHA-512" hashValue="i8Hhwu2QcEfTg1bIwbbp9+BFGXb6tRfUDXkJD6L97ztzlP6wDLEZq1HtixKFnI9nfvWzXtu6uB1Y8WXpGyk6XQ==" saltValue="0M72i+BUBdVa3TzrM2imnA==" spinCount="100000" sheet="1" objects="1" scenarios="1"/>
  <mergeCells count="1">
    <mergeCell ref="A3:C3"/>
  </mergeCells>
  <phoneticPr fontId="10" type="noConversion"/>
  <pageMargins left="0.75" right="0.75" top="1" bottom="1" header="0.5" footer="0.5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0E92F-8A8A-654F-98DB-1004BA3E80A8}">
  <sheetPr codeName="Sheet38"/>
  <dimension ref="A1:AK15"/>
  <sheetViews>
    <sheetView zoomScale="125" zoomScaleNormal="125" workbookViewId="0">
      <selection activeCell="A9" sqref="A9:XFD9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24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7" ht="42" x14ac:dyDescent="0.15">
      <c r="A1" s="67" t="s">
        <v>92</v>
      </c>
      <c r="B1" s="67" t="s">
        <v>93</v>
      </c>
      <c r="C1" s="68" t="s">
        <v>62</v>
      </c>
      <c r="D1" s="69" t="s">
        <v>63</v>
      </c>
      <c r="E1" s="67" t="s">
        <v>61</v>
      </c>
      <c r="F1" s="68" t="s">
        <v>94</v>
      </c>
      <c r="G1" s="69" t="s">
        <v>65</v>
      </c>
      <c r="H1" s="70" t="s">
        <v>95</v>
      </c>
      <c r="I1" s="71" t="s">
        <v>66</v>
      </c>
      <c r="J1" s="71" t="s">
        <v>67</v>
      </c>
      <c r="K1" s="71" t="s">
        <v>68</v>
      </c>
      <c r="L1" s="71" t="s">
        <v>69</v>
      </c>
      <c r="M1" s="71" t="s">
        <v>70</v>
      </c>
      <c r="N1" s="72" t="s">
        <v>17</v>
      </c>
      <c r="O1" s="73" t="s">
        <v>18</v>
      </c>
      <c r="P1" s="73" t="s">
        <v>19</v>
      </c>
      <c r="Q1" s="73" t="s">
        <v>20</v>
      </c>
      <c r="R1" s="73" t="s">
        <v>21</v>
      </c>
      <c r="S1" s="73" t="s">
        <v>22</v>
      </c>
      <c r="T1" s="74" t="s">
        <v>23</v>
      </c>
      <c r="U1" s="75" t="s">
        <v>24</v>
      </c>
      <c r="V1" s="75" t="s">
        <v>25</v>
      </c>
      <c r="W1" s="75" t="s">
        <v>26</v>
      </c>
      <c r="X1" s="75" t="s">
        <v>75</v>
      </c>
      <c r="Y1" s="75" t="s">
        <v>76</v>
      </c>
      <c r="Z1" s="76" t="s">
        <v>77</v>
      </c>
      <c r="AA1" s="77" t="s">
        <v>78</v>
      </c>
      <c r="AB1" s="77" t="s">
        <v>79</v>
      </c>
      <c r="AC1" s="77" t="s">
        <v>80</v>
      </c>
      <c r="AD1" s="77" t="s">
        <v>81</v>
      </c>
      <c r="AE1" s="77" t="s">
        <v>82</v>
      </c>
      <c r="AF1" s="78" t="s">
        <v>83</v>
      </c>
      <c r="AG1" s="79" t="s">
        <v>84</v>
      </c>
      <c r="AH1" s="79" t="s">
        <v>10</v>
      </c>
      <c r="AI1" s="79" t="s">
        <v>11</v>
      </c>
      <c r="AJ1" s="80" t="s">
        <v>85</v>
      </c>
      <c r="AK1" s="140" t="s">
        <v>174</v>
      </c>
    </row>
    <row r="2" spans="1:37" x14ac:dyDescent="0.15">
      <c r="A2" s="81">
        <v>443</v>
      </c>
      <c r="B2" s="84">
        <v>43651</v>
      </c>
      <c r="C2" s="82" t="s">
        <v>232</v>
      </c>
      <c r="D2" s="83" t="s">
        <v>233</v>
      </c>
      <c r="E2" s="84">
        <v>43648</v>
      </c>
      <c r="F2" s="82" t="s">
        <v>98</v>
      </c>
      <c r="G2" s="83" t="s">
        <v>195</v>
      </c>
      <c r="H2" s="144">
        <v>132.99090909090907</v>
      </c>
      <c r="I2" s="85"/>
      <c r="J2" s="89"/>
      <c r="K2" s="89"/>
      <c r="L2" s="83"/>
      <c r="M2" s="83"/>
      <c r="N2" s="83"/>
      <c r="O2" s="144">
        <v>4.4454545454545444</v>
      </c>
      <c r="P2" s="175"/>
      <c r="Q2" s="175"/>
      <c r="R2" s="143"/>
      <c r="S2" s="14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7" t="s">
        <v>196</v>
      </c>
      <c r="AH2" s="87"/>
      <c r="AI2" s="87"/>
      <c r="AJ2" s="87"/>
      <c r="AK2" s="82" t="s">
        <v>271</v>
      </c>
    </row>
    <row r="3" spans="1:37" x14ac:dyDescent="0.15">
      <c r="A3" s="81">
        <v>524</v>
      </c>
      <c r="B3" s="84">
        <v>43651</v>
      </c>
      <c r="C3" s="82" t="s">
        <v>232</v>
      </c>
      <c r="D3" s="83" t="s">
        <v>233</v>
      </c>
      <c r="E3" s="84">
        <v>43646</v>
      </c>
      <c r="F3" s="82" t="s">
        <v>217</v>
      </c>
      <c r="G3" s="83" t="s">
        <v>195</v>
      </c>
      <c r="H3" s="144">
        <v>121.60909090909091</v>
      </c>
      <c r="I3" s="85" t="s">
        <v>234</v>
      </c>
      <c r="J3" s="83">
        <v>2322</v>
      </c>
      <c r="K3" s="83"/>
      <c r="L3" s="83"/>
      <c r="M3" s="83"/>
      <c r="N3" s="83"/>
      <c r="O3" s="144">
        <v>3.9272727272727272</v>
      </c>
      <c r="P3" s="144">
        <v>3.6363636363636362</v>
      </c>
      <c r="Q3" s="175"/>
      <c r="R3" s="143"/>
      <c r="S3" s="14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7" t="s">
        <v>196</v>
      </c>
      <c r="AI3" s="87"/>
      <c r="AJ3" s="87"/>
      <c r="AK3" s="179" t="s">
        <v>272</v>
      </c>
    </row>
    <row r="4" spans="1:37" x14ac:dyDescent="0.15">
      <c r="A4" s="81"/>
      <c r="B4" s="84">
        <v>43651</v>
      </c>
      <c r="C4" s="82" t="s">
        <v>232</v>
      </c>
      <c r="D4" s="83" t="s">
        <v>233</v>
      </c>
      <c r="E4" s="84">
        <v>43646</v>
      </c>
      <c r="F4" s="82" t="s">
        <v>194</v>
      </c>
      <c r="G4" s="83" t="s">
        <v>195</v>
      </c>
      <c r="H4" s="144">
        <v>114.98181818181817</v>
      </c>
      <c r="I4" s="85" t="s">
        <v>234</v>
      </c>
      <c r="J4" s="83">
        <v>2322</v>
      </c>
      <c r="K4" s="83"/>
      <c r="L4" s="83"/>
      <c r="M4" s="83"/>
      <c r="N4" s="83"/>
      <c r="O4" s="144">
        <v>4.8272727272727263</v>
      </c>
      <c r="P4" s="144">
        <v>4.4363636363636356</v>
      </c>
      <c r="Q4" s="175"/>
      <c r="R4" s="143"/>
      <c r="S4" s="14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7" t="s">
        <v>196</v>
      </c>
      <c r="AH4" s="87"/>
      <c r="AI4" s="87"/>
      <c r="AJ4" s="87"/>
      <c r="AK4" s="82" t="s">
        <v>273</v>
      </c>
    </row>
    <row r="5" spans="1:37" x14ac:dyDescent="0.15">
      <c r="A5" s="81"/>
      <c r="B5" s="84">
        <v>43651</v>
      </c>
      <c r="C5" s="82" t="s">
        <v>232</v>
      </c>
      <c r="D5" s="83" t="s">
        <v>233</v>
      </c>
      <c r="E5" s="84">
        <v>43484</v>
      </c>
      <c r="F5" s="82" t="s">
        <v>198</v>
      </c>
      <c r="G5" s="83" t="s">
        <v>199</v>
      </c>
      <c r="H5" s="144">
        <v>118.65454545454546</v>
      </c>
      <c r="I5" s="85" t="s">
        <v>234</v>
      </c>
      <c r="J5" s="83">
        <v>2322</v>
      </c>
      <c r="K5" s="83">
        <v>4597</v>
      </c>
      <c r="L5" s="89">
        <v>154701</v>
      </c>
      <c r="M5" s="89">
        <v>910001</v>
      </c>
      <c r="N5" s="83"/>
      <c r="O5" s="144">
        <v>5.6</v>
      </c>
      <c r="P5" s="144">
        <v>5.290909090909091</v>
      </c>
      <c r="Q5" s="144">
        <v>5.290909090909091</v>
      </c>
      <c r="R5" s="144">
        <v>5.290909090909091</v>
      </c>
      <c r="S5" s="144">
        <v>5.290909090909091</v>
      </c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7" t="s">
        <v>196</v>
      </c>
      <c r="AH5" s="87"/>
      <c r="AI5" s="87"/>
      <c r="AJ5" s="87"/>
      <c r="AK5" s="82" t="s">
        <v>276</v>
      </c>
    </row>
    <row r="6" spans="1:37" ht="15" x14ac:dyDescent="0.2">
      <c r="A6" s="81"/>
      <c r="B6" s="84">
        <v>43651</v>
      </c>
      <c r="C6" s="82" t="s">
        <v>232</v>
      </c>
      <c r="D6" s="83" t="s">
        <v>233</v>
      </c>
      <c r="E6" s="84">
        <v>43646</v>
      </c>
      <c r="F6" s="82" t="s">
        <v>201</v>
      </c>
      <c r="G6" s="83" t="s">
        <v>195</v>
      </c>
      <c r="H6" s="144">
        <v>130</v>
      </c>
      <c r="I6" s="85" t="s">
        <v>234</v>
      </c>
      <c r="J6" s="150">
        <v>7482</v>
      </c>
      <c r="K6" s="89"/>
      <c r="L6" s="83"/>
      <c r="M6" s="83"/>
      <c r="N6" s="83"/>
      <c r="O6" s="144">
        <v>7</v>
      </c>
      <c r="P6" s="144">
        <v>6.6909090909090905</v>
      </c>
      <c r="Q6" s="175"/>
      <c r="R6" s="143"/>
      <c r="S6" s="14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7" t="s">
        <v>196</v>
      </c>
      <c r="AH6" s="87"/>
      <c r="AI6" s="87"/>
      <c r="AJ6" s="87"/>
      <c r="AK6" s="82" t="s">
        <v>274</v>
      </c>
    </row>
    <row r="7" spans="1:37" x14ac:dyDescent="0.15">
      <c r="A7" s="81"/>
      <c r="B7" s="84">
        <v>43651</v>
      </c>
      <c r="C7" s="82" t="s">
        <v>232</v>
      </c>
      <c r="D7" s="83" t="s">
        <v>233</v>
      </c>
      <c r="E7" s="84">
        <v>43646</v>
      </c>
      <c r="F7" s="82" t="s">
        <v>203</v>
      </c>
      <c r="G7" s="83" t="s">
        <v>195</v>
      </c>
      <c r="H7" s="144">
        <v>138</v>
      </c>
      <c r="I7" s="85" t="s">
        <v>234</v>
      </c>
      <c r="J7" s="83">
        <v>2322</v>
      </c>
      <c r="K7" s="83">
        <v>4597</v>
      </c>
      <c r="L7" s="89">
        <v>154701</v>
      </c>
      <c r="M7" s="89">
        <v>910001</v>
      </c>
      <c r="N7" s="83"/>
      <c r="O7" s="144">
        <v>3.8545454545454545</v>
      </c>
      <c r="P7" s="144">
        <v>3.4545454545454541</v>
      </c>
      <c r="Q7" s="144">
        <v>3.0545454545454542</v>
      </c>
      <c r="R7" s="144">
        <v>2.754545454545454</v>
      </c>
      <c r="S7" s="144">
        <v>2.5272727272727269</v>
      </c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7" t="s">
        <v>196</v>
      </c>
      <c r="AH7" s="87"/>
      <c r="AI7" s="87"/>
      <c r="AJ7" s="87"/>
      <c r="AK7" s="82" t="s">
        <v>275</v>
      </c>
    </row>
    <row r="8" spans="1:37" ht="15" x14ac:dyDescent="0.2">
      <c r="A8" s="81">
        <v>446</v>
      </c>
      <c r="B8" s="84">
        <v>43651</v>
      </c>
      <c r="C8" s="82" t="s">
        <v>232</v>
      </c>
      <c r="D8" s="83" t="s">
        <v>235</v>
      </c>
      <c r="E8" s="84">
        <v>43648</v>
      </c>
      <c r="F8" s="82" t="s">
        <v>98</v>
      </c>
      <c r="G8" s="83" t="s">
        <v>195</v>
      </c>
      <c r="H8" s="144">
        <v>76.590909090909079</v>
      </c>
      <c r="I8" s="85"/>
      <c r="J8" s="89"/>
      <c r="K8" s="89"/>
      <c r="L8" s="83"/>
      <c r="M8" s="83"/>
      <c r="N8" s="83"/>
      <c r="O8" s="144">
        <v>5.6363636363636358</v>
      </c>
      <c r="P8" s="176"/>
      <c r="Q8" s="175"/>
      <c r="R8" s="143"/>
      <c r="S8" s="14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7" t="s">
        <v>196</v>
      </c>
      <c r="AH8" s="87"/>
      <c r="AI8" s="87"/>
      <c r="AJ8" s="87"/>
      <c r="AK8" s="82" t="s">
        <v>266</v>
      </c>
    </row>
    <row r="9" spans="1:37" ht="15" x14ac:dyDescent="0.2">
      <c r="A9" s="81">
        <v>526</v>
      </c>
      <c r="B9" s="84">
        <v>43651</v>
      </c>
      <c r="C9" s="82" t="s">
        <v>232</v>
      </c>
      <c r="D9" s="83" t="s">
        <v>235</v>
      </c>
      <c r="E9" s="84">
        <v>43646</v>
      </c>
      <c r="F9" s="82" t="s">
        <v>217</v>
      </c>
      <c r="G9" s="83" t="s">
        <v>195</v>
      </c>
      <c r="H9" s="144">
        <v>76.48181818181817</v>
      </c>
      <c r="I9" s="85" t="s">
        <v>234</v>
      </c>
      <c r="J9" s="150">
        <v>746</v>
      </c>
      <c r="K9" s="89">
        <v>2494</v>
      </c>
      <c r="L9" s="83"/>
      <c r="M9" s="83"/>
      <c r="N9" s="83"/>
      <c r="O9" s="144">
        <v>6.8636363636363633</v>
      </c>
      <c r="P9" s="144">
        <v>4.9272727272727268</v>
      </c>
      <c r="Q9" s="144">
        <v>3.6636363636363636</v>
      </c>
      <c r="R9" s="177"/>
      <c r="S9" s="14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7" t="s">
        <v>196</v>
      </c>
      <c r="AH9" s="87"/>
      <c r="AI9" s="87"/>
      <c r="AJ9" s="87"/>
      <c r="AK9" s="82" t="s">
        <v>267</v>
      </c>
    </row>
    <row r="10" spans="1:37" ht="15" x14ac:dyDescent="0.2">
      <c r="A10" s="81"/>
      <c r="B10" s="84">
        <v>43651</v>
      </c>
      <c r="C10" s="82" t="s">
        <v>232</v>
      </c>
      <c r="D10" s="83" t="s">
        <v>235</v>
      </c>
      <c r="E10" s="84">
        <v>43646</v>
      </c>
      <c r="F10" s="82" t="s">
        <v>194</v>
      </c>
      <c r="G10" s="83" t="s">
        <v>195</v>
      </c>
      <c r="H10" s="144">
        <v>72.454545454545453</v>
      </c>
      <c r="I10" s="85"/>
      <c r="J10" s="150"/>
      <c r="K10" s="89"/>
      <c r="L10" s="83"/>
      <c r="M10" s="83"/>
      <c r="N10" s="83"/>
      <c r="O10" s="144">
        <v>6.7909090909090901</v>
      </c>
      <c r="P10" s="176"/>
      <c r="Q10" s="176"/>
      <c r="R10" s="177"/>
      <c r="S10" s="14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7" t="s">
        <v>196</v>
      </c>
      <c r="AH10" s="87"/>
      <c r="AI10" s="87"/>
      <c r="AJ10" s="87"/>
      <c r="AK10" s="82" t="s">
        <v>268</v>
      </c>
    </row>
    <row r="11" spans="1:37" x14ac:dyDescent="0.15">
      <c r="A11" s="81"/>
      <c r="B11" s="84">
        <v>43651</v>
      </c>
      <c r="C11" s="82" t="s">
        <v>232</v>
      </c>
      <c r="D11" s="83" t="s">
        <v>235</v>
      </c>
      <c r="E11" s="84">
        <v>43484</v>
      </c>
      <c r="F11" s="82" t="s">
        <v>198</v>
      </c>
      <c r="G11" s="83" t="s">
        <v>195</v>
      </c>
      <c r="H11" s="144">
        <v>76.75454545454545</v>
      </c>
      <c r="I11" s="85" t="s">
        <v>234</v>
      </c>
      <c r="J11" s="89">
        <v>746</v>
      </c>
      <c r="K11" s="89">
        <v>2494</v>
      </c>
      <c r="L11" s="83"/>
      <c r="M11" s="83"/>
      <c r="N11" s="83"/>
      <c r="O11" s="144">
        <v>7.7545454545454531</v>
      </c>
      <c r="P11" s="144">
        <v>6.0363636363636353</v>
      </c>
      <c r="Q11" s="144">
        <v>4.8545454545454536</v>
      </c>
      <c r="R11" s="143"/>
      <c r="S11" s="14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7" t="s">
        <v>196</v>
      </c>
      <c r="AH11" s="87"/>
      <c r="AI11" s="87"/>
      <c r="AJ11" s="87"/>
      <c r="AK11" s="82" t="s">
        <v>277</v>
      </c>
    </row>
    <row r="12" spans="1:37" ht="15" x14ac:dyDescent="0.2">
      <c r="A12" s="81"/>
      <c r="B12" s="84">
        <v>43651</v>
      </c>
      <c r="C12" s="82" t="s">
        <v>232</v>
      </c>
      <c r="D12" s="83" t="s">
        <v>235</v>
      </c>
      <c r="E12" s="84">
        <v>43646</v>
      </c>
      <c r="F12" s="82" t="s">
        <v>201</v>
      </c>
      <c r="G12" s="83" t="s">
        <v>195</v>
      </c>
      <c r="H12" s="144">
        <v>85</v>
      </c>
      <c r="I12" s="85" t="s">
        <v>234</v>
      </c>
      <c r="J12" s="150">
        <v>747</v>
      </c>
      <c r="K12" s="89"/>
      <c r="L12" s="83"/>
      <c r="M12" s="83"/>
      <c r="N12" s="83"/>
      <c r="O12" s="144">
        <v>9.6999999999999993</v>
      </c>
      <c r="P12" s="144">
        <v>8.7999999999999989</v>
      </c>
      <c r="Q12" s="175"/>
      <c r="R12" s="143"/>
      <c r="S12" s="14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7" t="s">
        <v>196</v>
      </c>
      <c r="AH12" s="87"/>
      <c r="AI12" s="87"/>
      <c r="AJ12" s="87"/>
      <c r="AK12" s="82" t="s">
        <v>269</v>
      </c>
    </row>
    <row r="13" spans="1:37" ht="15" x14ac:dyDescent="0.2">
      <c r="A13" s="81"/>
      <c r="B13" s="84">
        <v>43651</v>
      </c>
      <c r="C13" s="82" t="s">
        <v>232</v>
      </c>
      <c r="D13" s="83" t="s">
        <v>235</v>
      </c>
      <c r="E13" s="84">
        <v>43646</v>
      </c>
      <c r="F13" s="82" t="s">
        <v>203</v>
      </c>
      <c r="G13" s="83" t="s">
        <v>195</v>
      </c>
      <c r="H13" s="144">
        <v>98.499999999999986</v>
      </c>
      <c r="I13" s="85" t="s">
        <v>234</v>
      </c>
      <c r="J13" s="150">
        <v>746</v>
      </c>
      <c r="K13" s="89">
        <v>2494</v>
      </c>
      <c r="L13" s="83"/>
      <c r="M13" s="83"/>
      <c r="N13" s="83"/>
      <c r="O13" s="144">
        <v>6.2818181818181813</v>
      </c>
      <c r="P13" s="144">
        <v>4.4545454545454541</v>
      </c>
      <c r="Q13" s="144">
        <v>2.8545454545454545</v>
      </c>
      <c r="R13" s="143"/>
      <c r="S13" s="14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7" t="s">
        <v>196</v>
      </c>
      <c r="AH13" s="87"/>
      <c r="AI13" s="87"/>
      <c r="AJ13" s="87"/>
      <c r="AK13" s="82" t="s">
        <v>270</v>
      </c>
    </row>
    <row r="14" spans="1:37" ht="15" x14ac:dyDescent="0.2">
      <c r="A14" s="81">
        <v>528</v>
      </c>
      <c r="B14" s="84">
        <v>43651</v>
      </c>
      <c r="C14" s="82" t="s">
        <v>232</v>
      </c>
      <c r="D14" s="83" t="s">
        <v>236</v>
      </c>
      <c r="E14" s="84">
        <v>43646</v>
      </c>
      <c r="F14" s="82" t="s">
        <v>217</v>
      </c>
      <c r="G14" s="83" t="s">
        <v>195</v>
      </c>
      <c r="H14" s="144">
        <v>78.809090909090898</v>
      </c>
      <c r="I14" s="85" t="s">
        <v>234</v>
      </c>
      <c r="J14" s="150">
        <v>746</v>
      </c>
      <c r="K14" s="89">
        <v>2494</v>
      </c>
      <c r="L14" s="83"/>
      <c r="M14" s="83"/>
      <c r="N14" s="83"/>
      <c r="O14" s="144">
        <v>7.2999999999999989</v>
      </c>
      <c r="P14" s="144">
        <v>5.0090909090909088</v>
      </c>
      <c r="Q14" s="144">
        <v>3.3727272727272726</v>
      </c>
      <c r="R14" s="143"/>
      <c r="S14" s="14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7" t="s">
        <v>196</v>
      </c>
      <c r="AH14" s="87"/>
      <c r="AI14" s="87"/>
      <c r="AJ14" s="87"/>
      <c r="AK14" s="82" t="s">
        <v>278</v>
      </c>
    </row>
    <row r="15" spans="1:37" ht="15" x14ac:dyDescent="0.2">
      <c r="A15" s="81">
        <v>530</v>
      </c>
      <c r="B15" s="84">
        <v>43651</v>
      </c>
      <c r="C15" s="82" t="s">
        <v>232</v>
      </c>
      <c r="D15" s="83" t="s">
        <v>237</v>
      </c>
      <c r="E15" s="84">
        <v>43646</v>
      </c>
      <c r="F15" s="82" t="s">
        <v>217</v>
      </c>
      <c r="G15" s="83" t="s">
        <v>195</v>
      </c>
      <c r="H15" s="144">
        <v>31.836363636363636</v>
      </c>
      <c r="I15" s="85" t="s">
        <v>234</v>
      </c>
      <c r="J15" s="150">
        <v>18200</v>
      </c>
      <c r="K15" s="83"/>
      <c r="L15" s="83"/>
      <c r="M15" s="83"/>
      <c r="N15" s="83"/>
      <c r="O15" s="144">
        <v>4.3181818181818175</v>
      </c>
      <c r="P15" s="144">
        <v>3.9727272727272727</v>
      </c>
      <c r="Q15" s="175"/>
      <c r="R15" s="143"/>
      <c r="S15" s="14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7" t="s">
        <v>196</v>
      </c>
      <c r="AH15" s="87"/>
      <c r="AI15" s="87"/>
      <c r="AJ15" s="87"/>
      <c r="AK15" s="82" t="s">
        <v>279</v>
      </c>
    </row>
  </sheetData>
  <sheetProtection algorithmName="SHA-512" hashValue="Gbg0+Huev2Gf6V4g+qqKSrYywqQ0C6csGQ4uqmRvq5MfrSbIux3B/KptnKkwhhQQiiiDrciDdV8avCK6QoP/YA==" saltValue="VXUwFc7J0RkNJB2/NdE2Ag==" spinCount="100000" sheet="1" objects="1" scenarios="1"/>
  <pageMargins left="0.75" right="0.75" top="1" bottom="1" header="0.5" footer="0.5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25685-FF92-2343-B90B-ADC4AE7861FC}">
  <sheetPr codeName="Sheet35"/>
  <dimension ref="A1:AK15"/>
  <sheetViews>
    <sheetView zoomScale="125" zoomScaleNormal="125" workbookViewId="0">
      <selection activeCell="H9" sqref="H9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24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7" ht="42" x14ac:dyDescent="0.15">
      <c r="A1" s="67" t="s">
        <v>92</v>
      </c>
      <c r="B1" s="67" t="s">
        <v>93</v>
      </c>
      <c r="C1" s="68" t="s">
        <v>62</v>
      </c>
      <c r="D1" s="69" t="s">
        <v>63</v>
      </c>
      <c r="E1" s="67" t="s">
        <v>61</v>
      </c>
      <c r="F1" s="68" t="s">
        <v>94</v>
      </c>
      <c r="G1" s="69" t="s">
        <v>65</v>
      </c>
      <c r="H1" s="70" t="s">
        <v>95</v>
      </c>
      <c r="I1" s="71" t="s">
        <v>66</v>
      </c>
      <c r="J1" s="71" t="s">
        <v>67</v>
      </c>
      <c r="K1" s="71" t="s">
        <v>68</v>
      </c>
      <c r="L1" s="71" t="s">
        <v>69</v>
      </c>
      <c r="M1" s="71" t="s">
        <v>70</v>
      </c>
      <c r="N1" s="72" t="s">
        <v>17</v>
      </c>
      <c r="O1" s="73" t="s">
        <v>18</v>
      </c>
      <c r="P1" s="73" t="s">
        <v>19</v>
      </c>
      <c r="Q1" s="73" t="s">
        <v>20</v>
      </c>
      <c r="R1" s="73" t="s">
        <v>21</v>
      </c>
      <c r="S1" s="73" t="s">
        <v>22</v>
      </c>
      <c r="T1" s="74" t="s">
        <v>23</v>
      </c>
      <c r="U1" s="75" t="s">
        <v>24</v>
      </c>
      <c r="V1" s="75" t="s">
        <v>25</v>
      </c>
      <c r="W1" s="75" t="s">
        <v>26</v>
      </c>
      <c r="X1" s="75" t="s">
        <v>75</v>
      </c>
      <c r="Y1" s="75" t="s">
        <v>76</v>
      </c>
      <c r="Z1" s="76" t="s">
        <v>77</v>
      </c>
      <c r="AA1" s="77" t="s">
        <v>78</v>
      </c>
      <c r="AB1" s="77" t="s">
        <v>79</v>
      </c>
      <c r="AC1" s="77" t="s">
        <v>80</v>
      </c>
      <c r="AD1" s="77" t="s">
        <v>81</v>
      </c>
      <c r="AE1" s="77" t="s">
        <v>82</v>
      </c>
      <c r="AF1" s="78" t="s">
        <v>83</v>
      </c>
      <c r="AG1" s="79" t="s">
        <v>84</v>
      </c>
      <c r="AH1" s="79" t="s">
        <v>10</v>
      </c>
      <c r="AI1" s="79" t="s">
        <v>11</v>
      </c>
      <c r="AJ1" s="80" t="s">
        <v>85</v>
      </c>
      <c r="AK1" s="140" t="s">
        <v>174</v>
      </c>
    </row>
    <row r="2" spans="1:37" x14ac:dyDescent="0.15">
      <c r="A2" s="81">
        <v>443</v>
      </c>
      <c r="B2" s="146">
        <v>43305</v>
      </c>
      <c r="C2" s="82" t="s">
        <v>232</v>
      </c>
      <c r="D2" s="83" t="s">
        <v>233</v>
      </c>
      <c r="E2" s="84">
        <v>43284</v>
      </c>
      <c r="F2" s="82" t="s">
        <v>98</v>
      </c>
      <c r="G2" s="83" t="s">
        <v>195</v>
      </c>
      <c r="H2" s="144">
        <v>132.99090909090907</v>
      </c>
      <c r="I2" s="85"/>
      <c r="J2" s="89"/>
      <c r="K2" s="89"/>
      <c r="L2" s="83"/>
      <c r="M2" s="83"/>
      <c r="N2" s="83"/>
      <c r="O2" s="144">
        <v>4.0636363636363635</v>
      </c>
      <c r="P2" s="175"/>
      <c r="Q2" s="175"/>
      <c r="R2" s="143"/>
      <c r="S2" s="14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7" t="s">
        <v>196</v>
      </c>
      <c r="AH2" s="87"/>
      <c r="AI2" s="87"/>
      <c r="AJ2" s="87"/>
      <c r="AK2" s="82" t="s">
        <v>246</v>
      </c>
    </row>
    <row r="3" spans="1:37" x14ac:dyDescent="0.15">
      <c r="A3" s="81">
        <v>524</v>
      </c>
      <c r="B3" s="146">
        <v>43305</v>
      </c>
      <c r="C3" s="82" t="s">
        <v>232</v>
      </c>
      <c r="D3" s="83" t="s">
        <v>233</v>
      </c>
      <c r="E3" s="84">
        <v>43281</v>
      </c>
      <c r="F3" s="82" t="s">
        <v>217</v>
      </c>
      <c r="G3" s="83" t="s">
        <v>195</v>
      </c>
      <c r="H3" s="144">
        <v>119.21818181818179</v>
      </c>
      <c r="I3" s="85" t="s">
        <v>234</v>
      </c>
      <c r="J3" s="83">
        <v>2322</v>
      </c>
      <c r="K3" s="83"/>
      <c r="L3" s="83"/>
      <c r="M3" s="83"/>
      <c r="N3" s="83"/>
      <c r="O3" s="144">
        <v>3.5636363636363635</v>
      </c>
      <c r="P3" s="144">
        <v>3.2909090909090906</v>
      </c>
      <c r="Q3" s="175"/>
      <c r="R3" s="143"/>
      <c r="S3" s="14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7" t="s">
        <v>196</v>
      </c>
      <c r="AI3" s="87"/>
      <c r="AJ3" s="87"/>
      <c r="AK3" s="179" t="s">
        <v>247</v>
      </c>
    </row>
    <row r="4" spans="1:37" x14ac:dyDescent="0.15">
      <c r="A4" s="81"/>
      <c r="B4" s="146">
        <v>43305</v>
      </c>
      <c r="C4" s="82" t="s">
        <v>232</v>
      </c>
      <c r="D4" s="83" t="s">
        <v>233</v>
      </c>
      <c r="E4" s="84">
        <v>43281</v>
      </c>
      <c r="F4" s="82" t="s">
        <v>194</v>
      </c>
      <c r="G4" s="83" t="s">
        <v>195</v>
      </c>
      <c r="H4" s="144">
        <v>106.36363636363636</v>
      </c>
      <c r="I4" s="85" t="s">
        <v>234</v>
      </c>
      <c r="J4" s="83">
        <v>2322</v>
      </c>
      <c r="K4" s="83"/>
      <c r="L4" s="83"/>
      <c r="M4" s="83"/>
      <c r="N4" s="83"/>
      <c r="O4" s="144">
        <v>3.4818181818181815</v>
      </c>
      <c r="P4" s="144">
        <v>3.1999999999999997</v>
      </c>
      <c r="Q4" s="175"/>
      <c r="R4" s="143"/>
      <c r="S4" s="14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7" t="s">
        <v>196</v>
      </c>
      <c r="AH4" s="87"/>
      <c r="AI4" s="87"/>
      <c r="AJ4" s="87"/>
      <c r="AK4" s="82" t="s">
        <v>248</v>
      </c>
    </row>
    <row r="5" spans="1:37" x14ac:dyDescent="0.15">
      <c r="A5" s="81"/>
      <c r="B5" s="146">
        <v>43305</v>
      </c>
      <c r="C5" s="82" t="s">
        <v>232</v>
      </c>
      <c r="D5" s="83" t="s">
        <v>233</v>
      </c>
      <c r="E5" s="84">
        <v>43281</v>
      </c>
      <c r="F5" s="82" t="s">
        <v>198</v>
      </c>
      <c r="G5" s="83" t="s">
        <v>199</v>
      </c>
      <c r="H5" s="144">
        <v>118.65454545454546</v>
      </c>
      <c r="I5" s="85" t="s">
        <v>234</v>
      </c>
      <c r="J5" s="83">
        <v>2322</v>
      </c>
      <c r="K5" s="83">
        <v>4597</v>
      </c>
      <c r="L5" s="89">
        <v>154701</v>
      </c>
      <c r="M5" s="89">
        <v>910001</v>
      </c>
      <c r="N5" s="83"/>
      <c r="O5" s="144">
        <v>5.6</v>
      </c>
      <c r="P5" s="144">
        <v>5.290909090909091</v>
      </c>
      <c r="Q5" s="144">
        <v>5.290909090909091</v>
      </c>
      <c r="R5" s="144">
        <v>5.290909090909091</v>
      </c>
      <c r="S5" s="144">
        <v>5.290909090909091</v>
      </c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7" t="s">
        <v>196</v>
      </c>
      <c r="AH5" s="87"/>
      <c r="AI5" s="87"/>
      <c r="AJ5" s="87"/>
      <c r="AK5" s="82" t="s">
        <v>249</v>
      </c>
    </row>
    <row r="6" spans="1:37" ht="15" x14ac:dyDescent="0.2">
      <c r="A6" s="81"/>
      <c r="B6" s="146">
        <v>43305</v>
      </c>
      <c r="C6" s="82" t="s">
        <v>232</v>
      </c>
      <c r="D6" s="83" t="s">
        <v>233</v>
      </c>
      <c r="E6" s="84">
        <v>43280</v>
      </c>
      <c r="F6" s="82" t="s">
        <v>201</v>
      </c>
      <c r="G6" s="83" t="s">
        <v>195</v>
      </c>
      <c r="H6" s="144">
        <v>130</v>
      </c>
      <c r="I6" s="85" t="s">
        <v>234</v>
      </c>
      <c r="J6" s="186">
        <v>7482</v>
      </c>
      <c r="K6" s="89"/>
      <c r="L6" s="83"/>
      <c r="M6" s="83"/>
      <c r="N6" s="83"/>
      <c r="O6" s="144">
        <v>7</v>
      </c>
      <c r="P6" s="144">
        <v>6.6999999999999993</v>
      </c>
      <c r="Q6" s="175"/>
      <c r="R6" s="143"/>
      <c r="S6" s="14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7" t="s">
        <v>196</v>
      </c>
      <c r="AH6" s="87"/>
      <c r="AI6" s="87"/>
      <c r="AJ6" s="87"/>
      <c r="AK6" s="82" t="s">
        <v>255</v>
      </c>
    </row>
    <row r="7" spans="1:37" x14ac:dyDescent="0.15">
      <c r="A7" s="81"/>
      <c r="B7" s="146">
        <v>43305</v>
      </c>
      <c r="C7" s="82" t="s">
        <v>232</v>
      </c>
      <c r="D7" s="83" t="s">
        <v>233</v>
      </c>
      <c r="E7" s="84">
        <v>43281</v>
      </c>
      <c r="F7" s="82" t="s">
        <v>203</v>
      </c>
      <c r="G7" s="83" t="s">
        <v>195</v>
      </c>
      <c r="H7" s="144">
        <v>124.99999999999999</v>
      </c>
      <c r="I7" s="85" t="s">
        <v>234</v>
      </c>
      <c r="J7" s="83">
        <v>2322</v>
      </c>
      <c r="K7" s="83">
        <v>4597</v>
      </c>
      <c r="L7" s="89">
        <v>154701</v>
      </c>
      <c r="M7" s="89">
        <v>910001</v>
      </c>
      <c r="N7" s="83"/>
      <c r="O7" s="144">
        <v>3.7</v>
      </c>
      <c r="P7" s="144">
        <v>3.4</v>
      </c>
      <c r="Q7" s="144">
        <v>2.9999999999999996</v>
      </c>
      <c r="R7" s="144">
        <v>2.7</v>
      </c>
      <c r="S7" s="144">
        <v>2.5</v>
      </c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7" t="s">
        <v>196</v>
      </c>
      <c r="AH7" s="87"/>
      <c r="AI7" s="87"/>
      <c r="AJ7" s="87"/>
      <c r="AK7" s="82" t="s">
        <v>250</v>
      </c>
    </row>
    <row r="8" spans="1:37" ht="15" x14ac:dyDescent="0.2">
      <c r="A8" s="81">
        <v>446</v>
      </c>
      <c r="B8" s="146">
        <v>43305</v>
      </c>
      <c r="C8" s="82" t="s">
        <v>232</v>
      </c>
      <c r="D8" s="83" t="s">
        <v>235</v>
      </c>
      <c r="E8" s="84">
        <v>43284</v>
      </c>
      <c r="F8" s="82" t="s">
        <v>98</v>
      </c>
      <c r="G8" s="83" t="s">
        <v>195</v>
      </c>
      <c r="H8" s="144">
        <v>76.590909090909079</v>
      </c>
      <c r="I8" s="85"/>
      <c r="J8" s="89"/>
      <c r="K8" s="89"/>
      <c r="L8" s="83"/>
      <c r="M8" s="83"/>
      <c r="N8" s="83"/>
      <c r="O8" s="144">
        <v>5.1545454545454543</v>
      </c>
      <c r="P8" s="176"/>
      <c r="Q8" s="175"/>
      <c r="R8" s="143"/>
      <c r="S8" s="14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7" t="s">
        <v>196</v>
      </c>
      <c r="AH8" s="87"/>
      <c r="AI8" s="87"/>
      <c r="AJ8" s="87"/>
      <c r="AK8" s="82" t="s">
        <v>251</v>
      </c>
    </row>
    <row r="9" spans="1:37" ht="15" x14ac:dyDescent="0.2">
      <c r="A9" s="81">
        <v>526</v>
      </c>
      <c r="B9" s="146">
        <v>43305</v>
      </c>
      <c r="C9" s="82" t="s">
        <v>232</v>
      </c>
      <c r="D9" s="83" t="s">
        <v>235</v>
      </c>
      <c r="E9" s="84">
        <v>43281</v>
      </c>
      <c r="F9" s="82" t="s">
        <v>217</v>
      </c>
      <c r="G9" s="83" t="s">
        <v>195</v>
      </c>
      <c r="H9" s="144">
        <v>74.981818181818184</v>
      </c>
      <c r="I9" s="85" t="s">
        <v>234</v>
      </c>
      <c r="J9" s="150">
        <v>746</v>
      </c>
      <c r="K9" s="89">
        <v>2494</v>
      </c>
      <c r="L9" s="83"/>
      <c r="M9" s="83"/>
      <c r="N9" s="83"/>
      <c r="O9" s="144">
        <v>6.4818181818181815</v>
      </c>
      <c r="P9" s="144">
        <v>4.5999999999999996</v>
      </c>
      <c r="Q9" s="144">
        <v>3.2727272727272725</v>
      </c>
      <c r="R9" s="177"/>
      <c r="S9" s="14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7" t="s">
        <v>196</v>
      </c>
      <c r="AH9" s="87"/>
      <c r="AI9" s="87"/>
      <c r="AJ9" s="87"/>
      <c r="AK9" s="82" t="s">
        <v>243</v>
      </c>
    </row>
    <row r="10" spans="1:37" ht="15" x14ac:dyDescent="0.2">
      <c r="A10" s="81"/>
      <c r="B10" s="146">
        <v>43305</v>
      </c>
      <c r="C10" s="82" t="s">
        <v>232</v>
      </c>
      <c r="D10" s="83" t="s">
        <v>235</v>
      </c>
      <c r="E10" s="84">
        <v>43281</v>
      </c>
      <c r="F10" s="82" t="s">
        <v>194</v>
      </c>
      <c r="G10" s="83" t="s">
        <v>195</v>
      </c>
      <c r="H10" s="144">
        <v>70</v>
      </c>
      <c r="I10" s="85"/>
      <c r="J10" s="150"/>
      <c r="K10" s="89"/>
      <c r="L10" s="83"/>
      <c r="M10" s="83"/>
      <c r="N10" s="83"/>
      <c r="O10" s="144">
        <v>5.1999999999999993</v>
      </c>
      <c r="P10" s="176"/>
      <c r="Q10" s="176"/>
      <c r="R10" s="177"/>
      <c r="S10" s="14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7" t="s">
        <v>196</v>
      </c>
      <c r="AH10" s="87"/>
      <c r="AI10" s="87"/>
      <c r="AJ10" s="87"/>
      <c r="AK10" s="82" t="s">
        <v>244</v>
      </c>
    </row>
    <row r="11" spans="1:37" x14ac:dyDescent="0.15">
      <c r="A11" s="81"/>
      <c r="B11" s="146">
        <v>43305</v>
      </c>
      <c r="C11" s="82" t="s">
        <v>232</v>
      </c>
      <c r="D11" s="83" t="s">
        <v>235</v>
      </c>
      <c r="E11" s="84">
        <v>43281</v>
      </c>
      <c r="F11" s="82" t="s">
        <v>198</v>
      </c>
      <c r="G11" s="83" t="s">
        <v>195</v>
      </c>
      <c r="H11" s="144">
        <v>76.75454545454545</v>
      </c>
      <c r="I11" s="85" t="s">
        <v>234</v>
      </c>
      <c r="J11" s="89">
        <v>746</v>
      </c>
      <c r="K11" s="89">
        <v>2494</v>
      </c>
      <c r="L11" s="83"/>
      <c r="M11" s="83"/>
      <c r="N11" s="83"/>
      <c r="O11" s="144">
        <v>7.7545454545454531</v>
      </c>
      <c r="P11" s="144">
        <v>6.0363636363636353</v>
      </c>
      <c r="Q11" s="144">
        <v>4.8545454545454536</v>
      </c>
      <c r="R11" s="143"/>
      <c r="S11" s="14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7" t="s">
        <v>196</v>
      </c>
      <c r="AH11" s="87"/>
      <c r="AI11" s="87"/>
      <c r="AJ11" s="87"/>
      <c r="AK11" s="82" t="s">
        <v>245</v>
      </c>
    </row>
    <row r="12" spans="1:37" ht="15" x14ac:dyDescent="0.2">
      <c r="A12" s="81"/>
      <c r="B12" s="146">
        <v>43305</v>
      </c>
      <c r="C12" s="82" t="s">
        <v>232</v>
      </c>
      <c r="D12" s="83" t="s">
        <v>235</v>
      </c>
      <c r="E12" s="84">
        <v>43280</v>
      </c>
      <c r="F12" s="82" t="s">
        <v>201</v>
      </c>
      <c r="G12" s="83" t="s">
        <v>195</v>
      </c>
      <c r="H12" s="144">
        <v>85</v>
      </c>
      <c r="I12" s="85" t="s">
        <v>234</v>
      </c>
      <c r="J12" s="186">
        <v>747</v>
      </c>
      <c r="K12" s="89"/>
      <c r="L12" s="83"/>
      <c r="M12" s="83"/>
      <c r="N12" s="83"/>
      <c r="O12" s="144">
        <v>9.6999999999999993</v>
      </c>
      <c r="P12" s="144">
        <v>8.7999999999999989</v>
      </c>
      <c r="Q12" s="175"/>
      <c r="R12" s="143"/>
      <c r="S12" s="14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7" t="s">
        <v>196</v>
      </c>
      <c r="AH12" s="87"/>
      <c r="AI12" s="87"/>
      <c r="AJ12" s="87"/>
      <c r="AK12" s="82" t="s">
        <v>256</v>
      </c>
    </row>
    <row r="13" spans="1:37" ht="15" x14ac:dyDescent="0.2">
      <c r="A13" s="81"/>
      <c r="B13" s="146">
        <v>43305</v>
      </c>
      <c r="C13" s="82" t="s">
        <v>232</v>
      </c>
      <c r="D13" s="83" t="s">
        <v>235</v>
      </c>
      <c r="E13" s="84">
        <v>43281</v>
      </c>
      <c r="F13" s="82" t="s">
        <v>203</v>
      </c>
      <c r="G13" s="83" t="s">
        <v>195</v>
      </c>
      <c r="H13" s="144">
        <v>85</v>
      </c>
      <c r="I13" s="85" t="s">
        <v>234</v>
      </c>
      <c r="J13" s="150">
        <v>746</v>
      </c>
      <c r="K13" s="89">
        <v>2494</v>
      </c>
      <c r="L13" s="83"/>
      <c r="M13" s="83"/>
      <c r="N13" s="83"/>
      <c r="O13" s="144">
        <v>6.2</v>
      </c>
      <c r="P13" s="144">
        <v>4.3999999999999995</v>
      </c>
      <c r="Q13" s="144">
        <v>2.8</v>
      </c>
      <c r="R13" s="143"/>
      <c r="S13" s="14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7" t="s">
        <v>196</v>
      </c>
      <c r="AH13" s="87"/>
      <c r="AI13" s="87"/>
      <c r="AJ13" s="87"/>
      <c r="AK13" s="82" t="s">
        <v>252</v>
      </c>
    </row>
    <row r="14" spans="1:37" ht="15" x14ac:dyDescent="0.2">
      <c r="A14" s="81">
        <v>528</v>
      </c>
      <c r="B14" s="146">
        <v>43305</v>
      </c>
      <c r="C14" s="82" t="s">
        <v>232</v>
      </c>
      <c r="D14" s="83" t="s">
        <v>236</v>
      </c>
      <c r="E14" s="84">
        <v>43281</v>
      </c>
      <c r="F14" s="82" t="s">
        <v>217</v>
      </c>
      <c r="G14" s="83" t="s">
        <v>195</v>
      </c>
      <c r="H14" s="144">
        <v>77.263636363636351</v>
      </c>
      <c r="I14" s="85" t="s">
        <v>234</v>
      </c>
      <c r="J14" s="150">
        <v>746</v>
      </c>
      <c r="K14" s="89">
        <v>2494</v>
      </c>
      <c r="L14" s="83"/>
      <c r="M14" s="83"/>
      <c r="N14" s="83"/>
      <c r="O14" s="144">
        <v>6.8090909090909086</v>
      </c>
      <c r="P14" s="144">
        <v>4.6545454545454543</v>
      </c>
      <c r="Q14" s="144">
        <v>3.0636363636363635</v>
      </c>
      <c r="R14" s="143"/>
      <c r="S14" s="14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7" t="s">
        <v>196</v>
      </c>
      <c r="AH14" s="87"/>
      <c r="AI14" s="87"/>
      <c r="AJ14" s="87"/>
      <c r="AK14" s="82" t="s">
        <v>253</v>
      </c>
    </row>
    <row r="15" spans="1:37" ht="15" x14ac:dyDescent="0.2">
      <c r="A15" s="81">
        <v>530</v>
      </c>
      <c r="B15" s="146">
        <v>43305</v>
      </c>
      <c r="C15" s="82" t="s">
        <v>232</v>
      </c>
      <c r="D15" s="83" t="s">
        <v>237</v>
      </c>
      <c r="E15" s="84">
        <v>43281</v>
      </c>
      <c r="F15" s="82" t="s">
        <v>217</v>
      </c>
      <c r="G15" s="83" t="s">
        <v>195</v>
      </c>
      <c r="H15" s="144">
        <v>31.218181818181819</v>
      </c>
      <c r="I15" s="85" t="s">
        <v>234</v>
      </c>
      <c r="J15" s="178">
        <v>18200</v>
      </c>
      <c r="K15" s="83"/>
      <c r="L15" s="83"/>
      <c r="M15" s="83"/>
      <c r="N15" s="83"/>
      <c r="O15" s="144">
        <v>4</v>
      </c>
      <c r="P15" s="144">
        <v>3.6636363636363636</v>
      </c>
      <c r="Q15" s="175"/>
      <c r="R15" s="143"/>
      <c r="S15" s="14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7" t="s">
        <v>196</v>
      </c>
      <c r="AH15" s="87"/>
      <c r="AI15" s="87"/>
      <c r="AJ15" s="87"/>
      <c r="AK15" s="82" t="s">
        <v>254</v>
      </c>
    </row>
  </sheetData>
  <sheetProtection algorithmName="SHA-512" hashValue="1ujrkCCNuUqDCTm0gS+Do908/knY0hP/0mj/nEFBCpeJpvDOnBPCrmhmsmN0bchMe9vUyflLIg+HJcEJYLFEig==" saltValue="SQWKVTxH30ld8fsHGb211g==" spinCount="100000" sheet="1" objects="1" scenarios="1"/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A0A43-2230-1745-8DCA-9CDE530C4403}">
  <sheetPr codeName="Sheet34"/>
  <dimension ref="A1:AK15"/>
  <sheetViews>
    <sheetView zoomScale="125" zoomScaleNormal="125" workbookViewId="0">
      <selection activeCell="A8" sqref="A8:XFD8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24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7" ht="42" x14ac:dyDescent="0.15">
      <c r="A1" s="67" t="s">
        <v>92</v>
      </c>
      <c r="B1" s="67" t="s">
        <v>93</v>
      </c>
      <c r="C1" s="68" t="s">
        <v>62</v>
      </c>
      <c r="D1" s="69" t="s">
        <v>63</v>
      </c>
      <c r="E1" s="67" t="s">
        <v>61</v>
      </c>
      <c r="F1" s="68" t="s">
        <v>94</v>
      </c>
      <c r="G1" s="69" t="s">
        <v>65</v>
      </c>
      <c r="H1" s="70" t="s">
        <v>95</v>
      </c>
      <c r="I1" s="71" t="s">
        <v>66</v>
      </c>
      <c r="J1" s="71" t="s">
        <v>67</v>
      </c>
      <c r="K1" s="71" t="s">
        <v>68</v>
      </c>
      <c r="L1" s="71" t="s">
        <v>69</v>
      </c>
      <c r="M1" s="71" t="s">
        <v>70</v>
      </c>
      <c r="N1" s="72" t="s">
        <v>17</v>
      </c>
      <c r="O1" s="73" t="s">
        <v>18</v>
      </c>
      <c r="P1" s="73" t="s">
        <v>19</v>
      </c>
      <c r="Q1" s="73" t="s">
        <v>20</v>
      </c>
      <c r="R1" s="73" t="s">
        <v>21</v>
      </c>
      <c r="S1" s="73" t="s">
        <v>22</v>
      </c>
      <c r="T1" s="74" t="s">
        <v>23</v>
      </c>
      <c r="U1" s="75" t="s">
        <v>24</v>
      </c>
      <c r="V1" s="75" t="s">
        <v>25</v>
      </c>
      <c r="W1" s="75" t="s">
        <v>26</v>
      </c>
      <c r="X1" s="75" t="s">
        <v>75</v>
      </c>
      <c r="Y1" s="75" t="s">
        <v>76</v>
      </c>
      <c r="Z1" s="76" t="s">
        <v>77</v>
      </c>
      <c r="AA1" s="77" t="s">
        <v>78</v>
      </c>
      <c r="AB1" s="77" t="s">
        <v>79</v>
      </c>
      <c r="AC1" s="77" t="s">
        <v>80</v>
      </c>
      <c r="AD1" s="77" t="s">
        <v>81</v>
      </c>
      <c r="AE1" s="77" t="s">
        <v>82</v>
      </c>
      <c r="AF1" s="78" t="s">
        <v>83</v>
      </c>
      <c r="AG1" s="79" t="s">
        <v>84</v>
      </c>
      <c r="AH1" s="79" t="s">
        <v>10</v>
      </c>
      <c r="AI1" s="79" t="s">
        <v>11</v>
      </c>
      <c r="AJ1" s="80" t="s">
        <v>85</v>
      </c>
      <c r="AK1" s="140" t="s">
        <v>174</v>
      </c>
    </row>
    <row r="2" spans="1:37" x14ac:dyDescent="0.15">
      <c r="A2" s="81">
        <v>443</v>
      </c>
      <c r="B2" s="146">
        <v>42946</v>
      </c>
      <c r="C2" s="82" t="s">
        <v>232</v>
      </c>
      <c r="D2" s="83" t="s">
        <v>233</v>
      </c>
      <c r="E2" s="84">
        <v>42928</v>
      </c>
      <c r="F2" s="82" t="s">
        <v>98</v>
      </c>
      <c r="G2" s="83" t="s">
        <v>195</v>
      </c>
      <c r="H2" s="144">
        <v>121.43636363636364</v>
      </c>
      <c r="I2" s="85"/>
      <c r="J2" s="89"/>
      <c r="K2" s="89"/>
      <c r="L2" s="83"/>
      <c r="M2" s="83"/>
      <c r="N2" s="83"/>
      <c r="O2" s="144">
        <v>4.045454545454545</v>
      </c>
      <c r="P2" s="175"/>
      <c r="Q2" s="175"/>
      <c r="R2" s="143"/>
      <c r="S2" s="14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7" t="s">
        <v>196</v>
      </c>
      <c r="AH2" s="87"/>
      <c r="AI2" s="87"/>
      <c r="AJ2" s="87"/>
      <c r="AK2" s="82" t="s">
        <v>219</v>
      </c>
    </row>
    <row r="3" spans="1:37" x14ac:dyDescent="0.15">
      <c r="A3" s="81">
        <v>524</v>
      </c>
      <c r="B3" s="146">
        <v>42946</v>
      </c>
      <c r="C3" s="82" t="s">
        <v>232</v>
      </c>
      <c r="D3" s="83" t="s">
        <v>233</v>
      </c>
      <c r="E3" s="84">
        <v>42916</v>
      </c>
      <c r="F3" s="82" t="s">
        <v>217</v>
      </c>
      <c r="G3" s="83" t="s">
        <v>195</v>
      </c>
      <c r="H3" s="144">
        <v>107.1</v>
      </c>
      <c r="I3" s="85" t="s">
        <v>234</v>
      </c>
      <c r="J3" s="83">
        <v>2322</v>
      </c>
      <c r="K3" s="83"/>
      <c r="L3" s="83"/>
      <c r="M3" s="83"/>
      <c r="N3" s="83"/>
      <c r="O3" s="144">
        <v>3.229090909090909</v>
      </c>
      <c r="P3" s="144">
        <v>2.9636363636363634</v>
      </c>
      <c r="Q3" s="175"/>
      <c r="R3" s="143"/>
      <c r="S3" s="14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7" t="s">
        <v>196</v>
      </c>
      <c r="AI3" s="87"/>
      <c r="AJ3" s="87"/>
      <c r="AK3" s="179" t="s">
        <v>221</v>
      </c>
    </row>
    <row r="4" spans="1:37" x14ac:dyDescent="0.15">
      <c r="A4" s="81"/>
      <c r="B4" s="146">
        <v>42946</v>
      </c>
      <c r="C4" s="82" t="s">
        <v>232</v>
      </c>
      <c r="D4" s="83" t="s">
        <v>233</v>
      </c>
      <c r="E4" s="84">
        <v>42916</v>
      </c>
      <c r="F4" s="82" t="s">
        <v>194</v>
      </c>
      <c r="G4" s="83" t="s">
        <v>195</v>
      </c>
      <c r="H4" s="144">
        <v>106.36363636363636</v>
      </c>
      <c r="I4" s="85" t="s">
        <v>234</v>
      </c>
      <c r="J4" s="83">
        <v>2322</v>
      </c>
      <c r="K4" s="83"/>
      <c r="L4" s="83"/>
      <c r="M4" s="83"/>
      <c r="N4" s="83"/>
      <c r="O4" s="144">
        <v>3.2818181818181813</v>
      </c>
      <c r="P4" s="144">
        <v>3.0181818181818176</v>
      </c>
      <c r="Q4" s="175"/>
      <c r="R4" s="143"/>
      <c r="S4" s="14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7" t="s">
        <v>196</v>
      </c>
      <c r="AH4" s="87"/>
      <c r="AI4" s="87"/>
      <c r="AJ4" s="87"/>
      <c r="AK4" s="82" t="s">
        <v>225</v>
      </c>
    </row>
    <row r="5" spans="1:37" x14ac:dyDescent="0.15">
      <c r="A5" s="81"/>
      <c r="B5" s="146">
        <v>42946</v>
      </c>
      <c r="C5" s="82" t="s">
        <v>232</v>
      </c>
      <c r="D5" s="83" t="s">
        <v>233</v>
      </c>
      <c r="E5" s="84">
        <v>42916</v>
      </c>
      <c r="F5" s="82" t="s">
        <v>198</v>
      </c>
      <c r="G5" s="83" t="s">
        <v>199</v>
      </c>
      <c r="H5" s="144">
        <v>104.99999999999999</v>
      </c>
      <c r="I5" s="85" t="s">
        <v>234</v>
      </c>
      <c r="J5" s="83">
        <v>2322</v>
      </c>
      <c r="K5" s="83">
        <v>4597</v>
      </c>
      <c r="L5" s="89">
        <v>154701</v>
      </c>
      <c r="M5" s="89">
        <v>910001</v>
      </c>
      <c r="N5" s="83"/>
      <c r="O5" s="144">
        <v>3.5999999999999996</v>
      </c>
      <c r="P5" s="144">
        <v>3.3636363636363633</v>
      </c>
      <c r="Q5" s="144">
        <v>3.3636363636363633</v>
      </c>
      <c r="R5" s="144">
        <v>3.3636363636363633</v>
      </c>
      <c r="S5" s="144">
        <v>3.3636363636363633</v>
      </c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7" t="s">
        <v>196</v>
      </c>
      <c r="AH5" s="87"/>
      <c r="AI5" s="87"/>
      <c r="AJ5" s="87"/>
      <c r="AK5" s="82" t="s">
        <v>227</v>
      </c>
    </row>
    <row r="6" spans="1:37" ht="15" x14ac:dyDescent="0.2">
      <c r="A6" s="81"/>
      <c r="B6" s="146">
        <v>42946</v>
      </c>
      <c r="C6" s="82" t="s">
        <v>232</v>
      </c>
      <c r="D6" s="83" t="s">
        <v>233</v>
      </c>
      <c r="E6" s="84">
        <v>42916</v>
      </c>
      <c r="F6" s="82" t="s">
        <v>201</v>
      </c>
      <c r="G6" s="83" t="s">
        <v>195</v>
      </c>
      <c r="H6" s="144">
        <v>104.99999999999999</v>
      </c>
      <c r="I6" s="85" t="s">
        <v>234</v>
      </c>
      <c r="J6" s="150">
        <v>748</v>
      </c>
      <c r="K6" s="89"/>
      <c r="L6" s="83"/>
      <c r="M6" s="83"/>
      <c r="N6" s="83"/>
      <c r="O6" s="144">
        <v>2.5999999999999996</v>
      </c>
      <c r="P6" s="144">
        <v>2.4</v>
      </c>
      <c r="Q6" s="175"/>
      <c r="R6" s="143"/>
      <c r="S6" s="14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7" t="s">
        <v>196</v>
      </c>
      <c r="AH6" s="87"/>
      <c r="AI6" s="87"/>
      <c r="AJ6" s="87"/>
      <c r="AK6" s="82" t="s">
        <v>229</v>
      </c>
    </row>
    <row r="7" spans="1:37" x14ac:dyDescent="0.15">
      <c r="A7" s="81"/>
      <c r="B7" s="146">
        <v>42946</v>
      </c>
      <c r="C7" s="82" t="s">
        <v>232</v>
      </c>
      <c r="D7" s="83" t="s">
        <v>233</v>
      </c>
      <c r="E7" s="84">
        <v>42916</v>
      </c>
      <c r="F7" s="82" t="s">
        <v>203</v>
      </c>
      <c r="G7" s="83" t="s">
        <v>195</v>
      </c>
      <c r="H7" s="144">
        <v>121.99999999999999</v>
      </c>
      <c r="I7" s="85" t="s">
        <v>234</v>
      </c>
      <c r="J7" s="83">
        <v>2322</v>
      </c>
      <c r="K7" s="83">
        <v>4597</v>
      </c>
      <c r="L7" s="89">
        <v>154701</v>
      </c>
      <c r="M7" s="89">
        <v>910001</v>
      </c>
      <c r="N7" s="83"/>
      <c r="O7" s="144">
        <v>3.7</v>
      </c>
      <c r="P7" s="144">
        <v>3.4</v>
      </c>
      <c r="Q7" s="144">
        <v>2.9999999999999996</v>
      </c>
      <c r="R7" s="144">
        <v>2.7</v>
      </c>
      <c r="S7" s="144">
        <v>2.5</v>
      </c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7" t="s">
        <v>196</v>
      </c>
      <c r="AH7" s="87"/>
      <c r="AI7" s="87"/>
      <c r="AJ7" s="87"/>
      <c r="AK7" s="82" t="s">
        <v>230</v>
      </c>
    </row>
    <row r="8" spans="1:37" ht="15" x14ac:dyDescent="0.2">
      <c r="A8" s="81">
        <v>446</v>
      </c>
      <c r="B8" s="146">
        <v>42946</v>
      </c>
      <c r="C8" s="82" t="s">
        <v>232</v>
      </c>
      <c r="D8" s="83" t="s">
        <v>235</v>
      </c>
      <c r="E8" s="84">
        <v>42928</v>
      </c>
      <c r="F8" s="82" t="s">
        <v>98</v>
      </c>
      <c r="G8" s="83" t="s">
        <v>195</v>
      </c>
      <c r="H8" s="144">
        <v>69.749999999999986</v>
      </c>
      <c r="I8" s="85"/>
      <c r="J8" s="89"/>
      <c r="K8" s="89"/>
      <c r="L8" s="83"/>
      <c r="M8" s="83"/>
      <c r="N8" s="83"/>
      <c r="O8" s="144">
        <v>4.963636363636363</v>
      </c>
      <c r="P8" s="176"/>
      <c r="Q8" s="175"/>
      <c r="R8" s="143"/>
      <c r="S8" s="14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7" t="s">
        <v>196</v>
      </c>
      <c r="AH8" s="87"/>
      <c r="AI8" s="87"/>
      <c r="AJ8" s="87"/>
      <c r="AK8" s="82" t="s">
        <v>220</v>
      </c>
    </row>
    <row r="9" spans="1:37" ht="15" x14ac:dyDescent="0.2">
      <c r="A9" s="81">
        <v>526</v>
      </c>
      <c r="B9" s="146">
        <v>42946</v>
      </c>
      <c r="C9" s="82" t="s">
        <v>232</v>
      </c>
      <c r="D9" s="83" t="s">
        <v>235</v>
      </c>
      <c r="E9" s="84">
        <v>42565</v>
      </c>
      <c r="F9" s="82" t="s">
        <v>217</v>
      </c>
      <c r="G9" s="83" t="s">
        <v>195</v>
      </c>
      <c r="H9" s="144">
        <v>69.749999999999986</v>
      </c>
      <c r="I9" s="85" t="s">
        <v>234</v>
      </c>
      <c r="J9" s="150">
        <v>746</v>
      </c>
      <c r="K9" s="89">
        <v>2494</v>
      </c>
      <c r="L9" s="83"/>
      <c r="M9" s="83"/>
      <c r="N9" s="83"/>
      <c r="O9" s="144">
        <v>5.9609090909090909</v>
      </c>
      <c r="P9" s="144">
        <v>4.2018181818181812</v>
      </c>
      <c r="Q9" s="144">
        <v>3.0154545454545452</v>
      </c>
      <c r="R9" s="177"/>
      <c r="S9" s="14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7" t="s">
        <v>196</v>
      </c>
      <c r="AH9" s="87"/>
      <c r="AI9" s="87"/>
      <c r="AJ9" s="87"/>
      <c r="AK9" s="82" t="s">
        <v>222</v>
      </c>
    </row>
    <row r="10" spans="1:37" ht="15" x14ac:dyDescent="0.2">
      <c r="A10" s="81"/>
      <c r="B10" s="146">
        <v>42946</v>
      </c>
      <c r="C10" s="82" t="s">
        <v>232</v>
      </c>
      <c r="D10" s="83" t="s">
        <v>235</v>
      </c>
      <c r="E10" s="84">
        <v>42930</v>
      </c>
      <c r="F10" s="82" t="s">
        <v>194</v>
      </c>
      <c r="G10" s="83" t="s">
        <v>195</v>
      </c>
      <c r="H10" s="144">
        <v>70</v>
      </c>
      <c r="I10" s="85"/>
      <c r="J10" s="150"/>
      <c r="K10" s="89"/>
      <c r="L10" s="83"/>
      <c r="M10" s="83"/>
      <c r="N10" s="83"/>
      <c r="O10" s="144">
        <v>4.8636363636363633</v>
      </c>
      <c r="P10" s="176"/>
      <c r="Q10" s="176"/>
      <c r="R10" s="177"/>
      <c r="S10" s="14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7" t="s">
        <v>196</v>
      </c>
      <c r="AH10" s="87"/>
      <c r="AI10" s="87"/>
      <c r="AJ10" s="87"/>
      <c r="AK10" s="82" t="s">
        <v>226</v>
      </c>
    </row>
    <row r="11" spans="1:37" x14ac:dyDescent="0.15">
      <c r="A11" s="81"/>
      <c r="B11" s="146">
        <v>42946</v>
      </c>
      <c r="C11" s="82" t="s">
        <v>232</v>
      </c>
      <c r="D11" s="83" t="s">
        <v>235</v>
      </c>
      <c r="E11" s="84">
        <v>42916</v>
      </c>
      <c r="F11" s="82" t="s">
        <v>198</v>
      </c>
      <c r="G11" s="83" t="s">
        <v>195</v>
      </c>
      <c r="H11" s="144">
        <v>65.999999999999986</v>
      </c>
      <c r="I11" s="85" t="s">
        <v>234</v>
      </c>
      <c r="J11" s="89">
        <v>738</v>
      </c>
      <c r="K11" s="89">
        <v>1728</v>
      </c>
      <c r="L11" s="83"/>
      <c r="M11" s="83"/>
      <c r="N11" s="83"/>
      <c r="O11" s="144">
        <v>6.5</v>
      </c>
      <c r="P11" s="144">
        <v>4.5818181818181811</v>
      </c>
      <c r="Q11" s="144">
        <v>3.2727272727272725</v>
      </c>
      <c r="R11" s="143"/>
      <c r="S11" s="14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7" t="s">
        <v>196</v>
      </c>
      <c r="AH11" s="87"/>
      <c r="AI11" s="87"/>
      <c r="AJ11" s="87"/>
      <c r="AK11" s="82" t="s">
        <v>228</v>
      </c>
    </row>
    <row r="12" spans="1:37" ht="15" x14ac:dyDescent="0.2">
      <c r="A12" s="81"/>
      <c r="B12" s="146">
        <v>42946</v>
      </c>
      <c r="C12" s="82" t="s">
        <v>232</v>
      </c>
      <c r="D12" s="83" t="s">
        <v>235</v>
      </c>
      <c r="E12" s="84">
        <v>42916</v>
      </c>
      <c r="F12" s="82" t="s">
        <v>201</v>
      </c>
      <c r="G12" s="83" t="s">
        <v>195</v>
      </c>
      <c r="H12" s="144">
        <v>64</v>
      </c>
      <c r="I12" s="85" t="s">
        <v>234</v>
      </c>
      <c r="J12" s="150">
        <v>748</v>
      </c>
      <c r="K12" s="89"/>
      <c r="L12" s="83"/>
      <c r="M12" s="83"/>
      <c r="N12" s="83"/>
      <c r="O12" s="144">
        <v>4.5999999999999996</v>
      </c>
      <c r="P12" s="144">
        <v>3.5</v>
      </c>
      <c r="Q12" s="175"/>
      <c r="R12" s="143"/>
      <c r="S12" s="14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7" t="s">
        <v>196</v>
      </c>
      <c r="AH12" s="87"/>
      <c r="AI12" s="87"/>
      <c r="AJ12" s="87"/>
      <c r="AK12" s="82" t="s">
        <v>229</v>
      </c>
    </row>
    <row r="13" spans="1:37" ht="15" x14ac:dyDescent="0.2">
      <c r="A13" s="81"/>
      <c r="B13" s="146">
        <v>42946</v>
      </c>
      <c r="C13" s="82" t="s">
        <v>232</v>
      </c>
      <c r="D13" s="83" t="s">
        <v>235</v>
      </c>
      <c r="E13" s="84">
        <v>42916</v>
      </c>
      <c r="F13" s="82" t="s">
        <v>203</v>
      </c>
      <c r="G13" s="83" t="s">
        <v>195</v>
      </c>
      <c r="H13" s="144">
        <v>82</v>
      </c>
      <c r="I13" s="85" t="s">
        <v>234</v>
      </c>
      <c r="J13" s="150">
        <v>746</v>
      </c>
      <c r="K13" s="89">
        <v>2494</v>
      </c>
      <c r="L13" s="83"/>
      <c r="M13" s="83"/>
      <c r="N13" s="83"/>
      <c r="O13" s="144">
        <v>6.2</v>
      </c>
      <c r="P13" s="144">
        <v>4.3999999999999995</v>
      </c>
      <c r="Q13" s="144">
        <v>2.8</v>
      </c>
      <c r="R13" s="143"/>
      <c r="S13" s="14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7" t="s">
        <v>196</v>
      </c>
      <c r="AH13" s="87"/>
      <c r="AI13" s="87"/>
      <c r="AJ13" s="87"/>
      <c r="AK13" s="82" t="s">
        <v>231</v>
      </c>
    </row>
    <row r="14" spans="1:37" ht="15" x14ac:dyDescent="0.2">
      <c r="A14" s="81">
        <v>528</v>
      </c>
      <c r="B14" s="146">
        <v>42946</v>
      </c>
      <c r="C14" s="82" t="s">
        <v>232</v>
      </c>
      <c r="D14" s="83" t="s">
        <v>236</v>
      </c>
      <c r="E14" s="84">
        <v>42916</v>
      </c>
      <c r="F14" s="82" t="s">
        <v>217</v>
      </c>
      <c r="G14" s="83" t="s">
        <v>195</v>
      </c>
      <c r="H14" s="144">
        <v>72.545454545454533</v>
      </c>
      <c r="I14" s="85" t="s">
        <v>234</v>
      </c>
      <c r="J14" s="150">
        <v>746</v>
      </c>
      <c r="K14" s="89">
        <v>2494</v>
      </c>
      <c r="L14" s="83"/>
      <c r="M14" s="83"/>
      <c r="N14" s="83"/>
      <c r="O14" s="144">
        <v>6.3081818181818177</v>
      </c>
      <c r="P14" s="144">
        <v>4.250909090909091</v>
      </c>
      <c r="Q14" s="144">
        <v>2.8</v>
      </c>
      <c r="R14" s="143"/>
      <c r="S14" s="14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7" t="s">
        <v>196</v>
      </c>
      <c r="AH14" s="87"/>
      <c r="AI14" s="87"/>
      <c r="AJ14" s="87"/>
      <c r="AK14" s="82" t="s">
        <v>223</v>
      </c>
    </row>
    <row r="15" spans="1:37" ht="15" x14ac:dyDescent="0.2">
      <c r="A15" s="81">
        <v>530</v>
      </c>
      <c r="B15" s="146">
        <v>42946</v>
      </c>
      <c r="C15" s="82" t="s">
        <v>232</v>
      </c>
      <c r="D15" s="83" t="s">
        <v>237</v>
      </c>
      <c r="E15" s="84">
        <v>42916</v>
      </c>
      <c r="F15" s="82" t="s">
        <v>217</v>
      </c>
      <c r="G15" s="83" t="s">
        <v>195</v>
      </c>
      <c r="H15" s="144">
        <v>28.636363636363633</v>
      </c>
      <c r="I15" s="85" t="s">
        <v>234</v>
      </c>
      <c r="J15" s="178">
        <v>18200</v>
      </c>
      <c r="K15" s="83"/>
      <c r="L15" s="83"/>
      <c r="M15" s="83"/>
      <c r="N15" s="83"/>
      <c r="O15" s="144">
        <v>3.6418181818181816</v>
      </c>
      <c r="P15" s="180">
        <v>3.36</v>
      </c>
      <c r="Q15" s="175"/>
      <c r="R15" s="143"/>
      <c r="S15" s="14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7" t="s">
        <v>196</v>
      </c>
      <c r="AH15" s="87"/>
      <c r="AI15" s="87"/>
      <c r="AJ15" s="87"/>
      <c r="AK15" s="82" t="s">
        <v>224</v>
      </c>
    </row>
  </sheetData>
  <sheetProtection algorithmName="SHA-512" hashValue="JFjUPDHh/IbjZ6WzSw+8cEbsnJtGX7rVmQIkiBz1+Nq8+GGuHh+hxfTfv51rMBebRzuaP1gQubwKVEx5a5wdjg==" saltValue="GJZYLeQtTrsjpXju6YGyHw==" spinCount="100000" sheet="1" objects="1" scenarios="1"/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2135B-3587-C74C-A20B-33F6A8235E38}">
  <sheetPr codeName="Sheet37"/>
  <dimension ref="A1:ZC4058"/>
  <sheetViews>
    <sheetView tabSelected="1" zoomScale="113" zoomScaleNormal="113" workbookViewId="0">
      <selection activeCell="C43" sqref="C43"/>
    </sheetView>
  </sheetViews>
  <sheetFormatPr baseColWidth="10" defaultRowHeight="13" x14ac:dyDescent="0.15"/>
  <cols>
    <col min="1" max="1" width="17.83203125" style="123" customWidth="1"/>
    <col min="2" max="2" width="14" style="123" customWidth="1"/>
    <col min="3" max="7" width="12.1640625" style="123" customWidth="1"/>
    <col min="8" max="8" width="10.6640625" style="123" customWidth="1"/>
    <col min="9" max="9" width="10.83203125" style="123"/>
    <col min="680" max="16384" width="10.83203125" style="123"/>
  </cols>
  <sheetData>
    <row r="1" spans="1:31" customFormat="1" x14ac:dyDescent="0.15">
      <c r="A1" s="189" t="s">
        <v>7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</row>
    <row r="2" spans="1:31" customFormat="1" x14ac:dyDescent="0.15">
      <c r="A2" s="190" t="s">
        <v>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</row>
    <row r="3" spans="1:31" customFormat="1" ht="14" thickBot="1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</row>
    <row r="4" spans="1:31" ht="14" x14ac:dyDescent="0.15">
      <c r="A4" s="94"/>
      <c r="B4" s="95"/>
      <c r="C4" s="95"/>
      <c r="D4" s="95"/>
      <c r="E4" s="95"/>
      <c r="F4" s="95"/>
      <c r="G4" s="95"/>
      <c r="H4" s="95"/>
      <c r="I4" s="96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</row>
    <row r="5" spans="1:31" ht="14" x14ac:dyDescent="0.15">
      <c r="A5" s="97" t="s">
        <v>183</v>
      </c>
      <c r="B5" s="57"/>
      <c r="C5" s="115">
        <v>2500</v>
      </c>
      <c r="D5" s="57"/>
      <c r="E5" s="57"/>
      <c r="F5" s="57"/>
      <c r="G5" s="57"/>
      <c r="H5" s="57"/>
      <c r="I5" s="98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</row>
    <row r="6" spans="1:31" ht="15" thickBot="1" x14ac:dyDescent="0.2">
      <c r="A6" s="99"/>
      <c r="B6" s="100"/>
      <c r="C6" s="100"/>
      <c r="D6" s="100"/>
      <c r="E6" s="100"/>
      <c r="F6" s="100"/>
      <c r="G6" s="100"/>
      <c r="H6" s="100"/>
      <c r="I6" s="10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</row>
    <row r="7" spans="1:31" ht="14" x14ac:dyDescent="0.15">
      <c r="A7" s="94" t="s">
        <v>1</v>
      </c>
      <c r="B7" s="95"/>
      <c r="C7" s="95"/>
      <c r="D7" s="95"/>
      <c r="E7" s="95"/>
      <c r="F7" s="95"/>
      <c r="G7" s="95"/>
      <c r="H7" s="102"/>
      <c r="I7" s="96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</row>
    <row r="8" spans="1:31" ht="41" customHeight="1" x14ac:dyDescent="0.15">
      <c r="A8" s="151" t="s">
        <v>94</v>
      </c>
      <c r="B8" s="152" t="s">
        <v>61</v>
      </c>
      <c r="C8" s="153" t="s">
        <v>55</v>
      </c>
      <c r="D8" s="153" t="s">
        <v>2</v>
      </c>
      <c r="E8" s="154" t="s">
        <v>3</v>
      </c>
      <c r="F8" s="154" t="s">
        <v>4</v>
      </c>
      <c r="G8" s="154" t="s">
        <v>216</v>
      </c>
      <c r="H8" s="155" t="s">
        <v>5</v>
      </c>
      <c r="I8" s="156" t="s">
        <v>6</v>
      </c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</row>
    <row r="9" spans="1:31" x14ac:dyDescent="0.15">
      <c r="A9" s="104" t="str">
        <f>'Tariffs 2023'!F2</f>
        <v>AGL</v>
      </c>
      <c r="B9" s="105">
        <f>'Tariffs 2023'!E2</f>
        <v>43648</v>
      </c>
      <c r="C9" s="106">
        <f>91*'Tariffs 2023'!H2/100</f>
        <v>121.02172727272726</v>
      </c>
      <c r="D9" s="106">
        <f>C5*'Tariffs 2023'!O2/100</f>
        <v>111.1363636363636</v>
      </c>
      <c r="E9" s="106">
        <v>0</v>
      </c>
      <c r="F9" s="106">
        <v>0</v>
      </c>
      <c r="G9" s="106">
        <f t="shared" ref="G9:G14" si="0">SUM(C9:F9)</f>
        <v>232.15809090909084</v>
      </c>
      <c r="H9" s="107">
        <f t="shared" ref="H9:H14" si="1">G9*4</f>
        <v>928.63236363636338</v>
      </c>
      <c r="I9" s="108">
        <f t="shared" ref="I9:I14" si="2">H9*1.1</f>
        <v>1021.4955999999999</v>
      </c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</row>
    <row r="10" spans="1:31" x14ac:dyDescent="0.15">
      <c r="A10" s="104" t="str">
        <f>'Tariffs 2023'!F3</f>
        <v>Origin Energy</v>
      </c>
      <c r="B10" s="105">
        <f>'Tariffs 2023'!E3</f>
        <v>43646</v>
      </c>
      <c r="C10" s="106">
        <f>91*'Tariffs 2023'!H3/100</f>
        <v>110.66427272727273</v>
      </c>
      <c r="D10" s="106">
        <f>IF($C$5&gt;='Tariffs 2023'!J3,('Tariffs 2023'!J3*'Tariffs 2023'!O3/100),($C$5*'Tariffs 2023'!O3/100))</f>
        <v>91.191272727272732</v>
      </c>
      <c r="E10" s="106">
        <v>0</v>
      </c>
      <c r="F10" s="106">
        <f>IF(($C$5&lt;'Tariffs 2023'!J3),(0),($C$5-'Tariffs 2023'!J3)*'Tariffs 2023'!P3/100)</f>
        <v>6.4727272727272727</v>
      </c>
      <c r="G10" s="106">
        <f t="shared" si="0"/>
        <v>208.32827272727272</v>
      </c>
      <c r="H10" s="107">
        <f t="shared" si="1"/>
        <v>833.31309090909087</v>
      </c>
      <c r="I10" s="108">
        <f t="shared" si="2"/>
        <v>916.64440000000002</v>
      </c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</row>
    <row r="11" spans="1:31" x14ac:dyDescent="0.15">
      <c r="A11" s="104" t="str">
        <f>'Tariffs 2023'!F4</f>
        <v>Alinta Energy</v>
      </c>
      <c r="B11" s="105">
        <f>'Tariffs 2023'!E4</f>
        <v>43646</v>
      </c>
      <c r="C11" s="106">
        <f>91*'Tariffs 2023'!H4/100</f>
        <v>104.63345454545453</v>
      </c>
      <c r="D11" s="106">
        <f>IF($C$5&gt;='Tariffs 2023'!J4,('Tariffs 2023'!J4*'Tariffs 2023'!O4/100),($C$5*'Tariffs 2023'!O4/100))</f>
        <v>112.08927272727271</v>
      </c>
      <c r="E11" s="106">
        <v>0</v>
      </c>
      <c r="F11" s="106">
        <f>IF(($C$5&lt;'Tariffs 2023'!J4),(0),($C$5-'Tariffs 2023'!J4)*'Tariffs 2023'!P4/100)</f>
        <v>7.8967272727272713</v>
      </c>
      <c r="G11" s="106">
        <f t="shared" si="0"/>
        <v>224.61945454545452</v>
      </c>
      <c r="H11" s="107">
        <f t="shared" si="1"/>
        <v>898.47781818181807</v>
      </c>
      <c r="I11" s="108">
        <f t="shared" si="2"/>
        <v>988.32560000000001</v>
      </c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</row>
    <row r="12" spans="1:31" x14ac:dyDescent="0.15">
      <c r="A12" s="104" t="str">
        <f>'Tariffs 2023'!F5</f>
        <v>CovaU</v>
      </c>
      <c r="B12" s="105">
        <f>'Tariffs 2023'!E5</f>
        <v>43484</v>
      </c>
      <c r="C12" s="106">
        <f>91*'Tariffs 2023'!H5/100</f>
        <v>107.97563636363637</v>
      </c>
      <c r="D12" s="106">
        <f>IF($C$5&gt;='Tariffs 2023'!J5,('Tariffs 2023'!J5*'Tariffs 2023'!O5/100),($C$5*'Tariffs 2023'!O5/100))</f>
        <v>130.03199999999998</v>
      </c>
      <c r="E12" s="106">
        <f>IF($C$5&lt;'Tariffs 2023'!J5,0,IF(($C$5-'Tariffs 2023'!J5)&lt;='Tariffs 2023'!K5,(($C$5-'Tariffs 2023'!J5)*'Tariffs 2023'!P5/100),(('Tariffs 2023'!K5-'Tariffs 2023'!J5)*'Tariffs 2023'!P5/100)))</f>
        <v>9.4178181818181823</v>
      </c>
      <c r="F12" s="106">
        <f>IF(($C$5&lt;'Tariffs 2023'!K5),(0),($C$5-'Tariffs 2023'!K5)*'Tariffs 2023'!Q5/100)</f>
        <v>0</v>
      </c>
      <c r="G12" s="106">
        <f t="shared" si="0"/>
        <v>247.42545454545453</v>
      </c>
      <c r="H12" s="107">
        <f t="shared" si="1"/>
        <v>989.70181818181811</v>
      </c>
      <c r="I12" s="108">
        <f t="shared" si="2"/>
        <v>1088.672</v>
      </c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</row>
    <row r="13" spans="1:31" x14ac:dyDescent="0.15">
      <c r="A13" s="104" t="str">
        <f>'Tariffs 2023'!F6</f>
        <v>GloBird Energy</v>
      </c>
      <c r="B13" s="105">
        <f>'Tariffs 2023'!E6</f>
        <v>43646</v>
      </c>
      <c r="C13" s="106">
        <f>91*'Tariffs 2023'!H6/100</f>
        <v>118.3</v>
      </c>
      <c r="D13" s="106">
        <f>IF($C$5&gt;='Tariffs 2023'!J6,('Tariffs 2023'!J6*'Tariffs 2023'!O6/100),($C$5*'Tariffs 2023'!O6/100))</f>
        <v>175</v>
      </c>
      <c r="E13" s="106">
        <v>0</v>
      </c>
      <c r="F13" s="106">
        <f>IF(($C$5&lt;'Tariffs 2023'!J6),(0),($C$5-'Tariffs 2023'!J6)*'Tariffs 2023'!P6/100)</f>
        <v>0</v>
      </c>
      <c r="G13" s="106">
        <f t="shared" si="0"/>
        <v>293.3</v>
      </c>
      <c r="H13" s="107">
        <f t="shared" si="1"/>
        <v>1173.2</v>
      </c>
      <c r="I13" s="108">
        <f t="shared" si="2"/>
        <v>1290.5200000000002</v>
      </c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</row>
    <row r="14" spans="1:31" ht="14" thickBot="1" x14ac:dyDescent="0.2">
      <c r="A14" s="109" t="str">
        <f>'Tariffs 2023'!F7</f>
        <v>Red Energy</v>
      </c>
      <c r="B14" s="110">
        <f>'Tariffs 2023'!E7</f>
        <v>43646</v>
      </c>
      <c r="C14" s="111">
        <f>91*'Tariffs 2023'!H7/100</f>
        <v>125.58</v>
      </c>
      <c r="D14" s="111">
        <f>IF($C$5&gt;='Tariffs 2023'!J7,('Tariffs 2023'!J7*'Tariffs 2023'!O7/100),($C$5*'Tariffs 2023'!O7/100))</f>
        <v>89.502545454545455</v>
      </c>
      <c r="E14" s="111">
        <f>IF($C$5&lt;'Tariffs 2023'!J7,0,IF(($C$5-'Tariffs 2023'!J7)&lt;='Tariffs 2023'!K7,(($C$5-'Tariffs 2023'!J7)*'Tariffs 2023'!P7/100),(('Tariffs 2023'!K7-'Tariffs 2023'!J7)*'Tariffs 2023'!P7/100)))</f>
        <v>6.1490909090909085</v>
      </c>
      <c r="F14" s="111">
        <f>IF(($C$5&lt;'Tariffs 2023'!K7),(0),($C$5-'Tariffs 2023'!K7)*'Tariffs 2023'!Q7/100)</f>
        <v>0</v>
      </c>
      <c r="G14" s="111">
        <f t="shared" si="0"/>
        <v>221.23163636363637</v>
      </c>
      <c r="H14" s="112">
        <f t="shared" si="1"/>
        <v>884.92654545454548</v>
      </c>
      <c r="I14" s="113">
        <f t="shared" si="2"/>
        <v>973.41920000000005</v>
      </c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</row>
    <row r="15" spans="1:31" customFormat="1" x14ac:dyDescent="0.15">
      <c r="A15" s="191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</row>
    <row r="16" spans="1:31" customFormat="1" ht="14" thickBot="1" x14ac:dyDescent="0.2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</row>
    <row r="17" spans="1:31" ht="14" x14ac:dyDescent="0.15">
      <c r="A17" s="94" t="s">
        <v>8</v>
      </c>
      <c r="B17" s="95"/>
      <c r="C17" s="95"/>
      <c r="D17" s="95"/>
      <c r="E17" s="95"/>
      <c r="F17" s="95"/>
      <c r="G17" s="95"/>
      <c r="H17" s="102"/>
      <c r="I17" s="96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</row>
    <row r="18" spans="1:31" ht="30" x14ac:dyDescent="0.15">
      <c r="A18" s="151" t="s">
        <v>94</v>
      </c>
      <c r="B18" s="152" t="s">
        <v>61</v>
      </c>
      <c r="C18" s="153" t="s">
        <v>55</v>
      </c>
      <c r="D18" s="153" t="s">
        <v>2</v>
      </c>
      <c r="E18" s="154" t="s">
        <v>3</v>
      </c>
      <c r="F18" s="154" t="s">
        <v>4</v>
      </c>
      <c r="G18" s="154" t="s">
        <v>216</v>
      </c>
      <c r="H18" s="155" t="s">
        <v>5</v>
      </c>
      <c r="I18" s="156" t="s">
        <v>6</v>
      </c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</row>
    <row r="19" spans="1:31" x14ac:dyDescent="0.15">
      <c r="A19" s="104" t="str">
        <f>'Tariffs 2023'!F8</f>
        <v>AGL</v>
      </c>
      <c r="B19" s="105">
        <f>'Tariffs 2023'!E8</f>
        <v>43648</v>
      </c>
      <c r="C19" s="106">
        <f>91*'Tariffs 2023'!H8/100</f>
        <v>69.697727272727263</v>
      </c>
      <c r="D19" s="106">
        <f>C5*'Tariffs 2023'!O8/100</f>
        <v>140.90909090909091</v>
      </c>
      <c r="E19" s="106">
        <f>IF($C$5&lt;'Tariffs 2023'!J8,0,IF(($C$5-'Tariffs 2023'!J8)&lt;='Tariffs 2023'!K8,(($C$5-'Tariffs 2023'!J8)*'Tariffs 2023'!P8/100),(('Tariffs 2023'!K8-'Tariffs 2023'!J8)*'Tariffs 2023'!P8/100)))</f>
        <v>0</v>
      </c>
      <c r="F19" s="106">
        <f>IF(($C$5&lt;'Tariffs 2023'!K8),(0),($C$5-'Tariffs 2023'!K8)*'Tariffs 2023'!Q8/100)</f>
        <v>0</v>
      </c>
      <c r="G19" s="106">
        <f t="shared" ref="G19:G24" si="3">SUM(C19:F19)</f>
        <v>210.60681818181817</v>
      </c>
      <c r="H19" s="107">
        <f t="shared" ref="H19:H24" si="4">G19*4</f>
        <v>842.42727272727268</v>
      </c>
      <c r="I19" s="108">
        <f t="shared" ref="I19:I24" si="5">H19*1.1</f>
        <v>926.67000000000007</v>
      </c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</row>
    <row r="20" spans="1:31" x14ac:dyDescent="0.15">
      <c r="A20" s="104" t="str">
        <f>'Tariffs 2023'!F9</f>
        <v>Origin Energy</v>
      </c>
      <c r="B20" s="105">
        <f>'Tariffs 2023'!E9</f>
        <v>43646</v>
      </c>
      <c r="C20" s="106">
        <f>91*'Tariffs 2023'!H9/100</f>
        <v>69.59845454545453</v>
      </c>
      <c r="D20" s="106">
        <f>IF($C$5&gt;='Tariffs 2023'!J9,('Tariffs 2023'!J9*'Tariffs 2023'!O9/100),($C$5*'Tariffs 2023'!O9/100))</f>
        <v>51.202727272727273</v>
      </c>
      <c r="E20" s="106">
        <f>IF($C$5&lt;'Tariffs 2023'!J9,0,IF(($C$5-'Tariffs 2023'!J9)&lt;='Tariffs 2023'!K9,(($C$5-'Tariffs 2023'!J9)*'Tariffs 2023'!P9/100),(('Tariffs 2023'!K9-'Tariffs 2023'!J9)*'Tariffs 2023'!P9/100)))</f>
        <v>86.424363636363637</v>
      </c>
      <c r="F20" s="106">
        <f>IF(($C$5&lt;'Tariffs 2023'!K9),(0),($C$5-'Tariffs 2023'!K9)*'Tariffs 2023'!Q9/100)</f>
        <v>0.2198181818181818</v>
      </c>
      <c r="G20" s="106">
        <f t="shared" si="3"/>
        <v>207.44536363636362</v>
      </c>
      <c r="H20" s="107">
        <f t="shared" si="4"/>
        <v>829.78145454545449</v>
      </c>
      <c r="I20" s="108">
        <f t="shared" si="5"/>
        <v>912.75959999999998</v>
      </c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</row>
    <row r="21" spans="1:31" x14ac:dyDescent="0.15">
      <c r="A21" s="104" t="str">
        <f>'Tariffs 2023'!F10</f>
        <v>Alinta Energy</v>
      </c>
      <c r="B21" s="105">
        <f>'Tariffs 2023'!E10</f>
        <v>43646</v>
      </c>
      <c r="C21" s="106">
        <f>91*'Tariffs 2023'!H10/100</f>
        <v>65.933636363636367</v>
      </c>
      <c r="D21" s="106">
        <f>C5*'Tariffs 2023'!O10/100</f>
        <v>169.77272727272725</v>
      </c>
      <c r="E21" s="106">
        <f>IF($C$5&lt;'Tariffs 2023'!J10,0,IF(($C$5-'Tariffs 2023'!J10)&lt;='Tariffs 2023'!K10,(($C$5-'Tariffs 2023'!J10)*'Tariffs 2023'!P10/100),(('Tariffs 2023'!K10-'Tariffs 2023'!J10)*'Tariffs 2023'!P10/100)))</f>
        <v>0</v>
      </c>
      <c r="F21" s="106">
        <f>IF(($C$5&lt;'Tariffs 2023'!K10),(0),($C$5-'Tariffs 2023'!K10)*'Tariffs 2023'!Q10/100)</f>
        <v>0</v>
      </c>
      <c r="G21" s="106">
        <f t="shared" si="3"/>
        <v>235.70636363636362</v>
      </c>
      <c r="H21" s="107">
        <f t="shared" si="4"/>
        <v>942.82545454545448</v>
      </c>
      <c r="I21" s="108">
        <f t="shared" si="5"/>
        <v>1037.1079999999999</v>
      </c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</row>
    <row r="22" spans="1:31" x14ac:dyDescent="0.15">
      <c r="A22" s="104" t="str">
        <f>'Tariffs 2023'!F11</f>
        <v>CovaU</v>
      </c>
      <c r="B22" s="105">
        <f>'Tariffs 2023'!E11</f>
        <v>43484</v>
      </c>
      <c r="C22" s="106">
        <f>91*'Tariffs 2023'!H11/100</f>
        <v>69.846636363636364</v>
      </c>
      <c r="D22" s="106">
        <f>IF($C$5&gt;='Tariffs 2023'!J11,('Tariffs 2023'!J11*'Tariffs 2023'!O11/100),($C$5*'Tariffs 2023'!O11/100))</f>
        <v>57.848909090909082</v>
      </c>
      <c r="E22" s="106">
        <f>IF($C$5&lt;'Tariffs 2023'!J11,0,IF(($C$5-'Tariffs 2023'!J11)&lt;='Tariffs 2023'!K11,(($C$5-'Tariffs 2023'!J11)*'Tariffs 2023'!P11/100),(('Tariffs 2023'!K11-'Tariffs 2023'!J11)*'Tariffs 2023'!P11/100)))</f>
        <v>105.87781818181817</v>
      </c>
      <c r="F22" s="106">
        <f>IF(($C$5&lt;'Tariffs 2023'!K11),(0),($C$5-'Tariffs 2023'!K11)*'Tariffs 2023'!Q11/100)</f>
        <v>0.29127272727272724</v>
      </c>
      <c r="G22" s="106">
        <f t="shared" si="3"/>
        <v>233.86463636363638</v>
      </c>
      <c r="H22" s="107">
        <f t="shared" si="4"/>
        <v>935.45854545454551</v>
      </c>
      <c r="I22" s="108">
        <f t="shared" si="5"/>
        <v>1029.0044000000003</v>
      </c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</row>
    <row r="23" spans="1:31" x14ac:dyDescent="0.15">
      <c r="A23" s="104" t="str">
        <f>'Tariffs 2023'!F12</f>
        <v>GloBird Energy</v>
      </c>
      <c r="B23" s="105">
        <f>'Tariffs 2023'!E12</f>
        <v>43646</v>
      </c>
      <c r="C23" s="106">
        <f>91*'Tariffs 2023'!H12/100</f>
        <v>77.349999999999994</v>
      </c>
      <c r="D23" s="106">
        <f>IF($C$5&gt;='Tariffs 2023'!J12,('Tariffs 2023'!J12*'Tariffs 2023'!O12/100),($C$5*'Tariffs 2023'!O12/100))</f>
        <v>72.459000000000003</v>
      </c>
      <c r="E23" s="106">
        <v>0</v>
      </c>
      <c r="F23" s="106">
        <f>IF(($C$5&lt;'Tariffs 2023'!J12),(0),($C$5-'Tariffs 2023'!J12)*'Tariffs 2023'!P12/100)</f>
        <v>154.26399999999998</v>
      </c>
      <c r="G23" s="106">
        <f t="shared" si="3"/>
        <v>304.07299999999998</v>
      </c>
      <c r="H23" s="107">
        <f t="shared" si="4"/>
        <v>1216.2919999999999</v>
      </c>
      <c r="I23" s="108">
        <f t="shared" si="5"/>
        <v>1337.9212</v>
      </c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</row>
    <row r="24" spans="1:31" ht="14" thickBot="1" x14ac:dyDescent="0.2">
      <c r="A24" s="109" t="str">
        <f>'Tariffs 2023'!F13</f>
        <v>Red Energy</v>
      </c>
      <c r="B24" s="110">
        <f>'Tariffs 2023'!E13</f>
        <v>43646</v>
      </c>
      <c r="C24" s="111">
        <f>91*'Tariffs 2023'!H13/100</f>
        <v>89.634999999999977</v>
      </c>
      <c r="D24" s="111">
        <f>IF($C$5&gt;='Tariffs 2023'!J13,('Tariffs 2023'!J13*'Tariffs 2023'!O13/100),($C$5*'Tariffs 2023'!O13/100))</f>
        <v>46.862363636363632</v>
      </c>
      <c r="E24" s="111">
        <f>IF($C$5&lt;'Tariffs 2023'!J13,0,IF(($C$5-'Tariffs 2023'!J13)&lt;='Tariffs 2023'!K13,(($C$5-'Tariffs 2023'!J13)*'Tariffs 2023'!P13/100),(('Tariffs 2023'!K13-'Tariffs 2023'!J13)*'Tariffs 2023'!P13/100)))</f>
        <v>78.132727272727266</v>
      </c>
      <c r="F24" s="111">
        <f>IF(($C$5&lt;'Tariffs 2023'!K13),(0),($C$5-'Tariffs 2023'!K13)*'Tariffs 2023'!Q13/100)</f>
        <v>0.17127272727272724</v>
      </c>
      <c r="G24" s="111">
        <f t="shared" si="3"/>
        <v>214.80136363636362</v>
      </c>
      <c r="H24" s="112">
        <f t="shared" si="4"/>
        <v>859.20545454545447</v>
      </c>
      <c r="I24" s="113">
        <f t="shared" si="5"/>
        <v>945.12599999999998</v>
      </c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</row>
    <row r="25" spans="1:31" customFormat="1" x14ac:dyDescent="0.15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</row>
    <row r="26" spans="1:31" customFormat="1" ht="14" thickBot="1" x14ac:dyDescent="0.2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</row>
    <row r="27" spans="1:31" ht="14" x14ac:dyDescent="0.15">
      <c r="A27" s="94" t="s">
        <v>59</v>
      </c>
      <c r="B27" s="95"/>
      <c r="C27" s="95"/>
      <c r="D27" s="95"/>
      <c r="E27" s="95"/>
      <c r="F27" s="95"/>
      <c r="G27" s="95"/>
      <c r="H27" s="102"/>
      <c r="I27" s="96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</row>
    <row r="28" spans="1:31" ht="30" x14ac:dyDescent="0.15">
      <c r="A28" s="151" t="s">
        <v>94</v>
      </c>
      <c r="B28" s="152" t="s">
        <v>61</v>
      </c>
      <c r="C28" s="153" t="s">
        <v>55</v>
      </c>
      <c r="D28" s="153" t="s">
        <v>2</v>
      </c>
      <c r="E28" s="154" t="s">
        <v>3</v>
      </c>
      <c r="F28" s="154" t="s">
        <v>4</v>
      </c>
      <c r="G28" s="154" t="s">
        <v>216</v>
      </c>
      <c r="H28" s="155" t="s">
        <v>5</v>
      </c>
      <c r="I28" s="156" t="s">
        <v>6</v>
      </c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</row>
    <row r="29" spans="1:31" ht="14" thickBot="1" x14ac:dyDescent="0.2">
      <c r="A29" s="109" t="str">
        <f>'Tariffs 2023'!F14</f>
        <v>Origin Energy</v>
      </c>
      <c r="B29" s="110">
        <f>'Tariffs 2023'!E14</f>
        <v>43646</v>
      </c>
      <c r="C29" s="111">
        <f>91*'Tariffs 2023'!H14/100</f>
        <v>71.716272727272724</v>
      </c>
      <c r="D29" s="111">
        <f>IF($C$5&gt;='Tariffs 2023'!J14,('Tariffs 2023'!J14*'Tariffs 2023'!O14/100),($C$5*'Tariffs 2023'!O14/100))</f>
        <v>54.457999999999991</v>
      </c>
      <c r="E29" s="111">
        <f>IF($C$5&lt;'Tariffs 2023'!J14,0,IF(($C$5-'Tariffs 2023'!J14)&lt;='Tariffs 2023'!K14,(($C$5-'Tariffs 2023'!J14)*'Tariffs 2023'!P14/100),(('Tariffs 2023'!K14-'Tariffs 2023'!J14)*'Tariffs 2023'!P14/100)))</f>
        <v>87.85945454545454</v>
      </c>
      <c r="F29" s="111">
        <f>IF(($C$5&lt;'Tariffs 2023'!K14),(0),($C$5-'Tariffs 2023'!K14)*'Tariffs 2023'!Q14/100)</f>
        <v>0.20236363636363636</v>
      </c>
      <c r="G29" s="111">
        <f>SUM(C29:F29)</f>
        <v>214.2360909090909</v>
      </c>
      <c r="H29" s="112">
        <f>G29*4</f>
        <v>856.94436363636362</v>
      </c>
      <c r="I29" s="113">
        <f>H29*1.1</f>
        <v>942.63880000000006</v>
      </c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</row>
    <row r="30" spans="1:31" customFormat="1" x14ac:dyDescent="0.15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</row>
    <row r="31" spans="1:31" customFormat="1" ht="14" thickBot="1" x14ac:dyDescent="0.2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</row>
    <row r="32" spans="1:31" ht="14" x14ac:dyDescent="0.15">
      <c r="A32" s="94" t="s">
        <v>60</v>
      </c>
      <c r="B32" s="95"/>
      <c r="C32" s="95"/>
      <c r="D32" s="95"/>
      <c r="E32" s="95"/>
      <c r="F32" s="95"/>
      <c r="G32" s="95"/>
      <c r="H32" s="102"/>
      <c r="I32" s="96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</row>
    <row r="33" spans="1:31" ht="30" x14ac:dyDescent="0.15">
      <c r="A33" s="151" t="s">
        <v>94</v>
      </c>
      <c r="B33" s="152" t="s">
        <v>61</v>
      </c>
      <c r="C33" s="153" t="s">
        <v>55</v>
      </c>
      <c r="D33" s="153" t="s">
        <v>2</v>
      </c>
      <c r="E33" s="154" t="s">
        <v>3</v>
      </c>
      <c r="F33" s="154" t="s">
        <v>4</v>
      </c>
      <c r="G33" s="154" t="s">
        <v>216</v>
      </c>
      <c r="H33" s="155" t="s">
        <v>5</v>
      </c>
      <c r="I33" s="156" t="s">
        <v>6</v>
      </c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</row>
    <row r="34" spans="1:31" ht="14" thickBot="1" x14ac:dyDescent="0.2">
      <c r="A34" s="109" t="str">
        <f>'Tariffs 2023'!F15</f>
        <v>Origin Energy</v>
      </c>
      <c r="B34" s="110">
        <f>'Tariffs 2023'!E15</f>
        <v>43646</v>
      </c>
      <c r="C34" s="114">
        <f>91*'Tariffs 2023'!H15/100</f>
        <v>28.971090909090908</v>
      </c>
      <c r="D34" s="114">
        <f>IF($C$5&gt;='Tariffs 2023'!J15,('Tariffs 2023'!J15*'Tariffs 2023'!O15/100),($C$5*'Tariffs 2023'!O15/100))</f>
        <v>107.95454545454544</v>
      </c>
      <c r="E34" s="114">
        <v>0</v>
      </c>
      <c r="F34" s="114">
        <f>IF(($C$5&lt;'Tariffs 2023'!J15),(0),($C$5-'Tariffs 2023'!J15)*'Tariffs 2023'!P15/100)</f>
        <v>0</v>
      </c>
      <c r="G34" s="111">
        <f>SUM(C34:F34)</f>
        <v>136.92563636363636</v>
      </c>
      <c r="H34" s="112">
        <f>G34*4</f>
        <v>547.70254545454543</v>
      </c>
      <c r="I34" s="113">
        <f>H34*1.1</f>
        <v>602.47280000000001</v>
      </c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</row>
    <row r="35" spans="1:31" customFormat="1" x14ac:dyDescent="0.15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</row>
    <row r="36" spans="1:31" customFormat="1" x14ac:dyDescent="0.15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</row>
    <row r="37" spans="1:31" customFormat="1" x14ac:dyDescent="0.15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</row>
    <row r="38" spans="1:31" customFormat="1" x14ac:dyDescent="0.15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</row>
    <row r="39" spans="1:31" customFormat="1" x14ac:dyDescent="0.15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</row>
    <row r="40" spans="1:31" customFormat="1" x14ac:dyDescent="0.15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</row>
    <row r="41" spans="1:31" customFormat="1" x14ac:dyDescent="0.15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</row>
    <row r="42" spans="1:31" customFormat="1" x14ac:dyDescent="0.15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</row>
    <row r="43" spans="1:31" customFormat="1" x14ac:dyDescent="0.15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</row>
    <row r="44" spans="1:31" customFormat="1" x14ac:dyDescent="0.15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</row>
    <row r="45" spans="1:31" customFormat="1" x14ac:dyDescent="0.15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</row>
    <row r="46" spans="1:31" customFormat="1" x14ac:dyDescent="0.15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</row>
    <row r="47" spans="1:31" customFormat="1" x14ac:dyDescent="0.15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</row>
    <row r="48" spans="1:31" customFormat="1" x14ac:dyDescent="0.15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</row>
    <row r="49" spans="1:31" customFormat="1" x14ac:dyDescent="0.15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</row>
    <row r="50" spans="1:31" customFormat="1" x14ac:dyDescent="0.15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</row>
    <row r="51" spans="1:31" customFormat="1" x14ac:dyDescent="0.15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</row>
    <row r="52" spans="1:31" customFormat="1" x14ac:dyDescent="0.15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</row>
    <row r="53" spans="1:31" customFormat="1" x14ac:dyDescent="0.15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</row>
    <row r="54" spans="1:31" customFormat="1" x14ac:dyDescent="0.15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</row>
    <row r="55" spans="1:31" customFormat="1" x14ac:dyDescent="0.15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</row>
    <row r="56" spans="1:31" customFormat="1" x14ac:dyDescent="0.15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</row>
    <row r="57" spans="1:31" customFormat="1" x14ac:dyDescent="0.15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</row>
    <row r="58" spans="1:31" customFormat="1" x14ac:dyDescent="0.15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</row>
    <row r="59" spans="1:31" customFormat="1" x14ac:dyDescent="0.15">
      <c r="A59" s="191"/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</row>
    <row r="60" spans="1:31" customFormat="1" x14ac:dyDescent="0.15">
      <c r="A60" s="191"/>
      <c r="B60" s="191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</row>
    <row r="61" spans="1:31" customFormat="1" x14ac:dyDescent="0.15">
      <c r="A61" s="191"/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</row>
    <row r="62" spans="1:31" customFormat="1" x14ac:dyDescent="0.15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</row>
    <row r="63" spans="1:31" customFormat="1" x14ac:dyDescent="0.15">
      <c r="A63" s="191"/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</row>
    <row r="64" spans="1:31" customFormat="1" x14ac:dyDescent="0.15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</row>
    <row r="65" spans="1:31" customFormat="1" x14ac:dyDescent="0.15">
      <c r="A65" s="191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</row>
    <row r="66" spans="1:31" customFormat="1" x14ac:dyDescent="0.15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</row>
    <row r="67" spans="1:31" customFormat="1" x14ac:dyDescent="0.15">
      <c r="A67" s="191"/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</row>
    <row r="68" spans="1:31" customFormat="1" x14ac:dyDescent="0.15">
      <c r="A68" s="191"/>
      <c r="B68" s="191"/>
      <c r="C68" s="191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</row>
    <row r="69" spans="1:31" customFormat="1" x14ac:dyDescent="0.15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</row>
    <row r="70" spans="1:31" customFormat="1" x14ac:dyDescent="0.15">
      <c r="A70" s="191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</row>
    <row r="71" spans="1:31" customFormat="1" x14ac:dyDescent="0.15">
      <c r="A71" s="191"/>
      <c r="B71" s="191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</row>
    <row r="72" spans="1:31" customFormat="1" x14ac:dyDescent="0.15">
      <c r="A72" s="191"/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</row>
    <row r="73" spans="1:31" customFormat="1" x14ac:dyDescent="0.15">
      <c r="A73" s="191"/>
      <c r="B73" s="191"/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</row>
    <row r="74" spans="1:31" customFormat="1" x14ac:dyDescent="0.15">
      <c r="A74" s="191"/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  <c r="AC74" s="191"/>
      <c r="AD74" s="191"/>
      <c r="AE74" s="191"/>
    </row>
    <row r="75" spans="1:31" customFormat="1" x14ac:dyDescent="0.15">
      <c r="A75" s="191"/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</row>
    <row r="76" spans="1:31" customFormat="1" x14ac:dyDescent="0.15">
      <c r="A76" s="191"/>
      <c r="B76" s="191"/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</row>
    <row r="77" spans="1:31" customFormat="1" x14ac:dyDescent="0.15">
      <c r="A77" s="191"/>
      <c r="B77" s="191"/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</row>
    <row r="78" spans="1:31" customFormat="1" x14ac:dyDescent="0.15">
      <c r="A78" s="191"/>
      <c r="B78" s="191"/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</row>
    <row r="79" spans="1:31" customFormat="1" x14ac:dyDescent="0.15">
      <c r="A79" s="191"/>
      <c r="B79" s="191"/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</row>
    <row r="80" spans="1:31" customFormat="1" x14ac:dyDescent="0.15">
      <c r="A80" s="191"/>
      <c r="B80" s="191"/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</row>
    <row r="81" spans="1:31" customFormat="1" x14ac:dyDescent="0.15">
      <c r="A81" s="191"/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</row>
    <row r="82" spans="1:31" customFormat="1" x14ac:dyDescent="0.15">
      <c r="A82" s="191"/>
      <c r="B82" s="191"/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</row>
    <row r="83" spans="1:31" customFormat="1" x14ac:dyDescent="0.15">
      <c r="A83" s="191"/>
      <c r="B83" s="191"/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</row>
    <row r="84" spans="1:31" customFormat="1" x14ac:dyDescent="0.15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</row>
    <row r="85" spans="1:31" customFormat="1" x14ac:dyDescent="0.15">
      <c r="A85" s="191"/>
      <c r="B85" s="191"/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</row>
    <row r="86" spans="1:31" customFormat="1" x14ac:dyDescent="0.15">
      <c r="A86" s="191"/>
      <c r="B86" s="191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</row>
    <row r="87" spans="1:31" customFormat="1" x14ac:dyDescent="0.15">
      <c r="A87" s="191"/>
      <c r="B87" s="191"/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</row>
    <row r="88" spans="1:31" customFormat="1" x14ac:dyDescent="0.15">
      <c r="A88" s="191"/>
      <c r="B88" s="191"/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</row>
    <row r="89" spans="1:31" customFormat="1" x14ac:dyDescent="0.15">
      <c r="A89" s="191"/>
      <c r="B89" s="191"/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</row>
    <row r="90" spans="1:31" customFormat="1" x14ac:dyDescent="0.15"/>
    <row r="91" spans="1:31" customFormat="1" x14ac:dyDescent="0.15"/>
    <row r="92" spans="1:31" customFormat="1" x14ac:dyDescent="0.15"/>
    <row r="93" spans="1:31" customFormat="1" x14ac:dyDescent="0.15"/>
    <row r="94" spans="1:31" customFormat="1" x14ac:dyDescent="0.15"/>
    <row r="95" spans="1:31" customFormat="1" x14ac:dyDescent="0.15"/>
    <row r="96" spans="1:31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</sheetData>
  <sheetProtection algorithmName="SHA-512" hashValue="LIPAD3Ti3N59dH1KLs1s1S+sIQAn5wEyyMV9yqRmRaPW7rRl4aM+gMJ/8VI8rE6lO3/Puiy9s76ClyrMILagUw==" saltValue="4mzuHuGysv2wEwLa7UsVUA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E21FD-FE14-7B4D-89CC-BD6D655DC8FB}">
  <sheetPr codeName="Sheet14"/>
  <dimension ref="A1:AK26"/>
  <sheetViews>
    <sheetView zoomScaleNormal="120" workbookViewId="0">
      <selection activeCell="A8" sqref="A8:XFD8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7" ht="42" x14ac:dyDescent="0.15">
      <c r="A1" s="67" t="s">
        <v>92</v>
      </c>
      <c r="B1" s="67" t="s">
        <v>93</v>
      </c>
      <c r="C1" s="68" t="s">
        <v>62</v>
      </c>
      <c r="D1" s="69" t="s">
        <v>63</v>
      </c>
      <c r="E1" s="67" t="s">
        <v>61</v>
      </c>
      <c r="F1" s="68" t="s">
        <v>94</v>
      </c>
      <c r="G1" s="69" t="s">
        <v>65</v>
      </c>
      <c r="H1" s="70" t="s">
        <v>95</v>
      </c>
      <c r="I1" s="71" t="s">
        <v>66</v>
      </c>
      <c r="J1" s="71" t="s">
        <v>67</v>
      </c>
      <c r="K1" s="71" t="s">
        <v>68</v>
      </c>
      <c r="L1" s="71" t="s">
        <v>69</v>
      </c>
      <c r="M1" s="71" t="s">
        <v>70</v>
      </c>
      <c r="N1" s="72" t="s">
        <v>17</v>
      </c>
      <c r="O1" s="73" t="s">
        <v>18</v>
      </c>
      <c r="P1" s="73" t="s">
        <v>19</v>
      </c>
      <c r="Q1" s="73" t="s">
        <v>20</v>
      </c>
      <c r="R1" s="73" t="s">
        <v>21</v>
      </c>
      <c r="S1" s="73" t="s">
        <v>22</v>
      </c>
      <c r="T1" s="74" t="s">
        <v>23</v>
      </c>
      <c r="U1" s="75" t="s">
        <v>24</v>
      </c>
      <c r="V1" s="75" t="s">
        <v>25</v>
      </c>
      <c r="W1" s="75" t="s">
        <v>26</v>
      </c>
      <c r="X1" s="75" t="s">
        <v>75</v>
      </c>
      <c r="Y1" s="75" t="s">
        <v>76</v>
      </c>
      <c r="Z1" s="76" t="s">
        <v>77</v>
      </c>
      <c r="AA1" s="77" t="s">
        <v>78</v>
      </c>
      <c r="AB1" s="77" t="s">
        <v>79</v>
      </c>
      <c r="AC1" s="77" t="s">
        <v>80</v>
      </c>
      <c r="AD1" s="77" t="s">
        <v>81</v>
      </c>
      <c r="AE1" s="77" t="s">
        <v>82</v>
      </c>
      <c r="AF1" s="78" t="s">
        <v>83</v>
      </c>
      <c r="AG1" s="79" t="s">
        <v>84</v>
      </c>
      <c r="AH1" s="79" t="s">
        <v>10</v>
      </c>
      <c r="AI1" s="79" t="s">
        <v>11</v>
      </c>
      <c r="AJ1" s="80" t="s">
        <v>85</v>
      </c>
      <c r="AK1" s="140" t="s">
        <v>174</v>
      </c>
    </row>
    <row r="2" spans="1:37" ht="15" x14ac:dyDescent="0.2">
      <c r="A2" s="81">
        <v>443</v>
      </c>
      <c r="B2" s="146">
        <v>42565</v>
      </c>
      <c r="C2" s="82" t="s">
        <v>185</v>
      </c>
      <c r="D2" s="83" t="s">
        <v>186</v>
      </c>
      <c r="E2" s="84">
        <v>42551</v>
      </c>
      <c r="F2" s="82" t="s">
        <v>187</v>
      </c>
      <c r="G2" s="83" t="s">
        <v>188</v>
      </c>
      <c r="H2" s="142">
        <v>114.88181818181818</v>
      </c>
      <c r="I2" s="85"/>
      <c r="J2" s="89"/>
      <c r="K2" s="89"/>
      <c r="L2" s="83"/>
      <c r="M2" s="83"/>
      <c r="N2" s="83"/>
      <c r="O2" s="142">
        <v>3.9363636363636361</v>
      </c>
      <c r="P2" s="142"/>
      <c r="Q2" s="142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7" t="s">
        <v>189</v>
      </c>
      <c r="AH2" s="87"/>
      <c r="AI2" s="87"/>
      <c r="AJ2" s="87"/>
      <c r="AK2" s="147" t="s">
        <v>190</v>
      </c>
    </row>
    <row r="3" spans="1:37" ht="15" x14ac:dyDescent="0.2">
      <c r="A3" s="81">
        <v>524</v>
      </c>
      <c r="B3" s="146">
        <v>42565</v>
      </c>
      <c r="C3" s="82" t="s">
        <v>185</v>
      </c>
      <c r="D3" s="83" t="s">
        <v>186</v>
      </c>
      <c r="E3" s="84">
        <v>42565</v>
      </c>
      <c r="F3" s="82" t="s">
        <v>191</v>
      </c>
      <c r="G3" s="83" t="s">
        <v>188</v>
      </c>
      <c r="H3" s="142">
        <v>108.18181818181817</v>
      </c>
      <c r="I3" s="85" t="s">
        <v>192</v>
      </c>
      <c r="J3" s="83">
        <v>2322</v>
      </c>
      <c r="K3" s="83"/>
      <c r="L3" s="83"/>
      <c r="M3" s="83"/>
      <c r="N3" s="83"/>
      <c r="O3" s="142">
        <v>3.1363636363636362</v>
      </c>
      <c r="P3" s="148">
        <v>2.9090909090909092</v>
      </c>
      <c r="Q3" s="142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7" t="s">
        <v>189</v>
      </c>
      <c r="AH3" s="87"/>
      <c r="AI3" s="87"/>
      <c r="AJ3" s="87"/>
      <c r="AK3" s="147" t="s">
        <v>193</v>
      </c>
    </row>
    <row r="4" spans="1:37" ht="15" x14ac:dyDescent="0.2">
      <c r="A4" s="81"/>
      <c r="B4" s="146">
        <v>42570</v>
      </c>
      <c r="C4" s="82" t="s">
        <v>185</v>
      </c>
      <c r="D4" s="83" t="s">
        <v>186</v>
      </c>
      <c r="E4" s="84">
        <v>42567</v>
      </c>
      <c r="F4" s="82" t="s">
        <v>194</v>
      </c>
      <c r="G4" s="83" t="s">
        <v>195</v>
      </c>
      <c r="H4" s="142">
        <v>103.72727272727272</v>
      </c>
      <c r="I4" s="85" t="s">
        <v>192</v>
      </c>
      <c r="J4" s="83">
        <v>2322</v>
      </c>
      <c r="K4" s="83"/>
      <c r="L4" s="83"/>
      <c r="M4" s="83"/>
      <c r="N4" s="83"/>
      <c r="O4" s="142">
        <v>3.0545454545454542</v>
      </c>
      <c r="P4" s="148">
        <v>2.8181818181818179</v>
      </c>
      <c r="Q4" s="142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7" t="s">
        <v>196</v>
      </c>
      <c r="AH4" s="87"/>
      <c r="AI4" s="87"/>
      <c r="AJ4" s="87"/>
      <c r="AK4" s="149" t="s">
        <v>197</v>
      </c>
    </row>
    <row r="5" spans="1:37" ht="15" x14ac:dyDescent="0.2">
      <c r="A5" s="81"/>
      <c r="B5" s="146">
        <v>42565</v>
      </c>
      <c r="C5" s="82" t="s">
        <v>185</v>
      </c>
      <c r="D5" s="83" t="s">
        <v>186</v>
      </c>
      <c r="E5" s="84">
        <v>42551</v>
      </c>
      <c r="F5" s="82" t="s">
        <v>198</v>
      </c>
      <c r="G5" s="83" t="s">
        <v>199</v>
      </c>
      <c r="H5" s="142">
        <v>104.99999999999999</v>
      </c>
      <c r="I5" s="85" t="s">
        <v>192</v>
      </c>
      <c r="J5" s="83">
        <v>2322</v>
      </c>
      <c r="K5" s="83">
        <v>4597</v>
      </c>
      <c r="L5" s="89">
        <v>154701</v>
      </c>
      <c r="M5" s="89">
        <v>910001</v>
      </c>
      <c r="N5" s="83"/>
      <c r="O5" s="142">
        <v>3.1999999999999997</v>
      </c>
      <c r="P5" s="148">
        <v>3.0545454545454542</v>
      </c>
      <c r="Q5" s="142">
        <v>2.8545454545454545</v>
      </c>
      <c r="R5" s="142">
        <v>2.5999999999999996</v>
      </c>
      <c r="S5" s="83">
        <v>2.1999999999999997</v>
      </c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7" t="s">
        <v>189</v>
      </c>
      <c r="AH5" s="87"/>
      <c r="AI5" s="87"/>
      <c r="AJ5" s="87"/>
      <c r="AK5" s="147" t="s">
        <v>200</v>
      </c>
    </row>
    <row r="6" spans="1:37" ht="15" x14ac:dyDescent="0.2">
      <c r="A6" s="81"/>
      <c r="B6" s="146">
        <v>42570</v>
      </c>
      <c r="C6" s="82" t="s">
        <v>185</v>
      </c>
      <c r="D6" s="83" t="s">
        <v>186</v>
      </c>
      <c r="E6" s="84">
        <v>42480</v>
      </c>
      <c r="F6" s="82" t="s">
        <v>201</v>
      </c>
      <c r="G6" s="83" t="s">
        <v>195</v>
      </c>
      <c r="H6" s="142">
        <v>150</v>
      </c>
      <c r="I6" s="85" t="s">
        <v>192</v>
      </c>
      <c r="J6" s="150">
        <v>748</v>
      </c>
      <c r="K6" s="89"/>
      <c r="L6" s="83"/>
      <c r="M6" s="83"/>
      <c r="N6" s="83"/>
      <c r="O6" s="142">
        <v>2.9999999999999996</v>
      </c>
      <c r="P6" s="148">
        <v>2.8</v>
      </c>
      <c r="Q6" s="142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7" t="s">
        <v>189</v>
      </c>
      <c r="AH6" s="87"/>
      <c r="AI6" s="87"/>
      <c r="AJ6" s="87"/>
      <c r="AK6" s="147" t="s">
        <v>202</v>
      </c>
    </row>
    <row r="7" spans="1:37" ht="15" x14ac:dyDescent="0.2">
      <c r="A7" s="81"/>
      <c r="B7" s="146">
        <v>42565</v>
      </c>
      <c r="C7" s="82" t="s">
        <v>185</v>
      </c>
      <c r="D7" s="83" t="s">
        <v>186</v>
      </c>
      <c r="E7" s="84">
        <v>42551</v>
      </c>
      <c r="F7" s="82" t="s">
        <v>203</v>
      </c>
      <c r="G7" s="83" t="s">
        <v>195</v>
      </c>
      <c r="H7" s="142">
        <v>121.99999999999999</v>
      </c>
      <c r="I7" s="85" t="s">
        <v>192</v>
      </c>
      <c r="J7" s="83">
        <v>2322</v>
      </c>
      <c r="K7" s="83">
        <v>4597</v>
      </c>
      <c r="L7" s="89">
        <v>154701</v>
      </c>
      <c r="M7" s="89">
        <v>910001</v>
      </c>
      <c r="N7" s="83"/>
      <c r="O7" s="142">
        <v>3.7</v>
      </c>
      <c r="P7" s="148">
        <v>3.4</v>
      </c>
      <c r="Q7" s="142">
        <v>2.9999999999999996</v>
      </c>
      <c r="R7" s="142">
        <v>2.7</v>
      </c>
      <c r="S7" s="83">
        <v>2.5</v>
      </c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7" t="s">
        <v>189</v>
      </c>
      <c r="AH7" s="87"/>
      <c r="AI7" s="87"/>
      <c r="AJ7" s="87"/>
      <c r="AK7" s="147" t="s">
        <v>204</v>
      </c>
    </row>
    <row r="8" spans="1:37" ht="15" x14ac:dyDescent="0.2">
      <c r="A8" s="81">
        <v>446</v>
      </c>
      <c r="B8" s="146">
        <v>42565</v>
      </c>
      <c r="C8" s="82" t="s">
        <v>185</v>
      </c>
      <c r="D8" s="83" t="s">
        <v>205</v>
      </c>
      <c r="E8" s="84">
        <v>42551</v>
      </c>
      <c r="F8" s="82" t="s">
        <v>187</v>
      </c>
      <c r="G8" s="83" t="s">
        <v>188</v>
      </c>
      <c r="H8" s="142">
        <v>72.454545454545453</v>
      </c>
      <c r="I8" s="85"/>
      <c r="J8" s="89"/>
      <c r="K8" s="89"/>
      <c r="L8" s="83"/>
      <c r="M8" s="83"/>
      <c r="N8" s="83"/>
      <c r="O8" s="142">
        <v>4.8636363636363633</v>
      </c>
      <c r="P8" s="148"/>
      <c r="Q8" s="142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7" t="s">
        <v>189</v>
      </c>
      <c r="AH8" s="87"/>
      <c r="AI8" s="87"/>
      <c r="AJ8" s="87"/>
      <c r="AK8" s="147" t="s">
        <v>206</v>
      </c>
    </row>
    <row r="9" spans="1:37" ht="15" x14ac:dyDescent="0.2">
      <c r="A9" s="81">
        <v>526</v>
      </c>
      <c r="B9" s="146">
        <v>42565</v>
      </c>
      <c r="C9" s="82" t="s">
        <v>185</v>
      </c>
      <c r="D9" s="83" t="s">
        <v>205</v>
      </c>
      <c r="E9" s="84">
        <v>42565</v>
      </c>
      <c r="F9" s="82" t="s">
        <v>191</v>
      </c>
      <c r="G9" s="83" t="s">
        <v>188</v>
      </c>
      <c r="H9" s="142">
        <v>70.454545454545453</v>
      </c>
      <c r="I9" s="85" t="s">
        <v>192</v>
      </c>
      <c r="J9" s="150">
        <v>746</v>
      </c>
      <c r="K9" s="89">
        <v>2494</v>
      </c>
      <c r="L9" s="83"/>
      <c r="M9" s="83"/>
      <c r="N9" s="83"/>
      <c r="O9" s="142">
        <v>5.5818181818181811</v>
      </c>
      <c r="P9" s="148">
        <v>3.9272727272727272</v>
      </c>
      <c r="Q9" s="142">
        <v>2.8181818181818179</v>
      </c>
      <c r="R9" s="150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7" t="s">
        <v>189</v>
      </c>
      <c r="AH9" s="87"/>
      <c r="AI9" s="87"/>
      <c r="AJ9" s="87"/>
      <c r="AK9" s="147" t="s">
        <v>207</v>
      </c>
    </row>
    <row r="10" spans="1:37" ht="15" x14ac:dyDescent="0.2">
      <c r="A10" s="81"/>
      <c r="B10" s="146">
        <v>42570</v>
      </c>
      <c r="C10" s="82" t="s">
        <v>185</v>
      </c>
      <c r="D10" s="83" t="s">
        <v>205</v>
      </c>
      <c r="E10" s="84">
        <v>42507</v>
      </c>
      <c r="F10" s="82" t="s">
        <v>194</v>
      </c>
      <c r="G10" s="83" t="s">
        <v>188</v>
      </c>
      <c r="H10" s="142">
        <v>59.999999999999993</v>
      </c>
      <c r="I10" s="85"/>
      <c r="J10" s="150"/>
      <c r="K10" s="89"/>
      <c r="L10" s="83"/>
      <c r="M10" s="83"/>
      <c r="N10" s="83"/>
      <c r="O10" s="142">
        <v>3.9909090909090903</v>
      </c>
      <c r="P10" s="148"/>
      <c r="Q10" s="148"/>
      <c r="R10" s="150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7" t="s">
        <v>196</v>
      </c>
      <c r="AH10" s="87"/>
      <c r="AI10" s="87"/>
      <c r="AJ10" s="87"/>
      <c r="AK10" s="149" t="s">
        <v>208</v>
      </c>
    </row>
    <row r="11" spans="1:37" ht="15" x14ac:dyDescent="0.2">
      <c r="A11" s="81"/>
      <c r="B11" s="146">
        <v>42565</v>
      </c>
      <c r="C11" s="82" t="s">
        <v>185</v>
      </c>
      <c r="D11" s="83" t="s">
        <v>205</v>
      </c>
      <c r="E11" s="84">
        <v>42551</v>
      </c>
      <c r="F11" s="82" t="s">
        <v>198</v>
      </c>
      <c r="G11" s="83" t="s">
        <v>188</v>
      </c>
      <c r="H11" s="142">
        <v>75</v>
      </c>
      <c r="I11" s="85" t="s">
        <v>192</v>
      </c>
      <c r="J11" s="89">
        <v>738</v>
      </c>
      <c r="K11" s="89">
        <v>1728</v>
      </c>
      <c r="L11" s="83"/>
      <c r="M11" s="83"/>
      <c r="N11" s="83"/>
      <c r="O11" s="142">
        <v>5.1999999999999993</v>
      </c>
      <c r="P11" s="148">
        <v>3.7</v>
      </c>
      <c r="Q11" s="142">
        <v>2.3545454545454541</v>
      </c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7" t="s">
        <v>189</v>
      </c>
      <c r="AH11" s="87"/>
      <c r="AI11" s="87"/>
      <c r="AJ11" s="87"/>
      <c r="AK11" s="147" t="s">
        <v>209</v>
      </c>
    </row>
    <row r="12" spans="1:37" ht="15" x14ac:dyDescent="0.2">
      <c r="A12" s="81"/>
      <c r="B12" s="146">
        <v>42565</v>
      </c>
      <c r="C12" s="82" t="s">
        <v>185</v>
      </c>
      <c r="D12" s="83" t="s">
        <v>205</v>
      </c>
      <c r="E12" s="84">
        <v>42482</v>
      </c>
      <c r="F12" s="82" t="s">
        <v>201</v>
      </c>
      <c r="G12" s="83" t="s">
        <v>188</v>
      </c>
      <c r="H12" s="142">
        <v>119.99999999999999</v>
      </c>
      <c r="I12" s="85" t="s">
        <v>192</v>
      </c>
      <c r="J12" s="150">
        <v>748</v>
      </c>
      <c r="K12" s="89"/>
      <c r="L12" s="83"/>
      <c r="M12" s="83"/>
      <c r="N12" s="83"/>
      <c r="O12" s="142">
        <v>5</v>
      </c>
      <c r="P12" s="148">
        <v>4</v>
      </c>
      <c r="Q12" s="142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7" t="s">
        <v>189</v>
      </c>
      <c r="AH12" s="87"/>
      <c r="AI12" s="87"/>
      <c r="AJ12" s="87"/>
      <c r="AK12" s="147" t="s">
        <v>210</v>
      </c>
    </row>
    <row r="13" spans="1:37" ht="15" x14ac:dyDescent="0.2">
      <c r="A13" s="81"/>
      <c r="B13" s="146">
        <v>42565</v>
      </c>
      <c r="C13" s="82" t="s">
        <v>185</v>
      </c>
      <c r="D13" s="83" t="s">
        <v>205</v>
      </c>
      <c r="E13" s="84">
        <v>42551</v>
      </c>
      <c r="F13" s="82" t="s">
        <v>203</v>
      </c>
      <c r="G13" s="83" t="s">
        <v>188</v>
      </c>
      <c r="H13" s="142">
        <v>82</v>
      </c>
      <c r="I13" s="85" t="s">
        <v>192</v>
      </c>
      <c r="J13" s="150">
        <v>746</v>
      </c>
      <c r="K13" s="89">
        <v>2494</v>
      </c>
      <c r="L13" s="83"/>
      <c r="M13" s="83"/>
      <c r="N13" s="83"/>
      <c r="O13" s="142">
        <v>6.2</v>
      </c>
      <c r="P13" s="148">
        <v>4.3999999999999995</v>
      </c>
      <c r="Q13" s="142">
        <v>2.8</v>
      </c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7" t="s">
        <v>189</v>
      </c>
      <c r="AH13" s="87"/>
      <c r="AI13" s="87"/>
      <c r="AJ13" s="87"/>
      <c r="AK13" s="147" t="s">
        <v>211</v>
      </c>
    </row>
    <row r="14" spans="1:37" ht="15" x14ac:dyDescent="0.2">
      <c r="A14" s="81">
        <v>528</v>
      </c>
      <c r="B14" s="146">
        <v>42565</v>
      </c>
      <c r="C14" s="82" t="s">
        <v>185</v>
      </c>
      <c r="D14" s="83" t="s">
        <v>212</v>
      </c>
      <c r="E14" s="84">
        <v>42565</v>
      </c>
      <c r="F14" s="82" t="s">
        <v>191</v>
      </c>
      <c r="G14" s="83" t="s">
        <v>188</v>
      </c>
      <c r="H14" s="142">
        <v>69.090909090909079</v>
      </c>
      <c r="I14" s="85" t="s">
        <v>192</v>
      </c>
      <c r="J14" s="150">
        <v>746</v>
      </c>
      <c r="K14" s="89">
        <v>2494</v>
      </c>
      <c r="L14" s="83"/>
      <c r="M14" s="83"/>
      <c r="N14" s="83"/>
      <c r="O14" s="142">
        <v>6.4545454545454541</v>
      </c>
      <c r="P14" s="148">
        <v>4.2727272727272725</v>
      </c>
      <c r="Q14" s="142">
        <v>2.545454545454545</v>
      </c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7" t="s">
        <v>189</v>
      </c>
      <c r="AH14" s="87"/>
      <c r="AI14" s="87"/>
      <c r="AJ14" s="87"/>
      <c r="AK14" s="147" t="s">
        <v>213</v>
      </c>
    </row>
    <row r="15" spans="1:37" ht="15" x14ac:dyDescent="0.2">
      <c r="A15" s="81">
        <v>530</v>
      </c>
      <c r="B15" s="146">
        <v>42565</v>
      </c>
      <c r="C15" s="82" t="s">
        <v>185</v>
      </c>
      <c r="D15" s="83" t="s">
        <v>214</v>
      </c>
      <c r="E15" s="84">
        <v>42565</v>
      </c>
      <c r="F15" s="82" t="s">
        <v>191</v>
      </c>
      <c r="G15" s="83" t="s">
        <v>188</v>
      </c>
      <c r="H15" s="142">
        <v>27.27272727272727</v>
      </c>
      <c r="I15" s="85" t="s">
        <v>192</v>
      </c>
      <c r="J15" s="150">
        <v>18200</v>
      </c>
      <c r="K15" s="83"/>
      <c r="L15" s="83"/>
      <c r="M15" s="83"/>
      <c r="N15" s="83"/>
      <c r="O15" s="142">
        <v>3.3636363636363633</v>
      </c>
      <c r="P15" s="148"/>
      <c r="Q15" s="142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7" t="s">
        <v>189</v>
      </c>
      <c r="AH15" s="87"/>
      <c r="AI15" s="87"/>
      <c r="AJ15" s="87"/>
      <c r="AK15" s="147" t="s">
        <v>215</v>
      </c>
    </row>
    <row r="17" spans="9:17" x14ac:dyDescent="0.15">
      <c r="O17" s="21"/>
    </row>
    <row r="18" spans="9:17" x14ac:dyDescent="0.15">
      <c r="J18" s="136"/>
      <c r="K18" s="136"/>
      <c r="O18" s="21"/>
      <c r="P18" s="21"/>
      <c r="Q18" s="21"/>
    </row>
    <row r="21" spans="9:17" x14ac:dyDescent="0.15">
      <c r="I21" s="21"/>
    </row>
    <row r="22" spans="9:17" x14ac:dyDescent="0.15">
      <c r="I22" s="21"/>
    </row>
    <row r="23" spans="9:17" x14ac:dyDescent="0.15">
      <c r="I23" s="21"/>
    </row>
    <row r="24" spans="9:17" x14ac:dyDescent="0.15">
      <c r="I24" s="21"/>
    </row>
    <row r="25" spans="9:17" x14ac:dyDescent="0.15">
      <c r="I25" s="21"/>
    </row>
    <row r="26" spans="9:17" x14ac:dyDescent="0.15">
      <c r="I26" s="21"/>
    </row>
  </sheetData>
  <sheetProtection algorithmName="SHA-512" hashValue="ItQTfcJ+4d6zztvrvHRKvHRrQbRh5yLzFoJ65xewiG0Db5VY0cpFRKeODtuOcPwyRm1YLWPG1bz8QGK4HmOVCQ==" saltValue="jL+3cu4rdl6MYfyiF6cMkw==" spinCount="100000" sheet="1" objects="1" scenarios="1"/>
  <hyperlinks>
    <hyperlink ref="AK2" r:id="rId1" xr:uid="{0710892E-CB06-484A-B413-5267EB75521A}"/>
    <hyperlink ref="AK3" r:id="rId2" xr:uid="{DCE97E8D-F803-434B-AB06-E231CAF9B5E3}"/>
    <hyperlink ref="AK4" r:id="rId3" xr:uid="{514D8D3A-72B2-7445-BB59-22489B94D62A}"/>
    <hyperlink ref="AK5" r:id="rId4" xr:uid="{5424A321-FC68-C048-93EE-B4C0D2EACEBA}"/>
    <hyperlink ref="AK6" r:id="rId5" xr:uid="{AFDFF70C-5584-E84C-A701-E16049E6B4F5}"/>
    <hyperlink ref="AK7" r:id="rId6" xr:uid="{2395198C-0E8B-6349-9CF8-E357FAF314F0}"/>
    <hyperlink ref="AK8" r:id="rId7" xr:uid="{CFD0E3C2-6605-C440-A7AB-ED83114A361C}"/>
    <hyperlink ref="AK9" r:id="rId8" xr:uid="{C659DB4F-9BC1-E14F-80D8-3B8686281E0E}"/>
    <hyperlink ref="AK11" r:id="rId9" xr:uid="{A8BFED77-E876-5B44-9F7B-3AFC95C3EA28}"/>
    <hyperlink ref="AK12" r:id="rId10" xr:uid="{5B191D0F-AA3D-CF48-B550-DA9BD1A42FAC}"/>
    <hyperlink ref="AK13" r:id="rId11" xr:uid="{E49FAC5E-1BBE-6B4F-B0B1-1A5E19447EF5}"/>
    <hyperlink ref="AK10" r:id="rId12" xr:uid="{6411342E-2EEA-8441-AF25-AEFDCD50A3DA}"/>
    <hyperlink ref="AK14" r:id="rId13" xr:uid="{B1753236-063E-D34E-B97F-AE166CAE3498}"/>
    <hyperlink ref="AK15" r:id="rId14" xr:uid="{065719E6-5BD8-5345-8698-28AA61712BA6}"/>
  </hyperlinks>
  <pageMargins left="0.75" right="0.75" top="1" bottom="1" header="0.5" footer="0.5"/>
  <legacyDrawing r:id="rId15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10551-6604-2A42-9D12-8F3F86D9D109}">
  <sheetPr codeName="Sheet15"/>
  <dimension ref="A1:AK18"/>
  <sheetViews>
    <sheetView topLeftCell="F1" zoomScale="200" zoomScaleNormal="120" workbookViewId="0">
      <selection activeCell="A8" sqref="A8:XFD8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7" ht="42" x14ac:dyDescent="0.15">
      <c r="A1" s="67" t="s">
        <v>92</v>
      </c>
      <c r="B1" s="67" t="s">
        <v>93</v>
      </c>
      <c r="C1" s="68" t="s">
        <v>62</v>
      </c>
      <c r="D1" s="69" t="s">
        <v>63</v>
      </c>
      <c r="E1" s="67" t="s">
        <v>61</v>
      </c>
      <c r="F1" s="68" t="s">
        <v>94</v>
      </c>
      <c r="G1" s="69" t="s">
        <v>65</v>
      </c>
      <c r="H1" s="70" t="s">
        <v>95</v>
      </c>
      <c r="I1" s="71" t="s">
        <v>66</v>
      </c>
      <c r="J1" s="71" t="s">
        <v>67</v>
      </c>
      <c r="K1" s="71" t="s">
        <v>68</v>
      </c>
      <c r="L1" s="71" t="s">
        <v>69</v>
      </c>
      <c r="M1" s="71" t="s">
        <v>70</v>
      </c>
      <c r="N1" s="72" t="s">
        <v>17</v>
      </c>
      <c r="O1" s="73" t="s">
        <v>18</v>
      </c>
      <c r="P1" s="73" t="s">
        <v>19</v>
      </c>
      <c r="Q1" s="73" t="s">
        <v>20</v>
      </c>
      <c r="R1" s="73" t="s">
        <v>21</v>
      </c>
      <c r="S1" s="73" t="s">
        <v>22</v>
      </c>
      <c r="T1" s="74" t="s">
        <v>23</v>
      </c>
      <c r="U1" s="75" t="s">
        <v>24</v>
      </c>
      <c r="V1" s="75" t="s">
        <v>25</v>
      </c>
      <c r="W1" s="75" t="s">
        <v>26</v>
      </c>
      <c r="X1" s="75" t="s">
        <v>75</v>
      </c>
      <c r="Y1" s="75" t="s">
        <v>76</v>
      </c>
      <c r="Z1" s="76" t="s">
        <v>77</v>
      </c>
      <c r="AA1" s="77" t="s">
        <v>78</v>
      </c>
      <c r="AB1" s="77" t="s">
        <v>79</v>
      </c>
      <c r="AC1" s="77" t="s">
        <v>80</v>
      </c>
      <c r="AD1" s="77" t="s">
        <v>81</v>
      </c>
      <c r="AE1" s="77" t="s">
        <v>82</v>
      </c>
      <c r="AF1" s="78" t="s">
        <v>83</v>
      </c>
      <c r="AG1" s="79" t="s">
        <v>84</v>
      </c>
      <c r="AH1" s="79" t="s">
        <v>10</v>
      </c>
      <c r="AI1" s="79" t="s">
        <v>11</v>
      </c>
      <c r="AJ1" s="80" t="s">
        <v>85</v>
      </c>
      <c r="AK1" s="140" t="s">
        <v>174</v>
      </c>
    </row>
    <row r="2" spans="1:37" x14ac:dyDescent="0.15">
      <c r="A2" s="81">
        <v>443</v>
      </c>
      <c r="B2" s="84">
        <v>42242</v>
      </c>
      <c r="C2" s="82" t="s">
        <v>33</v>
      </c>
      <c r="D2" s="83" t="s">
        <v>34</v>
      </c>
      <c r="E2" s="84">
        <v>42187</v>
      </c>
      <c r="F2" s="82" t="s">
        <v>35</v>
      </c>
      <c r="G2" s="83" t="s">
        <v>38</v>
      </c>
      <c r="H2" s="142">
        <v>114.88181818181818</v>
      </c>
      <c r="I2" s="85"/>
      <c r="J2" s="89"/>
      <c r="K2" s="89"/>
      <c r="L2" s="83"/>
      <c r="M2" s="83"/>
      <c r="N2" s="83"/>
      <c r="O2" s="142">
        <v>3.9363636363636361</v>
      </c>
      <c r="P2" s="142"/>
      <c r="Q2" s="142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7" t="s">
        <v>37</v>
      </c>
      <c r="AH2" s="87"/>
      <c r="AI2" s="87"/>
      <c r="AJ2" s="87"/>
      <c r="AK2" s="141" t="s">
        <v>173</v>
      </c>
    </row>
    <row r="3" spans="1:37" x14ac:dyDescent="0.15">
      <c r="A3" s="81">
        <v>524</v>
      </c>
      <c r="B3" s="84">
        <v>42242</v>
      </c>
      <c r="C3" s="82" t="s">
        <v>149</v>
      </c>
      <c r="D3" s="83" t="s">
        <v>150</v>
      </c>
      <c r="E3" s="84">
        <v>42192</v>
      </c>
      <c r="F3" s="82" t="s">
        <v>41</v>
      </c>
      <c r="G3" s="83" t="s">
        <v>38</v>
      </c>
      <c r="H3" s="142">
        <v>108.32727272727271</v>
      </c>
      <c r="I3" s="85" t="s">
        <v>155</v>
      </c>
      <c r="J3" s="83">
        <v>2322</v>
      </c>
      <c r="K3" s="83"/>
      <c r="L3" s="83"/>
      <c r="M3" s="83"/>
      <c r="N3" s="83"/>
      <c r="O3" s="142">
        <v>3.1454545454545451</v>
      </c>
      <c r="P3" s="144">
        <v>2.91</v>
      </c>
      <c r="Q3" s="142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7" t="s">
        <v>37</v>
      </c>
      <c r="AH3" s="87"/>
      <c r="AI3" s="87"/>
      <c r="AJ3" s="87"/>
      <c r="AK3" s="141" t="s">
        <v>176</v>
      </c>
    </row>
    <row r="4" spans="1:37" x14ac:dyDescent="0.15">
      <c r="A4" s="81">
        <v>446</v>
      </c>
      <c r="B4" s="84">
        <v>42242</v>
      </c>
      <c r="C4" s="82" t="s">
        <v>33</v>
      </c>
      <c r="D4" s="83" t="s">
        <v>43</v>
      </c>
      <c r="E4" s="84">
        <v>42187</v>
      </c>
      <c r="F4" s="82" t="s">
        <v>35</v>
      </c>
      <c r="G4" s="83" t="s">
        <v>38</v>
      </c>
      <c r="H4" s="142">
        <v>72.454545454545453</v>
      </c>
      <c r="I4" s="85"/>
      <c r="J4" s="89"/>
      <c r="K4" s="89"/>
      <c r="L4" s="83"/>
      <c r="M4" s="83"/>
      <c r="N4" s="83"/>
      <c r="O4" s="142">
        <v>4.8636363636363633</v>
      </c>
      <c r="P4" s="142"/>
      <c r="Q4" s="142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7" t="s">
        <v>37</v>
      </c>
      <c r="AH4" s="87"/>
      <c r="AI4" s="87"/>
      <c r="AJ4" s="87"/>
      <c r="AK4" s="141" t="s">
        <v>175</v>
      </c>
    </row>
    <row r="5" spans="1:37" x14ac:dyDescent="0.15">
      <c r="A5" s="81">
        <v>526</v>
      </c>
      <c r="B5" s="84">
        <v>42242</v>
      </c>
      <c r="C5" s="82" t="s">
        <v>149</v>
      </c>
      <c r="D5" s="83" t="s">
        <v>151</v>
      </c>
      <c r="E5" s="84">
        <v>42192</v>
      </c>
      <c r="F5" s="82" t="s">
        <v>152</v>
      </c>
      <c r="G5" s="83" t="s">
        <v>38</v>
      </c>
      <c r="H5" s="142">
        <v>70.481818181818184</v>
      </c>
      <c r="I5" s="85" t="s">
        <v>155</v>
      </c>
      <c r="J5" s="139">
        <v>746</v>
      </c>
      <c r="K5" s="89">
        <v>2494</v>
      </c>
      <c r="L5" s="83"/>
      <c r="M5" s="83"/>
      <c r="N5" s="83"/>
      <c r="O5" s="144">
        <v>5.5909090909090908</v>
      </c>
      <c r="P5" s="144">
        <v>3.9545454545454537</v>
      </c>
      <c r="Q5" s="144">
        <v>2.8363636363636364</v>
      </c>
      <c r="R5" s="14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7" t="s">
        <v>37</v>
      </c>
      <c r="AH5" s="87"/>
      <c r="AI5" s="87"/>
      <c r="AJ5" s="87"/>
      <c r="AK5" s="141" t="s">
        <v>177</v>
      </c>
    </row>
    <row r="6" spans="1:37" x14ac:dyDescent="0.15">
      <c r="A6" s="81">
        <v>528</v>
      </c>
      <c r="B6" s="84">
        <v>42242</v>
      </c>
      <c r="C6" s="82" t="s">
        <v>149</v>
      </c>
      <c r="D6" s="83" t="s">
        <v>153</v>
      </c>
      <c r="E6" s="84">
        <v>42192</v>
      </c>
      <c r="F6" s="82" t="s">
        <v>152</v>
      </c>
      <c r="G6" s="83" t="s">
        <v>38</v>
      </c>
      <c r="H6" s="142">
        <v>69.436363636363623</v>
      </c>
      <c r="I6" s="85" t="s">
        <v>155</v>
      </c>
      <c r="J6" s="139">
        <v>746</v>
      </c>
      <c r="K6" s="89">
        <v>2494</v>
      </c>
      <c r="L6" s="83"/>
      <c r="M6" s="83"/>
      <c r="N6" s="83"/>
      <c r="O6" s="142">
        <v>6.4545454545454541</v>
      </c>
      <c r="P6" s="144">
        <v>4.32</v>
      </c>
      <c r="Q6" s="144">
        <v>2.63</v>
      </c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7" t="s">
        <v>37</v>
      </c>
      <c r="AH6" s="87"/>
      <c r="AI6" s="87"/>
      <c r="AJ6" s="87"/>
      <c r="AK6" s="141" t="s">
        <v>178</v>
      </c>
    </row>
    <row r="7" spans="1:37" x14ac:dyDescent="0.15">
      <c r="A7" s="81">
        <v>530</v>
      </c>
      <c r="B7" s="84">
        <v>42242</v>
      </c>
      <c r="C7" s="82" t="s">
        <v>149</v>
      </c>
      <c r="D7" s="83" t="s">
        <v>154</v>
      </c>
      <c r="E7" s="84">
        <v>42192</v>
      </c>
      <c r="F7" s="82" t="s">
        <v>152</v>
      </c>
      <c r="G7" s="83" t="s">
        <v>38</v>
      </c>
      <c r="H7" s="142">
        <v>27.390909090909087</v>
      </c>
      <c r="I7" s="85" t="s">
        <v>155</v>
      </c>
      <c r="J7" s="139">
        <v>18200</v>
      </c>
      <c r="K7" s="83"/>
      <c r="L7" s="83"/>
      <c r="M7" s="83"/>
      <c r="N7" s="83"/>
      <c r="O7" s="142">
        <v>3.4545454545454541</v>
      </c>
      <c r="P7" s="144">
        <v>3.1</v>
      </c>
      <c r="Q7" s="142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7" t="s">
        <v>37</v>
      </c>
      <c r="AH7" s="87"/>
      <c r="AI7" s="87"/>
      <c r="AJ7" s="87"/>
      <c r="AK7" s="141" t="s">
        <v>179</v>
      </c>
    </row>
    <row r="9" spans="1:37" x14ac:dyDescent="0.15">
      <c r="O9" s="21"/>
    </row>
    <row r="10" spans="1:37" x14ac:dyDescent="0.15">
      <c r="J10" s="136"/>
      <c r="K10" s="136"/>
      <c r="O10" s="21"/>
      <c r="P10" s="21"/>
      <c r="Q10" s="21"/>
    </row>
    <row r="13" spans="1:37" x14ac:dyDescent="0.15">
      <c r="I13" s="21"/>
    </row>
    <row r="14" spans="1:37" x14ac:dyDescent="0.15">
      <c r="I14" s="21"/>
    </row>
    <row r="15" spans="1:37" x14ac:dyDescent="0.15">
      <c r="I15" s="21"/>
    </row>
    <row r="16" spans="1:37" x14ac:dyDescent="0.15">
      <c r="I16" s="21"/>
    </row>
    <row r="17" spans="9:9" x14ac:dyDescent="0.15">
      <c r="I17" s="21"/>
    </row>
    <row r="18" spans="9:9" x14ac:dyDescent="0.15">
      <c r="I18" s="21"/>
    </row>
  </sheetData>
  <sheetProtection algorithmName="SHA-512" hashValue="m7ftsVeXeuDGVO3L5lTTTmuRSVD3fQn3pBh7BQgv5Vw/owBSbnVQS0gSBoVZOysbBTteec0io2hegymiEysH3A==" saltValue="s7rmKMUuPGd8lYWoBW/xrg==" spinCount="100000" sheet="1" objects="1" scenarios="1"/>
  <hyperlinks>
    <hyperlink ref="AK2" r:id="rId1" xr:uid="{C5B65AAB-8909-A74B-815E-E04DA0C87DDC}"/>
    <hyperlink ref="AK4" r:id="rId2" xr:uid="{C6233DCF-8E0F-294D-828F-F0C6F3259A1F}"/>
    <hyperlink ref="AK3" r:id="rId3" xr:uid="{E20839DC-6426-5D45-8CCB-9345127EDFBA}"/>
    <hyperlink ref="AK5" r:id="rId4" xr:uid="{7A921271-8D33-3843-B60F-129A1FFF3752}"/>
    <hyperlink ref="AK6" r:id="rId5" xr:uid="{032A1AD0-6C00-E64A-AFAE-8B9B98FB9CDD}"/>
    <hyperlink ref="AK7" r:id="rId6" xr:uid="{6E92F0F7-E061-F645-AD9C-5BE9D30AFF4A}"/>
  </hyperlinks>
  <pageMargins left="0.75" right="0.75" top="1" bottom="1" header="0.5" footer="0.5"/>
  <legacy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B5D49-B6E7-A44F-82CF-245F007D9207}">
  <sheetPr codeName="Sheet16"/>
  <dimension ref="A1:AJ7"/>
  <sheetViews>
    <sheetView zoomScale="120" zoomScaleNormal="120" workbookViewId="0">
      <selection activeCell="K7" sqref="K7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6" ht="42" x14ac:dyDescent="0.15">
      <c r="A1" s="67" t="s">
        <v>92</v>
      </c>
      <c r="B1" s="67" t="s">
        <v>93</v>
      </c>
      <c r="C1" s="68" t="s">
        <v>62</v>
      </c>
      <c r="D1" s="69" t="s">
        <v>63</v>
      </c>
      <c r="E1" s="67" t="s">
        <v>61</v>
      </c>
      <c r="F1" s="68" t="s">
        <v>94</v>
      </c>
      <c r="G1" s="69" t="s">
        <v>65</v>
      </c>
      <c r="H1" s="70" t="s">
        <v>95</v>
      </c>
      <c r="I1" s="71" t="s">
        <v>66</v>
      </c>
      <c r="J1" s="71" t="s">
        <v>67</v>
      </c>
      <c r="K1" s="71" t="s">
        <v>68</v>
      </c>
      <c r="L1" s="71" t="s">
        <v>69</v>
      </c>
      <c r="M1" s="71" t="s">
        <v>70</v>
      </c>
      <c r="N1" s="72" t="s">
        <v>17</v>
      </c>
      <c r="O1" s="73" t="s">
        <v>18</v>
      </c>
      <c r="P1" s="73" t="s">
        <v>19</v>
      </c>
      <c r="Q1" s="73" t="s">
        <v>20</v>
      </c>
      <c r="R1" s="73" t="s">
        <v>21</v>
      </c>
      <c r="S1" s="73" t="s">
        <v>22</v>
      </c>
      <c r="T1" s="74" t="s">
        <v>23</v>
      </c>
      <c r="U1" s="75" t="s">
        <v>24</v>
      </c>
      <c r="V1" s="75" t="s">
        <v>25</v>
      </c>
      <c r="W1" s="75" t="s">
        <v>26</v>
      </c>
      <c r="X1" s="75" t="s">
        <v>75</v>
      </c>
      <c r="Y1" s="75" t="s">
        <v>76</v>
      </c>
      <c r="Z1" s="76" t="s">
        <v>77</v>
      </c>
      <c r="AA1" s="77" t="s">
        <v>78</v>
      </c>
      <c r="AB1" s="77" t="s">
        <v>79</v>
      </c>
      <c r="AC1" s="77" t="s">
        <v>80</v>
      </c>
      <c r="AD1" s="77" t="s">
        <v>81</v>
      </c>
      <c r="AE1" s="77" t="s">
        <v>82</v>
      </c>
      <c r="AF1" s="78" t="s">
        <v>83</v>
      </c>
      <c r="AG1" s="79" t="s">
        <v>84</v>
      </c>
      <c r="AH1" s="79" t="s">
        <v>10</v>
      </c>
      <c r="AI1" s="79" t="s">
        <v>11</v>
      </c>
      <c r="AJ1" s="80" t="s">
        <v>85</v>
      </c>
    </row>
    <row r="2" spans="1:36" x14ac:dyDescent="0.15">
      <c r="A2" s="81">
        <v>443</v>
      </c>
      <c r="B2" s="84">
        <v>41839</v>
      </c>
      <c r="C2" s="82" t="s">
        <v>33</v>
      </c>
      <c r="D2" s="83" t="s">
        <v>34</v>
      </c>
      <c r="E2" s="84">
        <v>41822</v>
      </c>
      <c r="F2" s="82" t="s">
        <v>35</v>
      </c>
      <c r="G2" s="83" t="s">
        <v>38</v>
      </c>
      <c r="H2" s="83">
        <v>111</v>
      </c>
      <c r="I2" s="85"/>
      <c r="J2" s="89"/>
      <c r="K2" s="89"/>
      <c r="L2" s="83"/>
      <c r="M2" s="83"/>
      <c r="N2" s="83"/>
      <c r="O2" s="83">
        <v>3.8</v>
      </c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7" t="s">
        <v>37</v>
      </c>
      <c r="AH2" s="87"/>
      <c r="AI2" s="87"/>
      <c r="AJ2" s="87"/>
    </row>
    <row r="3" spans="1:36" x14ac:dyDescent="0.15">
      <c r="A3" s="81">
        <v>524</v>
      </c>
      <c r="B3" s="84">
        <v>41839</v>
      </c>
      <c r="C3" s="82" t="s">
        <v>149</v>
      </c>
      <c r="D3" s="83" t="s">
        <v>150</v>
      </c>
      <c r="E3" s="84">
        <v>41820</v>
      </c>
      <c r="F3" s="82" t="s">
        <v>41</v>
      </c>
      <c r="G3" s="83" t="s">
        <v>38</v>
      </c>
      <c r="H3" s="83">
        <v>108.33</v>
      </c>
      <c r="I3" s="85" t="s">
        <v>155</v>
      </c>
      <c r="J3">
        <v>2328</v>
      </c>
      <c r="K3" s="83"/>
      <c r="L3" s="83"/>
      <c r="M3" s="83"/>
      <c r="N3" s="83"/>
      <c r="O3" s="83">
        <v>3.0790000000000002</v>
      </c>
      <c r="P3" s="83">
        <v>2.8410000000000002</v>
      </c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7" t="s">
        <v>37</v>
      </c>
      <c r="AH3" s="87"/>
      <c r="AI3" s="87"/>
      <c r="AJ3" s="87"/>
    </row>
    <row r="4" spans="1:36" x14ac:dyDescent="0.15">
      <c r="A4" s="81">
        <v>446</v>
      </c>
      <c r="B4" s="84">
        <v>41839</v>
      </c>
      <c r="C4" s="82" t="s">
        <v>33</v>
      </c>
      <c r="D4" s="83" t="s">
        <v>43</v>
      </c>
      <c r="E4" s="84">
        <v>41822</v>
      </c>
      <c r="F4" s="82" t="s">
        <v>35</v>
      </c>
      <c r="G4" s="83" t="s">
        <v>38</v>
      </c>
      <c r="H4" s="83">
        <v>70</v>
      </c>
      <c r="I4" s="85"/>
      <c r="J4" s="89"/>
      <c r="K4" s="89"/>
      <c r="L4" s="83"/>
      <c r="M4" s="83"/>
      <c r="N4" s="83"/>
      <c r="O4" s="83">
        <v>4.7</v>
      </c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7" t="s">
        <v>37</v>
      </c>
      <c r="AH4" s="87"/>
      <c r="AI4" s="87"/>
      <c r="AJ4" s="87"/>
    </row>
    <row r="5" spans="1:36" x14ac:dyDescent="0.15">
      <c r="A5" s="81">
        <v>526</v>
      </c>
      <c r="B5" s="84">
        <v>41839</v>
      </c>
      <c r="C5" s="82" t="s">
        <v>149</v>
      </c>
      <c r="D5" s="83" t="s">
        <v>151</v>
      </c>
      <c r="E5" s="84">
        <v>41820</v>
      </c>
      <c r="F5" s="82" t="s">
        <v>152</v>
      </c>
      <c r="G5" s="83" t="s">
        <v>38</v>
      </c>
      <c r="H5" s="83">
        <v>69.83</v>
      </c>
      <c r="I5" s="85" t="s">
        <v>155</v>
      </c>
      <c r="J5" s="137">
        <v>746</v>
      </c>
      <c r="K5" s="138">
        <v>2494</v>
      </c>
      <c r="L5" s="83"/>
      <c r="M5" s="83"/>
      <c r="N5" s="83"/>
      <c r="O5" s="83">
        <v>5.4489999999999998</v>
      </c>
      <c r="P5" s="83">
        <v>3.843</v>
      </c>
      <c r="Q5" s="83">
        <v>2.7509999999999999</v>
      </c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7" t="s">
        <v>37</v>
      </c>
      <c r="AH5" s="87"/>
      <c r="AI5" s="87"/>
      <c r="AJ5" s="87"/>
    </row>
    <row r="6" spans="1:36" x14ac:dyDescent="0.15">
      <c r="A6" s="81">
        <v>528</v>
      </c>
      <c r="B6" s="84">
        <v>41839</v>
      </c>
      <c r="C6" s="82" t="s">
        <v>149</v>
      </c>
      <c r="D6" s="83" t="s">
        <v>153</v>
      </c>
      <c r="E6" s="84">
        <v>41820</v>
      </c>
      <c r="F6" s="82" t="s">
        <v>152</v>
      </c>
      <c r="G6" s="83" t="s">
        <v>38</v>
      </c>
      <c r="H6" s="83">
        <v>68.8</v>
      </c>
      <c r="I6" s="85" t="s">
        <v>155</v>
      </c>
      <c r="J6" s="137">
        <v>746</v>
      </c>
      <c r="K6" s="138">
        <v>2494</v>
      </c>
      <c r="L6" s="83"/>
      <c r="M6" s="83"/>
      <c r="N6" s="83"/>
      <c r="O6" s="83">
        <v>6.31</v>
      </c>
      <c r="P6" s="83">
        <v>4.2069999999999999</v>
      </c>
      <c r="Q6" s="83">
        <v>2.5419999999999998</v>
      </c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7" t="s">
        <v>37</v>
      </c>
      <c r="AH6" s="87"/>
      <c r="AI6" s="87"/>
      <c r="AJ6" s="87"/>
    </row>
    <row r="7" spans="1:36" x14ac:dyDescent="0.15">
      <c r="A7" s="81">
        <v>530</v>
      </c>
      <c r="B7" s="84">
        <v>41839</v>
      </c>
      <c r="C7" s="82" t="s">
        <v>149</v>
      </c>
      <c r="D7" s="83" t="s">
        <v>154</v>
      </c>
      <c r="E7" s="84">
        <v>41820</v>
      </c>
      <c r="F7" s="82" t="s">
        <v>152</v>
      </c>
      <c r="G7" s="83" t="s">
        <v>38</v>
      </c>
      <c r="H7" s="83">
        <v>27.39</v>
      </c>
      <c r="I7" s="85" t="s">
        <v>155</v>
      </c>
      <c r="J7" s="66">
        <v>18200</v>
      </c>
      <c r="K7" s="83"/>
      <c r="L7" s="83"/>
      <c r="M7" s="83"/>
      <c r="N7" s="83"/>
      <c r="O7" s="83">
        <v>3.3690000000000002</v>
      </c>
      <c r="P7" s="83">
        <v>3.0190000000000001</v>
      </c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7" t="s">
        <v>37</v>
      </c>
      <c r="AH7" s="87"/>
      <c r="AI7" s="87"/>
      <c r="AJ7" s="87"/>
    </row>
  </sheetData>
  <sheetProtection algorithmName="SHA-512" hashValue="LbK9DgfTsqjUa6bswZeoFim6+kl0tA7KDJavQaOr8eO/+tfRT34CHJoW61YvU1Jp3/C65DtSfwai+Ow9cRrpZg==" saltValue="tp9NRSwH+tzhheOcpnM6Lg==" spinCount="100000" sheet="1" objects="1" scenarios="1"/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AJ7"/>
  <sheetViews>
    <sheetView zoomScale="120" zoomScaleNormal="120" workbookViewId="0">
      <selection activeCell="H4" sqref="H4:T4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6" ht="42" x14ac:dyDescent="0.15">
      <c r="A1" s="67" t="s">
        <v>92</v>
      </c>
      <c r="B1" s="67" t="s">
        <v>93</v>
      </c>
      <c r="C1" s="68" t="s">
        <v>62</v>
      </c>
      <c r="D1" s="69" t="s">
        <v>63</v>
      </c>
      <c r="E1" s="67" t="s">
        <v>64</v>
      </c>
      <c r="F1" s="68" t="s">
        <v>94</v>
      </c>
      <c r="G1" s="69" t="s">
        <v>65</v>
      </c>
      <c r="H1" s="70" t="s">
        <v>95</v>
      </c>
      <c r="I1" s="71" t="s">
        <v>66</v>
      </c>
      <c r="J1" s="71" t="s">
        <v>67</v>
      </c>
      <c r="K1" s="71" t="s">
        <v>68</v>
      </c>
      <c r="L1" s="71" t="s">
        <v>69</v>
      </c>
      <c r="M1" s="71" t="s">
        <v>70</v>
      </c>
      <c r="N1" s="72" t="s">
        <v>17</v>
      </c>
      <c r="O1" s="73" t="s">
        <v>18</v>
      </c>
      <c r="P1" s="73" t="s">
        <v>19</v>
      </c>
      <c r="Q1" s="73" t="s">
        <v>20</v>
      </c>
      <c r="R1" s="73" t="s">
        <v>21</v>
      </c>
      <c r="S1" s="73" t="s">
        <v>22</v>
      </c>
      <c r="T1" s="74" t="s">
        <v>23</v>
      </c>
      <c r="U1" s="75" t="s">
        <v>24</v>
      </c>
      <c r="V1" s="75" t="s">
        <v>25</v>
      </c>
      <c r="W1" s="75" t="s">
        <v>26</v>
      </c>
      <c r="X1" s="75" t="s">
        <v>75</v>
      </c>
      <c r="Y1" s="75" t="s">
        <v>76</v>
      </c>
      <c r="Z1" s="76" t="s">
        <v>77</v>
      </c>
      <c r="AA1" s="77" t="s">
        <v>78</v>
      </c>
      <c r="AB1" s="77" t="s">
        <v>79</v>
      </c>
      <c r="AC1" s="77" t="s">
        <v>80</v>
      </c>
      <c r="AD1" s="77" t="s">
        <v>81</v>
      </c>
      <c r="AE1" s="77" t="s">
        <v>82</v>
      </c>
      <c r="AF1" s="78" t="s">
        <v>83</v>
      </c>
      <c r="AG1" s="79" t="s">
        <v>84</v>
      </c>
      <c r="AH1" s="79" t="s">
        <v>10</v>
      </c>
      <c r="AI1" s="79" t="s">
        <v>11</v>
      </c>
      <c r="AJ1" s="80" t="s">
        <v>85</v>
      </c>
    </row>
    <row r="2" spans="1:36" x14ac:dyDescent="0.15">
      <c r="A2" s="81">
        <v>443</v>
      </c>
      <c r="B2" s="88">
        <v>41486</v>
      </c>
      <c r="C2" s="82" t="s">
        <v>33</v>
      </c>
      <c r="D2" s="83" t="s">
        <v>34</v>
      </c>
      <c r="E2" s="84">
        <v>41457</v>
      </c>
      <c r="F2" s="82" t="s">
        <v>35</v>
      </c>
      <c r="G2" s="83" t="s">
        <v>38</v>
      </c>
      <c r="H2" s="83">
        <v>111</v>
      </c>
      <c r="I2" s="85"/>
      <c r="J2" s="89"/>
      <c r="K2" s="89"/>
      <c r="L2" s="83"/>
      <c r="M2" s="83"/>
      <c r="N2" s="83"/>
      <c r="O2" s="83">
        <v>3.8</v>
      </c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7" t="s">
        <v>37</v>
      </c>
      <c r="AH2" s="87"/>
      <c r="AI2" s="87"/>
      <c r="AJ2" s="87"/>
    </row>
    <row r="3" spans="1:36" x14ac:dyDescent="0.15">
      <c r="A3" s="81">
        <v>524</v>
      </c>
      <c r="B3" s="88">
        <v>41450</v>
      </c>
      <c r="C3" s="82" t="s">
        <v>149</v>
      </c>
      <c r="D3" s="83" t="s">
        <v>150</v>
      </c>
      <c r="E3" s="84">
        <v>41455</v>
      </c>
      <c r="F3" s="82" t="s">
        <v>41</v>
      </c>
      <c r="G3" s="83" t="s">
        <v>38</v>
      </c>
      <c r="H3" s="83">
        <v>108.33</v>
      </c>
      <c r="I3" s="85" t="s">
        <v>155</v>
      </c>
      <c r="J3">
        <v>2328</v>
      </c>
      <c r="K3" s="83"/>
      <c r="L3" s="83"/>
      <c r="M3" s="83"/>
      <c r="N3" s="83"/>
      <c r="O3" s="83">
        <v>3.0790000000000002</v>
      </c>
      <c r="P3" s="83">
        <v>2.8410000000000002</v>
      </c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7" t="s">
        <v>37</v>
      </c>
      <c r="AH3" s="87"/>
      <c r="AI3" s="87"/>
      <c r="AJ3" s="87"/>
    </row>
    <row r="4" spans="1:36" x14ac:dyDescent="0.15">
      <c r="A4" s="81">
        <v>446</v>
      </c>
      <c r="B4" s="88">
        <v>41486</v>
      </c>
      <c r="C4" s="82" t="s">
        <v>33</v>
      </c>
      <c r="D4" s="83" t="s">
        <v>43</v>
      </c>
      <c r="E4" s="84">
        <v>41457</v>
      </c>
      <c r="F4" s="82" t="s">
        <v>35</v>
      </c>
      <c r="G4" s="83" t="s">
        <v>38</v>
      </c>
      <c r="H4" s="83">
        <v>70</v>
      </c>
      <c r="I4" s="85"/>
      <c r="J4" s="89"/>
      <c r="K4" s="89"/>
      <c r="L4" s="83"/>
      <c r="M4" s="83"/>
      <c r="N4" s="83"/>
      <c r="O4" s="83">
        <v>4.7</v>
      </c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7" t="s">
        <v>37</v>
      </c>
      <c r="AH4" s="87"/>
      <c r="AI4" s="87"/>
      <c r="AJ4" s="87"/>
    </row>
    <row r="5" spans="1:36" x14ac:dyDescent="0.15">
      <c r="A5" s="81">
        <v>526</v>
      </c>
      <c r="B5" s="88">
        <v>41450</v>
      </c>
      <c r="C5" s="82" t="s">
        <v>149</v>
      </c>
      <c r="D5" s="83" t="s">
        <v>151</v>
      </c>
      <c r="E5" s="84">
        <v>41455</v>
      </c>
      <c r="F5" s="82" t="s">
        <v>152</v>
      </c>
      <c r="G5" s="83" t="s">
        <v>38</v>
      </c>
      <c r="H5" s="83">
        <v>69.83</v>
      </c>
      <c r="I5" s="85" t="s">
        <v>155</v>
      </c>
      <c r="J5" s="86">
        <v>748</v>
      </c>
      <c r="K5" s="14">
        <v>3248</v>
      </c>
      <c r="L5" s="83"/>
      <c r="M5" s="83"/>
      <c r="N5" s="83"/>
      <c r="O5" s="83">
        <v>5.4489999999999998</v>
      </c>
      <c r="P5" s="83">
        <v>3.843</v>
      </c>
      <c r="Q5" s="83">
        <v>2.7509999999999999</v>
      </c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7" t="s">
        <v>37</v>
      </c>
      <c r="AH5" s="87"/>
      <c r="AI5" s="87"/>
      <c r="AJ5" s="87"/>
    </row>
    <row r="6" spans="1:36" x14ac:dyDescent="0.15">
      <c r="A6" s="81">
        <v>528</v>
      </c>
      <c r="B6" s="88">
        <v>41450</v>
      </c>
      <c r="C6" s="82" t="s">
        <v>149</v>
      </c>
      <c r="D6" s="83" t="s">
        <v>153</v>
      </c>
      <c r="E6" s="84">
        <v>41455</v>
      </c>
      <c r="F6" s="82" t="s">
        <v>152</v>
      </c>
      <c r="G6" s="83" t="s">
        <v>38</v>
      </c>
      <c r="H6" s="83">
        <v>68.8</v>
      </c>
      <c r="I6" s="85" t="s">
        <v>155</v>
      </c>
      <c r="J6" s="86">
        <v>748</v>
      </c>
      <c r="K6" s="14">
        <v>3248</v>
      </c>
      <c r="L6" s="83"/>
      <c r="M6" s="83"/>
      <c r="N6" s="83"/>
      <c r="O6" s="83">
        <v>6.31</v>
      </c>
      <c r="P6" s="83">
        <v>4.2069999999999999</v>
      </c>
      <c r="Q6" s="83">
        <v>2.5419999999999998</v>
      </c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7" t="s">
        <v>37</v>
      </c>
      <c r="AH6" s="87"/>
      <c r="AI6" s="87"/>
      <c r="AJ6" s="87"/>
    </row>
    <row r="7" spans="1:36" x14ac:dyDescent="0.15">
      <c r="A7" s="81">
        <v>530</v>
      </c>
      <c r="B7" s="88">
        <v>41450</v>
      </c>
      <c r="C7" s="82" t="s">
        <v>149</v>
      </c>
      <c r="D7" s="83" t="s">
        <v>154</v>
      </c>
      <c r="E7" s="84">
        <v>41455</v>
      </c>
      <c r="F7" s="82" t="s">
        <v>152</v>
      </c>
      <c r="G7" s="83" t="s">
        <v>38</v>
      </c>
      <c r="H7" s="83">
        <v>27.39</v>
      </c>
      <c r="I7" s="85" t="s">
        <v>155</v>
      </c>
      <c r="J7" s="66">
        <v>18200</v>
      </c>
      <c r="K7" s="83"/>
      <c r="L7" s="83"/>
      <c r="M7" s="83"/>
      <c r="N7" s="83"/>
      <c r="O7" s="83">
        <v>3.3690000000000002</v>
      </c>
      <c r="P7" s="83">
        <v>3.0190000000000001</v>
      </c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7" t="s">
        <v>37</v>
      </c>
      <c r="AH7" s="87"/>
      <c r="AI7" s="87"/>
      <c r="AJ7" s="87"/>
    </row>
  </sheetData>
  <sheetProtection algorithmName="SHA-512" hashValue="BKKCq46vuC2Zu8SU/AShjY7a6NlSKGLiLqKc4gDoZQmOcjcQ5H5UddFiH7mzZ6MJ3ZzyABuFySybr9J/5E/IKg==" saltValue="D6HQUeiyAgzj/RWNNFcMGw==" spinCount="100000" sheet="1" objects="1" scenarios="1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AJ7"/>
  <sheetViews>
    <sheetView workbookViewId="0">
      <selection activeCell="B2" sqref="B2:B7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6" ht="42" x14ac:dyDescent="0.15">
      <c r="A1" s="67" t="s">
        <v>92</v>
      </c>
      <c r="B1" s="67" t="s">
        <v>93</v>
      </c>
      <c r="C1" s="68" t="s">
        <v>62</v>
      </c>
      <c r="D1" s="69" t="s">
        <v>63</v>
      </c>
      <c r="E1" s="67" t="s">
        <v>64</v>
      </c>
      <c r="F1" s="68" t="s">
        <v>94</v>
      </c>
      <c r="G1" s="69" t="s">
        <v>65</v>
      </c>
      <c r="H1" s="70" t="s">
        <v>95</v>
      </c>
      <c r="I1" s="71" t="s">
        <v>66</v>
      </c>
      <c r="J1" s="71" t="s">
        <v>67</v>
      </c>
      <c r="K1" s="71" t="s">
        <v>68</v>
      </c>
      <c r="L1" s="71" t="s">
        <v>69</v>
      </c>
      <c r="M1" s="71" t="s">
        <v>70</v>
      </c>
      <c r="N1" s="72" t="s">
        <v>17</v>
      </c>
      <c r="O1" s="73" t="s">
        <v>18</v>
      </c>
      <c r="P1" s="73" t="s">
        <v>19</v>
      </c>
      <c r="Q1" s="73" t="s">
        <v>20</v>
      </c>
      <c r="R1" s="73" t="s">
        <v>21</v>
      </c>
      <c r="S1" s="73" t="s">
        <v>22</v>
      </c>
      <c r="T1" s="74" t="s">
        <v>23</v>
      </c>
      <c r="U1" s="75" t="s">
        <v>24</v>
      </c>
      <c r="V1" s="75" t="s">
        <v>25</v>
      </c>
      <c r="W1" s="75" t="s">
        <v>26</v>
      </c>
      <c r="X1" s="75" t="s">
        <v>75</v>
      </c>
      <c r="Y1" s="75" t="s">
        <v>76</v>
      </c>
      <c r="Z1" s="76" t="s">
        <v>77</v>
      </c>
      <c r="AA1" s="77" t="s">
        <v>78</v>
      </c>
      <c r="AB1" s="77" t="s">
        <v>79</v>
      </c>
      <c r="AC1" s="77" t="s">
        <v>80</v>
      </c>
      <c r="AD1" s="77" t="s">
        <v>81</v>
      </c>
      <c r="AE1" s="77" t="s">
        <v>82</v>
      </c>
      <c r="AF1" s="78" t="s">
        <v>83</v>
      </c>
      <c r="AG1" s="79" t="s">
        <v>84</v>
      </c>
      <c r="AH1" s="79" t="s">
        <v>10</v>
      </c>
      <c r="AI1" s="79" t="s">
        <v>11</v>
      </c>
      <c r="AJ1" s="80" t="s">
        <v>85</v>
      </c>
    </row>
    <row r="2" spans="1:36" x14ac:dyDescent="0.15">
      <c r="A2" s="81">
        <v>443</v>
      </c>
      <c r="B2" s="84">
        <v>41094</v>
      </c>
      <c r="C2" s="82" t="s">
        <v>33</v>
      </c>
      <c r="D2" s="83" t="s">
        <v>34</v>
      </c>
      <c r="E2" s="84">
        <v>41090</v>
      </c>
      <c r="F2" s="82" t="s">
        <v>35</v>
      </c>
      <c r="G2" s="83" t="s">
        <v>38</v>
      </c>
      <c r="H2" s="83">
        <v>107.17</v>
      </c>
      <c r="I2" s="85" t="s">
        <v>36</v>
      </c>
      <c r="J2" s="86">
        <v>775</v>
      </c>
      <c r="K2" s="14">
        <v>3100</v>
      </c>
      <c r="L2" s="83"/>
      <c r="M2" s="83"/>
      <c r="N2" s="83"/>
      <c r="O2" s="83">
        <v>4.1669999999999998</v>
      </c>
      <c r="P2" s="83">
        <v>3.0230000000000001</v>
      </c>
      <c r="Q2" s="83">
        <v>2.8149999999999999</v>
      </c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7" t="s">
        <v>37</v>
      </c>
      <c r="AH2" s="87"/>
      <c r="AI2" s="87"/>
      <c r="AJ2" s="87"/>
    </row>
    <row r="3" spans="1:36" x14ac:dyDescent="0.15">
      <c r="A3" s="81">
        <v>524</v>
      </c>
      <c r="B3" s="84">
        <v>41094</v>
      </c>
      <c r="C3" s="82" t="s">
        <v>39</v>
      </c>
      <c r="D3" s="83" t="s">
        <v>40</v>
      </c>
      <c r="E3" s="84">
        <v>41104</v>
      </c>
      <c r="F3" s="82" t="s">
        <v>41</v>
      </c>
      <c r="G3" s="83" t="s">
        <v>38</v>
      </c>
      <c r="H3" s="83">
        <v>106.74</v>
      </c>
      <c r="I3" s="85" t="s">
        <v>42</v>
      </c>
      <c r="J3">
        <v>2328</v>
      </c>
      <c r="K3" s="83"/>
      <c r="L3" s="83"/>
      <c r="M3" s="83"/>
      <c r="N3" s="83"/>
      <c r="O3" s="83">
        <v>2.9569999999999999</v>
      </c>
      <c r="P3" s="83">
        <v>2.7810000000000001</v>
      </c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7" t="s">
        <v>37</v>
      </c>
      <c r="AH3" s="87"/>
      <c r="AI3" s="87"/>
      <c r="AJ3" s="87"/>
    </row>
    <row r="4" spans="1:36" x14ac:dyDescent="0.15">
      <c r="A4" s="81">
        <v>446</v>
      </c>
      <c r="B4" s="84">
        <v>41094</v>
      </c>
      <c r="C4" s="82" t="s">
        <v>39</v>
      </c>
      <c r="D4" s="83" t="s">
        <v>43</v>
      </c>
      <c r="E4" s="84">
        <v>41090</v>
      </c>
      <c r="F4" s="82" t="s">
        <v>44</v>
      </c>
      <c r="G4" s="83" t="s">
        <v>38</v>
      </c>
      <c r="H4" s="83">
        <v>68.58</v>
      </c>
      <c r="I4" s="85" t="s">
        <v>42</v>
      </c>
      <c r="J4" s="86">
        <v>748</v>
      </c>
      <c r="K4" s="14">
        <v>3248</v>
      </c>
      <c r="L4" s="83"/>
      <c r="M4" s="83"/>
      <c r="N4" s="83"/>
      <c r="O4" s="83">
        <v>5.0830000000000002</v>
      </c>
      <c r="P4" s="83">
        <v>3.7930000000000001</v>
      </c>
      <c r="Q4" s="83">
        <v>3.339</v>
      </c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7" t="s">
        <v>37</v>
      </c>
      <c r="AH4" s="87"/>
      <c r="AI4" s="87"/>
      <c r="AJ4" s="87"/>
    </row>
    <row r="5" spans="1:36" x14ac:dyDescent="0.15">
      <c r="A5" s="81">
        <v>526</v>
      </c>
      <c r="B5" s="84">
        <v>41094</v>
      </c>
      <c r="C5" s="82" t="s">
        <v>39</v>
      </c>
      <c r="D5" s="83" t="s">
        <v>43</v>
      </c>
      <c r="E5" s="84">
        <v>41090</v>
      </c>
      <c r="F5" s="82" t="s">
        <v>41</v>
      </c>
      <c r="G5" s="83" t="s">
        <v>38</v>
      </c>
      <c r="H5" s="83">
        <v>69.31</v>
      </c>
      <c r="I5" s="85" t="s">
        <v>42</v>
      </c>
      <c r="J5" s="86">
        <v>748</v>
      </c>
      <c r="K5" s="14">
        <v>3248</v>
      </c>
      <c r="L5" s="83"/>
      <c r="M5" s="83"/>
      <c r="N5" s="83"/>
      <c r="O5" s="83">
        <v>5.35</v>
      </c>
      <c r="P5" s="83">
        <v>3.77</v>
      </c>
      <c r="Q5" s="83">
        <v>2.62</v>
      </c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7" t="s">
        <v>37</v>
      </c>
      <c r="AH5" s="87"/>
      <c r="AI5" s="87"/>
      <c r="AJ5" s="87"/>
    </row>
    <row r="6" spans="1:36" x14ac:dyDescent="0.15">
      <c r="A6" s="81">
        <v>528</v>
      </c>
      <c r="B6" s="84">
        <v>41094</v>
      </c>
      <c r="C6" s="82" t="s">
        <v>39</v>
      </c>
      <c r="D6" s="83" t="s">
        <v>45</v>
      </c>
      <c r="E6" s="84">
        <v>41090</v>
      </c>
      <c r="F6" s="82" t="s">
        <v>41</v>
      </c>
      <c r="G6" s="83" t="s">
        <v>38</v>
      </c>
      <c r="H6" s="83">
        <v>68.28</v>
      </c>
      <c r="I6" s="85" t="s">
        <v>42</v>
      </c>
      <c r="J6" s="86">
        <v>748</v>
      </c>
      <c r="K6" s="14">
        <v>3248</v>
      </c>
      <c r="L6" s="83"/>
      <c r="M6" s="83"/>
      <c r="N6" s="83"/>
      <c r="O6" s="83">
        <v>6.2050000000000001</v>
      </c>
      <c r="P6" s="83">
        <v>4.1310000000000002</v>
      </c>
      <c r="Q6" s="83">
        <v>2.4870000000000001</v>
      </c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7" t="s">
        <v>37</v>
      </c>
      <c r="AH6" s="87"/>
      <c r="AI6" s="87"/>
      <c r="AJ6" s="87"/>
    </row>
    <row r="7" spans="1:36" x14ac:dyDescent="0.15">
      <c r="A7" s="81">
        <v>530</v>
      </c>
      <c r="B7" s="84">
        <v>41094</v>
      </c>
      <c r="C7" s="82" t="s">
        <v>39</v>
      </c>
      <c r="D7" s="83" t="s">
        <v>46</v>
      </c>
      <c r="E7" s="84">
        <v>41090</v>
      </c>
      <c r="F7" s="82" t="s">
        <v>41</v>
      </c>
      <c r="G7" s="83" t="s">
        <v>38</v>
      </c>
      <c r="H7" s="83">
        <v>27.39</v>
      </c>
      <c r="I7" s="85" t="s">
        <v>42</v>
      </c>
      <c r="J7" s="66">
        <v>18200</v>
      </c>
      <c r="K7" s="83"/>
      <c r="L7" s="83"/>
      <c r="M7" s="83"/>
      <c r="N7" s="83"/>
      <c r="O7" s="83">
        <v>3.3159999999999998</v>
      </c>
      <c r="P7" s="83">
        <v>2.9660000000000002</v>
      </c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7" t="s">
        <v>37</v>
      </c>
      <c r="AH7" s="87"/>
      <c r="AI7" s="87"/>
      <c r="AJ7" s="87"/>
    </row>
  </sheetData>
  <sheetProtection algorithmName="SHA-512" hashValue="lwtxZDBgR2ybjT4Zzh/XoN83pulEVr6CpXaXoqnv3rILoNGlh0Y7eROCGMlzEYrUgNdng89sW/f2fNH0IY2wqw==" saltValue="GC2A1hdpAFhwxGc0Mt21Hg==" spinCount="100000" sheet="1" objects="1" scenarios="1"/>
  <phoneticPr fontId="10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K14"/>
  <sheetViews>
    <sheetView workbookViewId="0">
      <selection activeCell="E8" sqref="E8:F12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1:11" x14ac:dyDescent="0.15">
      <c r="A3" s="7" t="s">
        <v>116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32</v>
      </c>
    </row>
    <row r="5" spans="1:11" x14ac:dyDescent="0.15">
      <c r="D5" s="10"/>
    </row>
    <row r="6" spans="1:11" x14ac:dyDescent="0.15">
      <c r="A6" s="12" t="s">
        <v>121</v>
      </c>
      <c r="D6" s="10"/>
      <c r="E6" s="13" t="s">
        <v>99</v>
      </c>
      <c r="F6" s="13" t="s">
        <v>101</v>
      </c>
      <c r="G6" s="13"/>
    </row>
    <row r="7" spans="1:11" x14ac:dyDescent="0.15">
      <c r="A7" t="s">
        <v>113</v>
      </c>
      <c r="D7" s="10"/>
      <c r="E7" s="65">
        <v>775</v>
      </c>
      <c r="F7">
        <v>2328</v>
      </c>
      <c r="G7" s="13"/>
    </row>
    <row r="8" spans="1:11" x14ac:dyDescent="0.15">
      <c r="A8" s="14" t="s">
        <v>112</v>
      </c>
      <c r="B8" s="14"/>
      <c r="C8" s="14"/>
      <c r="D8" s="15"/>
      <c r="E8" s="14">
        <v>2325</v>
      </c>
      <c r="F8" s="14">
        <v>2328</v>
      </c>
      <c r="G8" s="14"/>
    </row>
    <row r="9" spans="1:11" x14ac:dyDescent="0.15">
      <c r="A9" t="s">
        <v>109</v>
      </c>
      <c r="D9" s="10"/>
      <c r="E9" s="25">
        <v>4.0570000000000004</v>
      </c>
      <c r="F9" s="25">
        <v>2.8570000000000002</v>
      </c>
    </row>
    <row r="10" spans="1:11" x14ac:dyDescent="0.15">
      <c r="A10" t="s">
        <v>89</v>
      </c>
      <c r="D10" s="10"/>
      <c r="E10" s="25">
        <v>2.9220000000000002</v>
      </c>
      <c r="F10" s="38">
        <v>2.6869999999999998</v>
      </c>
    </row>
    <row r="11" spans="1:11" x14ac:dyDescent="0.15">
      <c r="A11" t="s">
        <v>127</v>
      </c>
      <c r="D11" s="10"/>
      <c r="E11" s="25">
        <v>2.7189999999999999</v>
      </c>
      <c r="F11" s="25">
        <v>2.6869999999999998</v>
      </c>
    </row>
    <row r="12" spans="1:11" x14ac:dyDescent="0.15">
      <c r="A12" t="s">
        <v>128</v>
      </c>
      <c r="D12" s="10"/>
      <c r="E12" s="25">
        <v>104.99</v>
      </c>
      <c r="F12" s="25">
        <v>103.13</v>
      </c>
    </row>
    <row r="13" spans="1:11" x14ac:dyDescent="0.15">
      <c r="D13" s="10"/>
    </row>
    <row r="14" spans="1:11" x14ac:dyDescent="0.1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</row>
  </sheetData>
  <sheetProtection algorithmName="SHA-512" hashValue="F3f4qGqFbTO5g/VGu6wb/iFv6QH9QZlJIKUx1KZY+GbsC89wLzBWXVcXtduusTnfbBoXTmn6FqCvYWqIKNv7Xg==" saltValue="95TtO99McOjFuH5TDnB10g==" spinCount="100000" sheet="1" objects="1" scenarios="1"/>
  <phoneticPr fontId="10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K31"/>
  <sheetViews>
    <sheetView workbookViewId="0">
      <selection activeCell="I13" sqref="I13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1:11" x14ac:dyDescent="0.15">
      <c r="A3" s="7" t="s">
        <v>28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32</v>
      </c>
    </row>
    <row r="5" spans="1:11" x14ac:dyDescent="0.15">
      <c r="D5" s="10"/>
    </row>
    <row r="6" spans="1:11" x14ac:dyDescent="0.15">
      <c r="A6" s="12" t="s">
        <v>118</v>
      </c>
      <c r="D6" s="10"/>
      <c r="E6" s="13" t="s">
        <v>99</v>
      </c>
      <c r="F6" s="13" t="s">
        <v>101</v>
      </c>
      <c r="G6" s="13"/>
    </row>
    <row r="7" spans="1:11" x14ac:dyDescent="0.15">
      <c r="A7" t="s">
        <v>97</v>
      </c>
      <c r="D7" s="10"/>
      <c r="E7" s="65">
        <v>748</v>
      </c>
      <c r="F7" s="25">
        <v>748</v>
      </c>
      <c r="G7" s="13"/>
    </row>
    <row r="8" spans="1:11" x14ac:dyDescent="0.15">
      <c r="A8" s="14" t="s">
        <v>112</v>
      </c>
      <c r="B8" s="14"/>
      <c r="C8" s="14"/>
      <c r="D8" s="15"/>
      <c r="E8" s="14">
        <v>2500</v>
      </c>
      <c r="F8" s="66">
        <v>2500</v>
      </c>
      <c r="G8" s="14"/>
    </row>
    <row r="9" spans="1:11" x14ac:dyDescent="0.15">
      <c r="A9" t="s">
        <v>109</v>
      </c>
      <c r="D9" s="10"/>
      <c r="E9">
        <v>5.4160000000000004</v>
      </c>
      <c r="F9" s="25">
        <v>5.35</v>
      </c>
    </row>
    <row r="10" spans="1:11" x14ac:dyDescent="0.15">
      <c r="A10" t="s">
        <v>30</v>
      </c>
      <c r="D10" s="10"/>
      <c r="E10" s="31">
        <v>3.948</v>
      </c>
      <c r="F10" s="25">
        <v>3.77</v>
      </c>
    </row>
    <row r="11" spans="1:11" x14ac:dyDescent="0.15">
      <c r="A11" t="s">
        <v>127</v>
      </c>
      <c r="D11" s="10"/>
      <c r="E11">
        <v>3.367</v>
      </c>
      <c r="F11" s="25">
        <v>2.62</v>
      </c>
    </row>
    <row r="12" spans="1:11" x14ac:dyDescent="0.15">
      <c r="A12" t="s">
        <v>128</v>
      </c>
      <c r="D12" s="10"/>
      <c r="E12">
        <v>70.86</v>
      </c>
      <c r="F12" s="25">
        <v>69.31</v>
      </c>
    </row>
    <row r="13" spans="1:11" x14ac:dyDescent="0.15">
      <c r="D13" s="10"/>
    </row>
    <row r="14" spans="1:11" x14ac:dyDescent="0.15">
      <c r="D14" s="10"/>
    </row>
    <row r="15" spans="1:11" x14ac:dyDescent="0.15">
      <c r="A15" s="12" t="s">
        <v>119</v>
      </c>
      <c r="D15" s="10"/>
      <c r="E15" s="13" t="s">
        <v>99</v>
      </c>
      <c r="F15" s="13" t="s">
        <v>101</v>
      </c>
    </row>
    <row r="16" spans="1:11" x14ac:dyDescent="0.15">
      <c r="A16" t="s">
        <v>97</v>
      </c>
      <c r="D16" s="10"/>
      <c r="E16" s="22" t="s">
        <v>122</v>
      </c>
      <c r="F16" s="25">
        <v>748</v>
      </c>
    </row>
    <row r="17" spans="1:11" x14ac:dyDescent="0.15">
      <c r="A17" s="14" t="s">
        <v>112</v>
      </c>
      <c r="B17" s="14"/>
      <c r="C17" s="14"/>
      <c r="D17" s="15"/>
      <c r="E17" s="23" t="s">
        <v>122</v>
      </c>
      <c r="F17" s="66">
        <v>2500</v>
      </c>
    </row>
    <row r="18" spans="1:11" x14ac:dyDescent="0.15">
      <c r="A18" t="s">
        <v>109</v>
      </c>
      <c r="D18" s="10"/>
      <c r="E18" s="24" t="s">
        <v>122</v>
      </c>
      <c r="F18" s="25">
        <v>6.2050000000000001</v>
      </c>
    </row>
    <row r="19" spans="1:11" x14ac:dyDescent="0.15">
      <c r="A19" t="s">
        <v>30</v>
      </c>
      <c r="D19" s="10"/>
      <c r="E19" s="24" t="s">
        <v>122</v>
      </c>
      <c r="F19" s="25">
        <v>4.1310000000000002</v>
      </c>
    </row>
    <row r="20" spans="1:11" x14ac:dyDescent="0.15">
      <c r="A20" t="s">
        <v>127</v>
      </c>
      <c r="D20" s="10"/>
      <c r="E20" s="24" t="s">
        <v>122</v>
      </c>
      <c r="F20" s="25">
        <v>2.4870000000000001</v>
      </c>
    </row>
    <row r="21" spans="1:11" x14ac:dyDescent="0.15">
      <c r="A21" t="s">
        <v>128</v>
      </c>
      <c r="D21" s="10"/>
      <c r="E21" s="24" t="s">
        <v>122</v>
      </c>
      <c r="F21" s="25">
        <v>68.28</v>
      </c>
    </row>
    <row r="22" spans="1:11" x14ac:dyDescent="0.15">
      <c r="D22" s="10"/>
      <c r="F22" s="25"/>
    </row>
    <row r="23" spans="1:11" x14ac:dyDescent="0.15">
      <c r="D23" s="10"/>
      <c r="F23" s="25"/>
    </row>
    <row r="24" spans="1:11" x14ac:dyDescent="0.15">
      <c r="A24" s="12" t="s">
        <v>120</v>
      </c>
      <c r="D24" s="10"/>
      <c r="E24" s="13" t="s">
        <v>99</v>
      </c>
      <c r="F24" s="36" t="s">
        <v>139</v>
      </c>
    </row>
    <row r="25" spans="1:11" x14ac:dyDescent="0.15">
      <c r="A25" s="14" t="s">
        <v>97</v>
      </c>
      <c r="B25" s="14"/>
      <c r="C25" s="14"/>
      <c r="D25" s="15"/>
      <c r="E25" s="23" t="s">
        <v>122</v>
      </c>
      <c r="F25" s="66">
        <v>18200</v>
      </c>
    </row>
    <row r="26" spans="1:11" x14ac:dyDescent="0.15">
      <c r="A26" t="s">
        <v>109</v>
      </c>
      <c r="D26" s="10"/>
      <c r="E26" s="24" t="s">
        <v>122</v>
      </c>
      <c r="F26" s="25">
        <v>3.3159999999999998</v>
      </c>
    </row>
    <row r="27" spans="1:11" x14ac:dyDescent="0.15">
      <c r="A27" t="s">
        <v>127</v>
      </c>
      <c r="D27" s="10"/>
      <c r="E27" s="24" t="s">
        <v>122</v>
      </c>
      <c r="F27" s="25">
        <v>2.9660000000000002</v>
      </c>
    </row>
    <row r="28" spans="1:11" x14ac:dyDescent="0.15">
      <c r="A28" t="s">
        <v>128</v>
      </c>
      <c r="D28" s="10"/>
      <c r="E28" s="24" t="s">
        <v>122</v>
      </c>
      <c r="F28" s="25">
        <v>27.39</v>
      </c>
    </row>
    <row r="29" spans="1:11" x14ac:dyDescent="0.15">
      <c r="D29" s="10"/>
    </row>
    <row r="30" spans="1:11" x14ac:dyDescent="0.15">
      <c r="D30" s="10"/>
    </row>
    <row r="31" spans="1:11" x14ac:dyDescent="0.1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</row>
  </sheetData>
  <sheetProtection algorithmName="SHA-512" hashValue="5GQwlt/cnZGZ7sl30Ai3fZEItnIURymw+LNVYBqLu9+uWvVlAELNdYO0OnjMs/OwidLoxo0OHmXDcNDmxOrkOw==" saltValue="PBm2diuQIIfR35zqr4UC7A==" spinCount="100000" sheet="1" objects="1" scenarios="1"/>
  <phoneticPr fontId="10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K14"/>
  <sheetViews>
    <sheetView zoomScale="125" workbookViewId="0">
      <selection sqref="A1:K1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</row>
    <row r="3" spans="1:11" x14ac:dyDescent="0.15">
      <c r="A3" s="7" t="s">
        <v>116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74</v>
      </c>
    </row>
    <row r="5" spans="1:11" x14ac:dyDescent="0.15">
      <c r="D5" s="10"/>
    </row>
    <row r="6" spans="1:11" x14ac:dyDescent="0.15">
      <c r="A6" s="12" t="s">
        <v>121</v>
      </c>
      <c r="D6" s="10"/>
      <c r="E6" s="13" t="s">
        <v>99</v>
      </c>
      <c r="F6" s="13" t="s">
        <v>101</v>
      </c>
      <c r="G6" s="13"/>
    </row>
    <row r="7" spans="1:11" x14ac:dyDescent="0.15">
      <c r="A7" t="s">
        <v>113</v>
      </c>
      <c r="D7" s="10"/>
      <c r="E7" s="61">
        <v>775</v>
      </c>
      <c r="F7">
        <v>2328</v>
      </c>
      <c r="G7" s="13"/>
    </row>
    <row r="8" spans="1:11" x14ac:dyDescent="0.15">
      <c r="A8" s="14" t="s">
        <v>112</v>
      </c>
      <c r="B8" s="14"/>
      <c r="C8" s="14"/>
      <c r="D8" s="15"/>
      <c r="E8" s="14">
        <v>2325</v>
      </c>
      <c r="F8" s="14">
        <v>2328</v>
      </c>
      <c r="G8" s="14"/>
    </row>
    <row r="9" spans="1:11" x14ac:dyDescent="0.15">
      <c r="A9" t="s">
        <v>109</v>
      </c>
      <c r="D9" s="10"/>
      <c r="E9">
        <v>4.3714000000000004</v>
      </c>
      <c r="F9">
        <v>3.234</v>
      </c>
    </row>
    <row r="10" spans="1:11" x14ac:dyDescent="0.15">
      <c r="A10" t="s">
        <v>89</v>
      </c>
      <c r="D10" s="10"/>
      <c r="E10">
        <v>3.1614</v>
      </c>
      <c r="F10" s="21">
        <v>0</v>
      </c>
    </row>
    <row r="11" spans="1:11" x14ac:dyDescent="0.15">
      <c r="A11" t="s">
        <v>127</v>
      </c>
      <c r="D11" s="10"/>
      <c r="E11">
        <v>2.9546000000000001</v>
      </c>
      <c r="F11">
        <v>2.827</v>
      </c>
    </row>
    <row r="12" spans="1:11" x14ac:dyDescent="0.15">
      <c r="A12" t="s">
        <v>128</v>
      </c>
      <c r="D12" s="10"/>
      <c r="E12">
        <v>109.417</v>
      </c>
      <c r="F12">
        <v>110.044</v>
      </c>
    </row>
    <row r="13" spans="1:11" x14ac:dyDescent="0.15">
      <c r="D13" s="10"/>
    </row>
    <row r="14" spans="1:11" x14ac:dyDescent="0.1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</row>
  </sheetData>
  <sheetProtection algorithmName="SHA-512" hashValue="Lf960ekB3xblD7Q2jkUoy111XpxtF/n29HL2FGtPIMpu3HCl0HFE8VUjOVcDbJyFo69uGwD2Mn4s6MeKa1dkJQ==" saltValue="SOCjHRorfvcDM4o8/8SXww==" spinCount="100000" sheet="1" objects="1" scenarios="1"/>
  <phoneticPr fontId="10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K31"/>
  <sheetViews>
    <sheetView zoomScale="125" workbookViewId="0">
      <selection activeCell="H34" sqref="H3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</row>
    <row r="3" spans="1:11" x14ac:dyDescent="0.15">
      <c r="A3" s="7" t="s">
        <v>28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74</v>
      </c>
    </row>
    <row r="5" spans="1:11" x14ac:dyDescent="0.15">
      <c r="D5" s="10"/>
    </row>
    <row r="6" spans="1:11" x14ac:dyDescent="0.15">
      <c r="A6" s="12" t="s">
        <v>118</v>
      </c>
      <c r="D6" s="10"/>
      <c r="E6" s="13" t="s">
        <v>99</v>
      </c>
      <c r="F6" s="13" t="s">
        <v>101</v>
      </c>
      <c r="G6" s="13"/>
    </row>
    <row r="7" spans="1:11" x14ac:dyDescent="0.15">
      <c r="A7" t="s">
        <v>97</v>
      </c>
      <c r="D7" s="10"/>
      <c r="E7" s="30">
        <v>748</v>
      </c>
      <c r="F7">
        <v>748</v>
      </c>
      <c r="G7" s="13"/>
    </row>
    <row r="8" spans="1:11" x14ac:dyDescent="0.15">
      <c r="A8" s="14" t="s">
        <v>112</v>
      </c>
      <c r="B8" s="14"/>
      <c r="C8" s="14"/>
      <c r="D8" s="15"/>
      <c r="E8" s="14">
        <v>2500</v>
      </c>
      <c r="F8" s="14">
        <v>2500</v>
      </c>
      <c r="G8" s="14"/>
    </row>
    <row r="9" spans="1:11" x14ac:dyDescent="0.15">
      <c r="A9" t="s">
        <v>109</v>
      </c>
      <c r="D9" s="10"/>
      <c r="E9">
        <v>5.7573999999999996</v>
      </c>
      <c r="F9">
        <v>6.391</v>
      </c>
    </row>
    <row r="10" spans="1:11" x14ac:dyDescent="0.15">
      <c r="A10" t="s">
        <v>30</v>
      </c>
      <c r="D10" s="10"/>
      <c r="E10" s="31">
        <v>4.2702</v>
      </c>
      <c r="F10">
        <v>4.2130000000000001</v>
      </c>
    </row>
    <row r="11" spans="1:11" x14ac:dyDescent="0.15">
      <c r="A11" t="s">
        <v>127</v>
      </c>
      <c r="D11" s="10"/>
      <c r="E11">
        <v>3.6629999999999998</v>
      </c>
      <c r="F11">
        <v>2.6179999999999999</v>
      </c>
    </row>
    <row r="12" spans="1:11" x14ac:dyDescent="0.15">
      <c r="A12" t="s">
        <v>128</v>
      </c>
      <c r="D12" s="10"/>
      <c r="E12">
        <v>82.466999999999999</v>
      </c>
      <c r="F12">
        <v>78.605999999999995</v>
      </c>
    </row>
    <row r="13" spans="1:11" x14ac:dyDescent="0.15">
      <c r="D13" s="10"/>
    </row>
    <row r="14" spans="1:11" x14ac:dyDescent="0.15">
      <c r="D14" s="10"/>
    </row>
    <row r="15" spans="1:11" x14ac:dyDescent="0.15">
      <c r="A15" s="12" t="s">
        <v>119</v>
      </c>
      <c r="D15" s="10"/>
      <c r="E15" s="13" t="s">
        <v>99</v>
      </c>
      <c r="F15" s="13" t="s">
        <v>101</v>
      </c>
    </row>
    <row r="16" spans="1:11" x14ac:dyDescent="0.15">
      <c r="A16" t="s">
        <v>97</v>
      </c>
      <c r="D16" s="10"/>
      <c r="E16" s="22" t="s">
        <v>122</v>
      </c>
      <c r="F16">
        <v>748</v>
      </c>
    </row>
    <row r="17" spans="1:11" x14ac:dyDescent="0.15">
      <c r="A17" s="14" t="s">
        <v>112</v>
      </c>
      <c r="B17" s="14"/>
      <c r="C17" s="14"/>
      <c r="D17" s="15"/>
      <c r="E17" s="23" t="s">
        <v>122</v>
      </c>
      <c r="F17" s="14">
        <v>2500</v>
      </c>
    </row>
    <row r="18" spans="1:11" x14ac:dyDescent="0.15">
      <c r="A18" t="s">
        <v>109</v>
      </c>
      <c r="D18" s="10"/>
      <c r="E18" s="24" t="s">
        <v>122</v>
      </c>
      <c r="F18">
        <v>6.798</v>
      </c>
    </row>
    <row r="19" spans="1:11" x14ac:dyDescent="0.15">
      <c r="A19" t="s">
        <v>30</v>
      </c>
      <c r="D19" s="10"/>
      <c r="E19" s="24" t="s">
        <v>122</v>
      </c>
      <c r="F19">
        <v>4.62</v>
      </c>
    </row>
    <row r="20" spans="1:11" x14ac:dyDescent="0.15">
      <c r="A20" t="s">
        <v>127</v>
      </c>
      <c r="D20" s="10"/>
      <c r="E20" s="24" t="s">
        <v>122</v>
      </c>
      <c r="F20">
        <v>2.8380000000000001</v>
      </c>
    </row>
    <row r="21" spans="1:11" x14ac:dyDescent="0.15">
      <c r="A21" t="s">
        <v>128</v>
      </c>
      <c r="D21" s="10"/>
      <c r="E21" s="24" t="s">
        <v>122</v>
      </c>
      <c r="F21">
        <v>77.77</v>
      </c>
    </row>
    <row r="22" spans="1:11" x14ac:dyDescent="0.15">
      <c r="D22" s="10"/>
    </row>
    <row r="23" spans="1:11" x14ac:dyDescent="0.15">
      <c r="D23" s="10"/>
    </row>
    <row r="24" spans="1:11" x14ac:dyDescent="0.15">
      <c r="A24" s="12" t="s">
        <v>120</v>
      </c>
      <c r="D24" s="10"/>
      <c r="E24" s="13" t="s">
        <v>99</v>
      </c>
      <c r="F24" s="13" t="s">
        <v>101</v>
      </c>
    </row>
    <row r="25" spans="1:11" x14ac:dyDescent="0.15">
      <c r="A25" s="14" t="s">
        <v>97</v>
      </c>
      <c r="B25" s="14"/>
      <c r="C25" s="14"/>
      <c r="D25" s="15"/>
      <c r="E25" s="23" t="s">
        <v>122</v>
      </c>
      <c r="F25" s="14">
        <v>1825</v>
      </c>
    </row>
    <row r="26" spans="1:11" x14ac:dyDescent="0.15">
      <c r="A26" t="s">
        <v>109</v>
      </c>
      <c r="D26" s="10"/>
      <c r="E26" s="24" t="s">
        <v>122</v>
      </c>
      <c r="F26">
        <v>3.74</v>
      </c>
    </row>
    <row r="27" spans="1:11" x14ac:dyDescent="0.15">
      <c r="A27" t="s">
        <v>127</v>
      </c>
      <c r="D27" s="10"/>
      <c r="E27" s="24" t="s">
        <v>122</v>
      </c>
      <c r="F27">
        <v>3.355</v>
      </c>
    </row>
    <row r="28" spans="1:11" x14ac:dyDescent="0.15">
      <c r="A28" t="s">
        <v>128</v>
      </c>
      <c r="D28" s="10"/>
      <c r="E28" s="24" t="s">
        <v>122</v>
      </c>
      <c r="F28">
        <v>35.475000000000001</v>
      </c>
    </row>
    <row r="29" spans="1:11" x14ac:dyDescent="0.15">
      <c r="D29" s="10"/>
    </row>
    <row r="30" spans="1:11" x14ac:dyDescent="0.15">
      <c r="D30" s="10"/>
    </row>
    <row r="31" spans="1:11" x14ac:dyDescent="0.1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</row>
  </sheetData>
  <sheetProtection algorithmName="SHA-512" hashValue="yCePvXjG0bq5u/3qcK3avOPVd8JS4amlw14XTpHLdBGc/SVYXH+kB9DGPwsU5rWpF6uBXO5Fum1Z6DabpZ+uqg==" saltValue="ZQEngDYELh0Rf2QJ4bPHEA==" spinCount="100000" sheet="1" objects="1" scenarios="1"/>
  <phoneticPr fontId="10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K14"/>
  <sheetViews>
    <sheetView zoomScale="150" workbookViewId="0">
      <selection activeCell="E7" sqref="E7:E8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spans="1:11" x14ac:dyDescent="0.15">
      <c r="A3" s="7" t="s">
        <v>116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138</v>
      </c>
    </row>
    <row r="5" spans="1:11" x14ac:dyDescent="0.15">
      <c r="D5" s="10"/>
    </row>
    <row r="6" spans="1:11" x14ac:dyDescent="0.15">
      <c r="A6" s="12" t="s">
        <v>121</v>
      </c>
      <c r="D6" s="10"/>
      <c r="E6" s="13" t="s">
        <v>99</v>
      </c>
      <c r="F6" s="13" t="s">
        <v>101</v>
      </c>
      <c r="G6" s="13"/>
    </row>
    <row r="7" spans="1:11" x14ac:dyDescent="0.15">
      <c r="A7" t="s">
        <v>113</v>
      </c>
      <c r="D7" s="10"/>
      <c r="E7" s="27">
        <v>775</v>
      </c>
      <c r="F7">
        <v>2328</v>
      </c>
      <c r="G7" s="13"/>
    </row>
    <row r="8" spans="1:11" x14ac:dyDescent="0.15">
      <c r="A8" s="14" t="s">
        <v>112</v>
      </c>
      <c r="B8" s="14"/>
      <c r="C8" s="14"/>
      <c r="D8" s="15"/>
      <c r="E8" s="14">
        <v>2325</v>
      </c>
      <c r="F8" s="14">
        <v>2328</v>
      </c>
      <c r="G8" s="14"/>
    </row>
    <row r="9" spans="1:11" x14ac:dyDescent="0.15">
      <c r="A9" t="s">
        <v>109</v>
      </c>
      <c r="D9" s="10"/>
      <c r="E9">
        <v>4.1085000000000003</v>
      </c>
      <c r="F9">
        <v>2.9039999999999999</v>
      </c>
    </row>
    <row r="10" spans="1:11" x14ac:dyDescent="0.15">
      <c r="A10" t="s">
        <v>89</v>
      </c>
      <c r="D10" s="10"/>
      <c r="E10">
        <v>2.9348000000000001</v>
      </c>
      <c r="F10" s="21">
        <v>0</v>
      </c>
    </row>
    <row r="11" spans="1:11" x14ac:dyDescent="0.15">
      <c r="A11" t="s">
        <v>127</v>
      </c>
      <c r="D11" s="10"/>
      <c r="E11">
        <v>2.7488999999999999</v>
      </c>
      <c r="F11">
        <v>2.508</v>
      </c>
    </row>
    <row r="12" spans="1:11" x14ac:dyDescent="0.15">
      <c r="A12" t="s">
        <v>128</v>
      </c>
      <c r="D12" s="10"/>
      <c r="E12">
        <v>102.113</v>
      </c>
      <c r="F12">
        <v>104.04900000000001</v>
      </c>
    </row>
    <row r="13" spans="1:11" x14ac:dyDescent="0.15">
      <c r="D13" s="10"/>
    </row>
    <row r="14" spans="1:11" x14ac:dyDescent="0.15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</row>
  </sheetData>
  <sheetProtection algorithmName="SHA-512" hashValue="gXgDEmFWjcubMMaJqSqeVow/shh0tp5P2kc6wCg/AOqfa8ICcvVLa1F/HWZkV0i4jerKNyfys6XCpCDGv4LRLQ==" saltValue="VwEhw5wyi0F58ye6Fs93dQ==" spinCount="100000" sheet="1" objects="1" scenarios="1"/>
  <phoneticPr fontId="10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D35C9-8FBF-814F-BB0D-4F96188FB1D9}">
  <sheetPr codeName="Sheet36"/>
  <dimension ref="A1:ZC4058"/>
  <sheetViews>
    <sheetView zoomScale="113" zoomScaleNormal="113" workbookViewId="0">
      <selection activeCell="I19" sqref="I19:I20"/>
    </sheetView>
  </sheetViews>
  <sheetFormatPr baseColWidth="10" defaultRowHeight="13" x14ac:dyDescent="0.15"/>
  <cols>
    <col min="1" max="1" width="17.83203125" style="123" customWidth="1"/>
    <col min="2" max="2" width="14" style="123" customWidth="1"/>
    <col min="3" max="7" width="12.1640625" style="123" customWidth="1"/>
    <col min="8" max="8" width="10.6640625" style="123" customWidth="1"/>
    <col min="9" max="9" width="10.83203125" style="123"/>
    <col min="680" max="16384" width="10.83203125" style="123"/>
  </cols>
  <sheetData>
    <row r="1" spans="1:31" customFormat="1" x14ac:dyDescent="0.15">
      <c r="A1" s="183" t="s">
        <v>7</v>
      </c>
      <c r="B1" s="183"/>
      <c r="C1" s="183"/>
      <c r="D1" s="183"/>
      <c r="E1" s="183"/>
      <c r="F1" s="183"/>
      <c r="G1" s="183"/>
      <c r="H1" s="183"/>
      <c r="I1" s="183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</row>
    <row r="2" spans="1:31" customFormat="1" x14ac:dyDescent="0.15">
      <c r="A2" s="183" t="s">
        <v>0</v>
      </c>
      <c r="B2" s="183"/>
      <c r="C2" s="183"/>
      <c r="D2" s="183"/>
      <c r="E2" s="183"/>
      <c r="F2" s="183"/>
      <c r="G2" s="183"/>
      <c r="H2" s="183"/>
      <c r="I2" s="183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</row>
    <row r="3" spans="1:31" customFormat="1" ht="14" thickBot="1" x14ac:dyDescent="0.2">
      <c r="A3" s="183"/>
      <c r="B3" s="183"/>
      <c r="C3" s="183"/>
      <c r="D3" s="183"/>
      <c r="E3" s="183"/>
      <c r="F3" s="183"/>
      <c r="G3" s="183"/>
      <c r="H3" s="183"/>
      <c r="I3" s="183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</row>
    <row r="4" spans="1:31" ht="14" x14ac:dyDescent="0.15">
      <c r="A4" s="94"/>
      <c r="B4" s="95"/>
      <c r="C4" s="95"/>
      <c r="D4" s="95"/>
      <c r="E4" s="95"/>
      <c r="F4" s="95"/>
      <c r="G4" s="95"/>
      <c r="H4" s="95"/>
      <c r="I4" s="96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</row>
    <row r="5" spans="1:31" ht="14" x14ac:dyDescent="0.15">
      <c r="A5" s="97" t="s">
        <v>183</v>
      </c>
      <c r="B5" s="57"/>
      <c r="C5" s="115">
        <v>2500</v>
      </c>
      <c r="D5" s="57"/>
      <c r="E5" s="57"/>
      <c r="F5" s="57"/>
      <c r="G5" s="57"/>
      <c r="H5" s="57"/>
      <c r="I5" s="98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6" spans="1:31" ht="15" thickBot="1" x14ac:dyDescent="0.2">
      <c r="A6" s="99"/>
      <c r="B6" s="100"/>
      <c r="C6" s="100"/>
      <c r="D6" s="100"/>
      <c r="E6" s="100"/>
      <c r="F6" s="100"/>
      <c r="G6" s="100"/>
      <c r="H6" s="100"/>
      <c r="I6" s="101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</row>
    <row r="7" spans="1:31" ht="14" x14ac:dyDescent="0.15">
      <c r="A7" s="94" t="s">
        <v>1</v>
      </c>
      <c r="B7" s="95"/>
      <c r="C7" s="95"/>
      <c r="D7" s="95"/>
      <c r="E7" s="95"/>
      <c r="F7" s="95"/>
      <c r="G7" s="95"/>
      <c r="H7" s="102"/>
      <c r="I7" s="96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</row>
    <row r="8" spans="1:31" ht="41" customHeight="1" x14ac:dyDescent="0.15">
      <c r="A8" s="151" t="s">
        <v>94</v>
      </c>
      <c r="B8" s="152" t="s">
        <v>61</v>
      </c>
      <c r="C8" s="153" t="s">
        <v>55</v>
      </c>
      <c r="D8" s="153" t="s">
        <v>2</v>
      </c>
      <c r="E8" s="154" t="s">
        <v>3</v>
      </c>
      <c r="F8" s="154" t="s">
        <v>4</v>
      </c>
      <c r="G8" s="154" t="s">
        <v>216</v>
      </c>
      <c r="H8" s="155" t="s">
        <v>5</v>
      </c>
      <c r="I8" s="156" t="s">
        <v>6</v>
      </c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</row>
    <row r="9" spans="1:31" x14ac:dyDescent="0.15">
      <c r="A9" s="104" t="str">
        <f>'Tariffs 2022'!F2</f>
        <v>AGL</v>
      </c>
      <c r="B9" s="105">
        <f>'Tariffs 2022'!E2</f>
        <v>43284</v>
      </c>
      <c r="C9" s="106">
        <f>91*'Tariffs 2022'!H2/100</f>
        <v>121.02172727272726</v>
      </c>
      <c r="D9" s="106">
        <f>C5*'Tariffs 2022'!O2/100</f>
        <v>101.59090909090908</v>
      </c>
      <c r="E9" s="106">
        <v>0</v>
      </c>
      <c r="F9" s="106">
        <v>0</v>
      </c>
      <c r="G9" s="106">
        <f t="shared" ref="G9:G14" si="0">SUM(C9:F9)</f>
        <v>222.61263636363634</v>
      </c>
      <c r="H9" s="107">
        <f t="shared" ref="H9:H14" si="1">G9*4</f>
        <v>890.45054545454536</v>
      </c>
      <c r="I9" s="108">
        <f t="shared" ref="I9:I14" si="2">H9*1.1</f>
        <v>979.49559999999997</v>
      </c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</row>
    <row r="10" spans="1:31" x14ac:dyDescent="0.15">
      <c r="A10" s="104" t="str">
        <f>'Tariffs 2022'!F3</f>
        <v>Origin Energy</v>
      </c>
      <c r="B10" s="105">
        <f>'Tariffs 2022'!E3</f>
        <v>43281</v>
      </c>
      <c r="C10" s="106">
        <f>91*'Tariffs 2022'!H3/100</f>
        <v>108.48854545454543</v>
      </c>
      <c r="D10" s="106">
        <f>IF($C$5&gt;='Tariffs 2022'!J3,('Tariffs 2022'!J3*'Tariffs 2022'!O3/100),($C$5*'Tariffs 2022'!O3/100))</f>
        <v>82.74763636363636</v>
      </c>
      <c r="E10" s="106">
        <v>0</v>
      </c>
      <c r="F10" s="106">
        <f>IF(($C$5&lt;'Tariffs 2022'!J3),(0),($C$5-'Tariffs 2022'!J3)*'Tariffs 2022'!P3/100)</f>
        <v>5.8578181818181818</v>
      </c>
      <c r="G10" s="106">
        <f t="shared" si="0"/>
        <v>197.09399999999997</v>
      </c>
      <c r="H10" s="107">
        <f t="shared" si="1"/>
        <v>788.37599999999986</v>
      </c>
      <c r="I10" s="108">
        <f t="shared" si="2"/>
        <v>867.21359999999993</v>
      </c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</row>
    <row r="11" spans="1:31" x14ac:dyDescent="0.15">
      <c r="A11" s="104" t="str">
        <f>'Tariffs 2022'!F4</f>
        <v>Alinta Energy</v>
      </c>
      <c r="B11" s="105">
        <f>'Tariffs 2022'!E4</f>
        <v>43281</v>
      </c>
      <c r="C11" s="106">
        <f>91*'Tariffs 2022'!H4/100</f>
        <v>96.790909090909082</v>
      </c>
      <c r="D11" s="106">
        <f>IF($C$5&gt;='Tariffs 2022'!J4,('Tariffs 2022'!J4*'Tariffs 2022'!O4/100),($C$5*'Tariffs 2022'!O4/100))</f>
        <v>80.84781818181817</v>
      </c>
      <c r="E11" s="106">
        <v>0</v>
      </c>
      <c r="F11" s="106">
        <f>IF(($C$5&lt;'Tariffs 2022'!J4),(0),($C$5-'Tariffs 2022'!J4)*'Tariffs 2022'!P4/100)</f>
        <v>5.6959999999999988</v>
      </c>
      <c r="G11" s="106">
        <f t="shared" si="0"/>
        <v>183.33472727272724</v>
      </c>
      <c r="H11" s="107">
        <f t="shared" si="1"/>
        <v>733.33890909090894</v>
      </c>
      <c r="I11" s="108">
        <f t="shared" si="2"/>
        <v>806.67279999999994</v>
      </c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</row>
    <row r="12" spans="1:31" x14ac:dyDescent="0.15">
      <c r="A12" s="104" t="str">
        <f>'Tariffs 2022'!F5</f>
        <v>CovaU</v>
      </c>
      <c r="B12" s="105">
        <f>'Tariffs 2022'!E5</f>
        <v>43281</v>
      </c>
      <c r="C12" s="106">
        <f>91*'Tariffs 2022'!H5/100</f>
        <v>107.97563636363637</v>
      </c>
      <c r="D12" s="106">
        <f>IF($C$5&gt;='Tariffs 2022'!J5,('Tariffs 2022'!J5*'Tariffs 2022'!O5/100),($C$5*'Tariffs 2022'!O5/100))</f>
        <v>130.03199999999998</v>
      </c>
      <c r="E12" s="106">
        <f>IF($C$5&lt;'Tariffs 2022'!J5,0,IF(($C$5-'Tariffs 2022'!J5)&lt;='Tariffs 2022'!K5,(($C$5-'Tariffs 2022'!J5)*'Tariffs 2022'!P5/100),(('Tariffs 2022'!K5-'Tariffs 2022'!J5)*'Tariffs 2022'!P5/100)))</f>
        <v>9.4178181818181823</v>
      </c>
      <c r="F12" s="106">
        <f>IF(($C$5&lt;'Tariffs 2022'!K5),(0),($C$5-'Tariffs 2022'!K5)*'Tariffs 2022'!Q5/100)</f>
        <v>0</v>
      </c>
      <c r="G12" s="106">
        <f t="shared" si="0"/>
        <v>247.42545454545453</v>
      </c>
      <c r="H12" s="107">
        <f t="shared" si="1"/>
        <v>989.70181818181811</v>
      </c>
      <c r="I12" s="108">
        <f t="shared" si="2"/>
        <v>1088.672</v>
      </c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</row>
    <row r="13" spans="1:31" x14ac:dyDescent="0.15">
      <c r="A13" s="104" t="str">
        <f>'Tariffs 2022'!F6</f>
        <v>GloBird Energy</v>
      </c>
      <c r="B13" s="105">
        <f>'Tariffs 2022'!E6</f>
        <v>43280</v>
      </c>
      <c r="C13" s="106">
        <f>91*'Tariffs 2022'!H6/100</f>
        <v>118.3</v>
      </c>
      <c r="D13" s="106">
        <f>IF($C$5&gt;='Tariffs 2022'!J6,('Tariffs 2022'!J6*'Tariffs 2022'!O6/100),($C$5*'Tariffs 2022'!O6/100))</f>
        <v>175</v>
      </c>
      <c r="E13" s="106">
        <v>0</v>
      </c>
      <c r="F13" s="106">
        <f>IF(($C$5&lt;'Tariffs 2022'!J6),(0),($C$5-'Tariffs 2022'!J6)*'Tariffs 2022'!P6/100)</f>
        <v>0</v>
      </c>
      <c r="G13" s="106">
        <f t="shared" si="0"/>
        <v>293.3</v>
      </c>
      <c r="H13" s="107">
        <f t="shared" si="1"/>
        <v>1173.2</v>
      </c>
      <c r="I13" s="108">
        <f t="shared" si="2"/>
        <v>1290.5200000000002</v>
      </c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</row>
    <row r="14" spans="1:31" ht="14" thickBot="1" x14ac:dyDescent="0.2">
      <c r="A14" s="109" t="str">
        <f>'Tariffs 2022'!F7</f>
        <v>Red Energy</v>
      </c>
      <c r="B14" s="110">
        <f>'Tariffs 2022'!E7</f>
        <v>43281</v>
      </c>
      <c r="C14" s="111">
        <f>91*'Tariffs 2022'!H7/100</f>
        <v>113.74999999999999</v>
      </c>
      <c r="D14" s="111">
        <f>IF($C$5&gt;='Tariffs 2022'!J7,('Tariffs 2022'!J7*'Tariffs 2022'!O7/100),($C$5*'Tariffs 2022'!O7/100))</f>
        <v>85.914000000000001</v>
      </c>
      <c r="E14" s="111">
        <f>IF($C$5&lt;'Tariffs 2022'!J7,0,IF(($C$5-'Tariffs 2022'!J7)&lt;='Tariffs 2022'!K7,(($C$5-'Tariffs 2022'!J7)*'Tariffs 2022'!P7/100),(('Tariffs 2022'!K7-'Tariffs 2022'!J7)*'Tariffs 2022'!P7/100)))</f>
        <v>6.0519999999999996</v>
      </c>
      <c r="F14" s="111">
        <f>IF(($C$5&lt;'Tariffs 2022'!K7),(0),($C$5-'Tariffs 2022'!K7)*'Tariffs 2022'!Q7/100)</f>
        <v>0</v>
      </c>
      <c r="G14" s="111">
        <f t="shared" si="0"/>
        <v>205.71599999999998</v>
      </c>
      <c r="H14" s="112">
        <f t="shared" si="1"/>
        <v>822.86399999999992</v>
      </c>
      <c r="I14" s="113">
        <f t="shared" si="2"/>
        <v>905.15039999999999</v>
      </c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</row>
    <row r="15" spans="1:31" customFormat="1" x14ac:dyDescent="0.15">
      <c r="A15" s="184"/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</row>
    <row r="16" spans="1:31" customFormat="1" ht="14" thickBot="1" x14ac:dyDescent="0.2">
      <c r="A16" s="184"/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</row>
    <row r="17" spans="1:31" ht="14" x14ac:dyDescent="0.15">
      <c r="A17" s="94" t="s">
        <v>8</v>
      </c>
      <c r="B17" s="95"/>
      <c r="C17" s="95"/>
      <c r="D17" s="95"/>
      <c r="E17" s="95"/>
      <c r="F17" s="95"/>
      <c r="G17" s="95"/>
      <c r="H17" s="102"/>
      <c r="I17" s="96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</row>
    <row r="18" spans="1:31" ht="30" x14ac:dyDescent="0.15">
      <c r="A18" s="151" t="s">
        <v>94</v>
      </c>
      <c r="B18" s="152" t="s">
        <v>61</v>
      </c>
      <c r="C18" s="153" t="s">
        <v>55</v>
      </c>
      <c r="D18" s="153" t="s">
        <v>2</v>
      </c>
      <c r="E18" s="154" t="s">
        <v>3</v>
      </c>
      <c r="F18" s="154" t="s">
        <v>4</v>
      </c>
      <c r="G18" s="154" t="s">
        <v>216</v>
      </c>
      <c r="H18" s="155" t="s">
        <v>5</v>
      </c>
      <c r="I18" s="156" t="s">
        <v>6</v>
      </c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</row>
    <row r="19" spans="1:31" x14ac:dyDescent="0.15">
      <c r="A19" s="104" t="str">
        <f>'Tariffs 2022'!F8</f>
        <v>AGL</v>
      </c>
      <c r="B19" s="105">
        <f>'Tariffs 2022'!E8</f>
        <v>43284</v>
      </c>
      <c r="C19" s="106">
        <f>91*'Tariffs 2022'!H8/100</f>
        <v>69.697727272727263</v>
      </c>
      <c r="D19" s="106">
        <f>C5*'Tariffs 2022'!O8/100</f>
        <v>128.86363636363637</v>
      </c>
      <c r="E19" s="106">
        <f>IF($C$5&lt;'Tariffs 2022'!J8,0,IF(($C$5-'Tariffs 2022'!J8)&lt;='Tariffs 2022'!K8,(($C$5-'Tariffs 2022'!J8)*'Tariffs 2022'!P8/100),(('Tariffs 2022'!K8-'Tariffs 2022'!J8)*'Tariffs 2022'!P8/100)))</f>
        <v>0</v>
      </c>
      <c r="F19" s="106">
        <f>IF(($C$5&lt;'Tariffs 2022'!K8),(0),($C$5-'Tariffs 2022'!K8)*'Tariffs 2022'!Q8/100)</f>
        <v>0</v>
      </c>
      <c r="G19" s="106">
        <f t="shared" ref="G19:G24" si="3">SUM(C19:F19)</f>
        <v>198.56136363636364</v>
      </c>
      <c r="H19" s="107">
        <f t="shared" ref="H19:H24" si="4">G19*4</f>
        <v>794.24545454545455</v>
      </c>
      <c r="I19" s="108">
        <f t="shared" ref="I19:I24" si="5">H19*1.1</f>
        <v>873.67000000000007</v>
      </c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</row>
    <row r="20" spans="1:31" x14ac:dyDescent="0.15">
      <c r="A20" s="104" t="str">
        <f>'Tariffs 2022'!F9</f>
        <v>Origin Energy</v>
      </c>
      <c r="B20" s="105">
        <f>'Tariffs 2022'!E9</f>
        <v>43281</v>
      </c>
      <c r="C20" s="106">
        <f>91*'Tariffs 2022'!H9/100</f>
        <v>68.233454545454549</v>
      </c>
      <c r="D20" s="106">
        <f>IF($C$5&gt;='Tariffs 2022'!J9,('Tariffs 2022'!J9*'Tariffs 2022'!O9/100),($C$5*'Tariffs 2022'!O9/100))</f>
        <v>48.35436363636363</v>
      </c>
      <c r="E20" s="106">
        <f>IF($C$5&lt;'Tariffs 2022'!J9,0,IF(($C$5-'Tariffs 2022'!J9)&lt;='Tariffs 2022'!K9,(($C$5-'Tariffs 2022'!J9)*'Tariffs 2022'!P9/100),(('Tariffs 2022'!K9-'Tariffs 2022'!J9)*'Tariffs 2022'!P9/100)))</f>
        <v>80.683999999999997</v>
      </c>
      <c r="F20" s="106">
        <f>IF(($C$5&lt;'Tariffs 2022'!K9),(0),($C$5-'Tariffs 2022'!K9)*'Tariffs 2022'!Q9/100)</f>
        <v>0.19636363636363632</v>
      </c>
      <c r="G20" s="106">
        <f t="shared" si="3"/>
        <v>197.46818181818179</v>
      </c>
      <c r="H20" s="107">
        <f t="shared" si="4"/>
        <v>789.87272727272716</v>
      </c>
      <c r="I20" s="108">
        <f t="shared" si="5"/>
        <v>868.8599999999999</v>
      </c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</row>
    <row r="21" spans="1:31" x14ac:dyDescent="0.15">
      <c r="A21" s="104" t="str">
        <f>'Tariffs 2022'!F10</f>
        <v>Alinta Energy</v>
      </c>
      <c r="B21" s="105">
        <f>'Tariffs 2022'!E10</f>
        <v>43281</v>
      </c>
      <c r="C21" s="106">
        <f>91*'Tariffs 2022'!H10/100</f>
        <v>63.7</v>
      </c>
      <c r="D21" s="106">
        <f>C5*'Tariffs 2022'!O10/100</f>
        <v>129.99999999999997</v>
      </c>
      <c r="E21" s="106">
        <f>IF($C$5&lt;'Tariffs 2022'!J10,0,IF(($C$5-'Tariffs 2022'!J10)&lt;='Tariffs 2022'!K10,(($C$5-'Tariffs 2022'!J10)*'Tariffs 2022'!P10/100),(('Tariffs 2022'!K10-'Tariffs 2022'!J10)*'Tariffs 2022'!P10/100)))</f>
        <v>0</v>
      </c>
      <c r="F21" s="106">
        <f>IF(($C$5&lt;'Tariffs 2022'!K10),(0),($C$5-'Tariffs 2022'!K10)*'Tariffs 2022'!Q10/100)</f>
        <v>0</v>
      </c>
      <c r="G21" s="106">
        <f t="shared" si="3"/>
        <v>193.7</v>
      </c>
      <c r="H21" s="107">
        <f t="shared" si="4"/>
        <v>774.8</v>
      </c>
      <c r="I21" s="108">
        <f t="shared" si="5"/>
        <v>852.28</v>
      </c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</row>
    <row r="22" spans="1:31" x14ac:dyDescent="0.15">
      <c r="A22" s="104" t="str">
        <f>'Tariffs 2022'!F11</f>
        <v>CovaU</v>
      </c>
      <c r="B22" s="105">
        <f>'Tariffs 2022'!E11</f>
        <v>43281</v>
      </c>
      <c r="C22" s="106">
        <f>91*'Tariffs 2022'!H11/100</f>
        <v>69.846636363636364</v>
      </c>
      <c r="D22" s="106">
        <f>IF($C$5&gt;='Tariffs 2022'!J11,('Tariffs 2022'!J11*'Tariffs 2022'!O11/100),($C$5*'Tariffs 2022'!O11/100))</f>
        <v>57.848909090909082</v>
      </c>
      <c r="E22" s="106">
        <f>IF($C$5&lt;'Tariffs 2022'!J11,0,IF(($C$5-'Tariffs 2022'!J11)&lt;='Tariffs 2022'!K11,(($C$5-'Tariffs 2022'!J11)*'Tariffs 2022'!P11/100),(('Tariffs 2022'!K11-'Tariffs 2022'!J11)*'Tariffs 2022'!P11/100)))</f>
        <v>105.87781818181817</v>
      </c>
      <c r="F22" s="106">
        <f>IF(($C$5&lt;'Tariffs 2022'!K11),(0),($C$5-'Tariffs 2022'!K11)*'Tariffs 2022'!Q11/100)</f>
        <v>0.29127272727272724</v>
      </c>
      <c r="G22" s="106">
        <f t="shared" si="3"/>
        <v>233.86463636363638</v>
      </c>
      <c r="H22" s="107">
        <f t="shared" si="4"/>
        <v>935.45854545454551</v>
      </c>
      <c r="I22" s="108">
        <f t="shared" si="5"/>
        <v>1029.0044000000003</v>
      </c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</row>
    <row r="23" spans="1:31" x14ac:dyDescent="0.15">
      <c r="A23" s="104" t="str">
        <f>'Tariffs 2022'!F12</f>
        <v>GloBird Energy</v>
      </c>
      <c r="B23" s="105">
        <f>'Tariffs 2022'!E12</f>
        <v>43280</v>
      </c>
      <c r="C23" s="106">
        <f>91*'Tariffs 2022'!H12/100</f>
        <v>77.349999999999994</v>
      </c>
      <c r="D23" s="106">
        <f>IF($C$5&gt;='Tariffs 2022'!J12,('Tariffs 2022'!J12*'Tariffs 2022'!O12/100),($C$5*'Tariffs 2022'!O12/100))</f>
        <v>72.459000000000003</v>
      </c>
      <c r="E23" s="106">
        <v>0</v>
      </c>
      <c r="F23" s="106">
        <f>IF(($C$5&lt;'Tariffs 2022'!J12),(0),($C$5-'Tariffs 2022'!J12)*'Tariffs 2022'!P12/100)</f>
        <v>154.26399999999998</v>
      </c>
      <c r="G23" s="106">
        <f t="shared" si="3"/>
        <v>304.07299999999998</v>
      </c>
      <c r="H23" s="107">
        <f t="shared" si="4"/>
        <v>1216.2919999999999</v>
      </c>
      <c r="I23" s="108">
        <f t="shared" si="5"/>
        <v>1337.9212</v>
      </c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</row>
    <row r="24" spans="1:31" ht="14" thickBot="1" x14ac:dyDescent="0.2">
      <c r="A24" s="109" t="str">
        <f>'Tariffs 2022'!F13</f>
        <v>Red Energy</v>
      </c>
      <c r="B24" s="110">
        <f>'Tariffs 2022'!E13</f>
        <v>43281</v>
      </c>
      <c r="C24" s="111">
        <f>91*'Tariffs 2022'!H13/100</f>
        <v>77.349999999999994</v>
      </c>
      <c r="D24" s="111">
        <f>IF($C$5&gt;='Tariffs 2022'!J13,('Tariffs 2022'!J13*'Tariffs 2022'!O13/100),($C$5*'Tariffs 2022'!O13/100))</f>
        <v>46.251999999999995</v>
      </c>
      <c r="E24" s="111">
        <f>IF($C$5&lt;'Tariffs 2022'!J13,0,IF(($C$5-'Tariffs 2022'!J13)&lt;='Tariffs 2022'!K13,(($C$5-'Tariffs 2022'!J13)*'Tariffs 2022'!P13/100),(('Tariffs 2022'!K13-'Tariffs 2022'!J13)*'Tariffs 2022'!P13/100)))</f>
        <v>77.175999999999988</v>
      </c>
      <c r="F24" s="111">
        <f>IF(($C$5&lt;'Tariffs 2022'!K13),(0),($C$5-'Tariffs 2022'!K13)*'Tariffs 2022'!Q13/100)</f>
        <v>0.16799999999999998</v>
      </c>
      <c r="G24" s="111">
        <f t="shared" si="3"/>
        <v>200.94599999999997</v>
      </c>
      <c r="H24" s="112">
        <f t="shared" si="4"/>
        <v>803.78399999999988</v>
      </c>
      <c r="I24" s="113">
        <f t="shared" si="5"/>
        <v>884.16239999999993</v>
      </c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</row>
    <row r="25" spans="1:31" customFormat="1" x14ac:dyDescent="0.15">
      <c r="A25" s="184"/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</row>
    <row r="26" spans="1:31" customFormat="1" ht="14" thickBot="1" x14ac:dyDescent="0.2">
      <c r="A26" s="184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</row>
    <row r="27" spans="1:31" ht="14" x14ac:dyDescent="0.15">
      <c r="A27" s="94" t="s">
        <v>59</v>
      </c>
      <c r="B27" s="95"/>
      <c r="C27" s="95"/>
      <c r="D27" s="95"/>
      <c r="E27" s="95"/>
      <c r="F27" s="95"/>
      <c r="G27" s="95"/>
      <c r="H27" s="102"/>
      <c r="I27" s="96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</row>
    <row r="28" spans="1:31" ht="30" x14ac:dyDescent="0.15">
      <c r="A28" s="151" t="s">
        <v>94</v>
      </c>
      <c r="B28" s="152" t="s">
        <v>61</v>
      </c>
      <c r="C28" s="153" t="s">
        <v>55</v>
      </c>
      <c r="D28" s="153" t="s">
        <v>2</v>
      </c>
      <c r="E28" s="154" t="s">
        <v>3</v>
      </c>
      <c r="F28" s="154" t="s">
        <v>4</v>
      </c>
      <c r="G28" s="154" t="s">
        <v>216</v>
      </c>
      <c r="H28" s="155" t="s">
        <v>5</v>
      </c>
      <c r="I28" s="156" t="s">
        <v>6</v>
      </c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</row>
    <row r="29" spans="1:31" ht="14" thickBot="1" x14ac:dyDescent="0.2">
      <c r="A29" s="109" t="str">
        <f>'Tariffs 2022'!F14</f>
        <v>Origin Energy</v>
      </c>
      <c r="B29" s="110">
        <f>'Tariffs 2022'!E14</f>
        <v>43281</v>
      </c>
      <c r="C29" s="111">
        <f>91*'Tariffs 2022'!H14/100</f>
        <v>70.309909090909073</v>
      </c>
      <c r="D29" s="111">
        <f>IF($C$5&gt;='Tariffs 2022'!J14,('Tariffs 2022'!J14*'Tariffs 2022'!O14/100),($C$5*'Tariffs 2022'!O14/100))</f>
        <v>50.795818181818177</v>
      </c>
      <c r="E29" s="111">
        <f>IF($C$5&lt;'Tariffs 2022'!J14,0,IF(($C$5-'Tariffs 2022'!J14)&lt;='Tariffs 2022'!K14,(($C$5-'Tariffs 2022'!J14)*'Tariffs 2022'!P14/100),(('Tariffs 2022'!K14-'Tariffs 2022'!J14)*'Tariffs 2022'!P14/100)))</f>
        <v>81.640727272727275</v>
      </c>
      <c r="F29" s="111">
        <f>IF(($C$5&lt;'Tariffs 2022'!K14),(0),($C$5-'Tariffs 2022'!K14)*'Tariffs 2022'!Q14/100)</f>
        <v>0.18381818181818183</v>
      </c>
      <c r="G29" s="111">
        <f>SUM(C29:F29)</f>
        <v>202.93027272727269</v>
      </c>
      <c r="H29" s="112">
        <f>G29*4</f>
        <v>811.72109090909078</v>
      </c>
      <c r="I29" s="113">
        <f>H29*1.1</f>
        <v>892.89319999999998</v>
      </c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</row>
    <row r="30" spans="1:31" customFormat="1" x14ac:dyDescent="0.15">
      <c r="A30" s="184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</row>
    <row r="31" spans="1:31" customFormat="1" ht="14" thickBot="1" x14ac:dyDescent="0.2">
      <c r="A31" s="184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</row>
    <row r="32" spans="1:31" ht="14" x14ac:dyDescent="0.15">
      <c r="A32" s="94" t="s">
        <v>60</v>
      </c>
      <c r="B32" s="95"/>
      <c r="C32" s="95"/>
      <c r="D32" s="95"/>
      <c r="E32" s="95"/>
      <c r="F32" s="95"/>
      <c r="G32" s="95"/>
      <c r="H32" s="102"/>
      <c r="I32" s="96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</row>
    <row r="33" spans="1:31" ht="30" x14ac:dyDescent="0.15">
      <c r="A33" s="151" t="s">
        <v>94</v>
      </c>
      <c r="B33" s="152" t="s">
        <v>61</v>
      </c>
      <c r="C33" s="153" t="s">
        <v>55</v>
      </c>
      <c r="D33" s="153" t="s">
        <v>2</v>
      </c>
      <c r="E33" s="154" t="s">
        <v>3</v>
      </c>
      <c r="F33" s="154" t="s">
        <v>4</v>
      </c>
      <c r="G33" s="154" t="s">
        <v>216</v>
      </c>
      <c r="H33" s="155" t="s">
        <v>5</v>
      </c>
      <c r="I33" s="156" t="s">
        <v>6</v>
      </c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</row>
    <row r="34" spans="1:31" ht="14" thickBot="1" x14ac:dyDescent="0.2">
      <c r="A34" s="109" t="str">
        <f>'Tariffs 2022'!F15</f>
        <v>Origin Energy</v>
      </c>
      <c r="B34" s="110">
        <f>'Tariffs 2022'!E15</f>
        <v>43281</v>
      </c>
      <c r="C34" s="114">
        <f>91*'Tariffs 2022'!H15/100</f>
        <v>28.408545454545457</v>
      </c>
      <c r="D34" s="114">
        <f>IF($C$5&gt;='Tariffs 2022'!J15,('Tariffs 2022'!J15*'Tariffs 2022'!O15/100),($C$5*'Tariffs 2022'!O15/100))</f>
        <v>100</v>
      </c>
      <c r="E34" s="114">
        <v>0</v>
      </c>
      <c r="F34" s="114">
        <f>IF(($C$5&lt;'Tariffs 2022'!J15),(0),($C$5-'Tariffs 2022'!J15)*'Tariffs 2022'!P15/100)</f>
        <v>0</v>
      </c>
      <c r="G34" s="111">
        <f>SUM(C34:F34)</f>
        <v>128.40854545454545</v>
      </c>
      <c r="H34" s="112">
        <f>G34*4</f>
        <v>513.63418181818179</v>
      </c>
      <c r="I34" s="113">
        <f>H34*1.1</f>
        <v>564.99760000000003</v>
      </c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</row>
    <row r="35" spans="1:31" customFormat="1" x14ac:dyDescent="0.15">
      <c r="A35" s="184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</row>
    <row r="36" spans="1:31" customFormat="1" x14ac:dyDescent="0.15">
      <c r="A36" s="184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</row>
    <row r="37" spans="1:31" customFormat="1" x14ac:dyDescent="0.15">
      <c r="A37" s="184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</row>
    <row r="38" spans="1:31" customFormat="1" x14ac:dyDescent="0.15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</row>
    <row r="39" spans="1:31" customFormat="1" x14ac:dyDescent="0.15">
      <c r="A39" s="184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</row>
    <row r="40" spans="1:31" customFormat="1" x14ac:dyDescent="0.15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</row>
    <row r="41" spans="1:31" customFormat="1" x14ac:dyDescent="0.15">
      <c r="A41" s="184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</row>
    <row r="42" spans="1:31" customFormat="1" x14ac:dyDescent="0.15">
      <c r="A42" s="184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</row>
    <row r="43" spans="1:31" customFormat="1" x14ac:dyDescent="0.15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</row>
    <row r="44" spans="1:31" customFormat="1" x14ac:dyDescent="0.15">
      <c r="A44" s="184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</row>
    <row r="45" spans="1:31" customFormat="1" x14ac:dyDescent="0.15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</row>
    <row r="46" spans="1:31" customFormat="1" x14ac:dyDescent="0.15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</row>
    <row r="47" spans="1:31" customFormat="1" x14ac:dyDescent="0.15">
      <c r="A47" s="184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</row>
    <row r="48" spans="1:31" customFormat="1" x14ac:dyDescent="0.15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</row>
    <row r="49" spans="1:31" customFormat="1" x14ac:dyDescent="0.15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</row>
    <row r="50" spans="1:31" customFormat="1" x14ac:dyDescent="0.15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</row>
    <row r="51" spans="1:31" customFormat="1" x14ac:dyDescent="0.15">
      <c r="A51" s="184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</row>
    <row r="52" spans="1:31" customFormat="1" x14ac:dyDescent="0.15">
      <c r="A52" s="184"/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</row>
    <row r="53" spans="1:31" customFormat="1" x14ac:dyDescent="0.15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</row>
    <row r="54" spans="1:31" customFormat="1" x14ac:dyDescent="0.15">
      <c r="A54" s="184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</row>
    <row r="55" spans="1:31" customFormat="1" x14ac:dyDescent="0.15">
      <c r="A55" s="184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</row>
    <row r="56" spans="1:31" customFormat="1" x14ac:dyDescent="0.15">
      <c r="A56" s="184"/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</row>
    <row r="57" spans="1:31" customFormat="1" x14ac:dyDescent="0.15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</row>
    <row r="58" spans="1:31" customFormat="1" x14ac:dyDescent="0.15">
      <c r="A58" s="184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</row>
    <row r="59" spans="1:31" customFormat="1" x14ac:dyDescent="0.15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</row>
    <row r="60" spans="1:31" customFormat="1" x14ac:dyDescent="0.15">
      <c r="A60" s="184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</row>
    <row r="61" spans="1:31" customFormat="1" x14ac:dyDescent="0.15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</row>
    <row r="62" spans="1:31" customFormat="1" x14ac:dyDescent="0.15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</row>
    <row r="63" spans="1:31" customFormat="1" x14ac:dyDescent="0.15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</row>
    <row r="64" spans="1:31" customFormat="1" x14ac:dyDescent="0.15">
      <c r="A64" s="184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</row>
    <row r="65" spans="1:31" customFormat="1" x14ac:dyDescent="0.15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</row>
    <row r="66" spans="1:31" customFormat="1" x14ac:dyDescent="0.15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</row>
    <row r="67" spans="1:31" customFormat="1" x14ac:dyDescent="0.15">
      <c r="A67" s="184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</row>
    <row r="68" spans="1:31" customFormat="1" x14ac:dyDescent="0.15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</row>
    <row r="69" spans="1:31" customFormat="1" x14ac:dyDescent="0.15">
      <c r="A69" s="184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</row>
    <row r="70" spans="1:31" customFormat="1" x14ac:dyDescent="0.15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</row>
    <row r="71" spans="1:31" customFormat="1" x14ac:dyDescent="0.15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</row>
    <row r="72" spans="1:31" customFormat="1" x14ac:dyDescent="0.15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</row>
    <row r="73" spans="1:31" customFormat="1" x14ac:dyDescent="0.15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</row>
    <row r="74" spans="1:31" customFormat="1" x14ac:dyDescent="0.15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</row>
    <row r="75" spans="1:31" customFormat="1" x14ac:dyDescent="0.15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</row>
    <row r="76" spans="1:31" customFormat="1" x14ac:dyDescent="0.15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</row>
    <row r="77" spans="1:31" customFormat="1" x14ac:dyDescent="0.15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</row>
    <row r="78" spans="1:31" customFormat="1" x14ac:dyDescent="0.15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</row>
    <row r="79" spans="1:31" customFormat="1" x14ac:dyDescent="0.15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</row>
    <row r="80" spans="1:31" customFormat="1" x14ac:dyDescent="0.15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</row>
    <row r="81" spans="1:31" customFormat="1" x14ac:dyDescent="0.15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</row>
    <row r="82" spans="1:31" customFormat="1" x14ac:dyDescent="0.15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</row>
    <row r="83" spans="1:31" customFormat="1" x14ac:dyDescent="0.15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</row>
    <row r="84" spans="1:31" customFormat="1" x14ac:dyDescent="0.15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</row>
    <row r="85" spans="1:31" customFormat="1" x14ac:dyDescent="0.15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</row>
    <row r="86" spans="1:31" customFormat="1" x14ac:dyDescent="0.15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</row>
    <row r="87" spans="1:31" customFormat="1" x14ac:dyDescent="0.15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</row>
    <row r="88" spans="1:31" customFormat="1" x14ac:dyDescent="0.15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</row>
    <row r="89" spans="1:31" customFormat="1" x14ac:dyDescent="0.15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</row>
    <row r="90" spans="1:31" customFormat="1" x14ac:dyDescent="0.15"/>
    <row r="91" spans="1:31" customFormat="1" x14ac:dyDescent="0.15"/>
    <row r="92" spans="1:31" customFormat="1" x14ac:dyDescent="0.15"/>
    <row r="93" spans="1:31" customFormat="1" x14ac:dyDescent="0.15"/>
    <row r="94" spans="1:31" customFormat="1" x14ac:dyDescent="0.15"/>
    <row r="95" spans="1:31" customFormat="1" x14ac:dyDescent="0.15"/>
    <row r="96" spans="1:31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</sheetData>
  <sheetProtection algorithmName="SHA-512" hashValue="U6ZZI5KTz9/ByBtPo/fcr9Y1MDeWl7tZFxyLaUJ3nXBKKy5/kcRNsLzjsa7KhHs5cNjzWX5uHikVKcRiHwV9oQ==" saltValue="peKVpVLvITTQvfD9wIgpJg==" spinCount="100000" sheet="1" objects="1" scenarios="1"/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K31"/>
  <sheetViews>
    <sheetView zoomScale="150" workbookViewId="0">
      <selection activeCell="G22" sqref="G22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spans="1:11" x14ac:dyDescent="0.15">
      <c r="A3" s="7" t="s">
        <v>28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138</v>
      </c>
    </row>
    <row r="5" spans="1:11" x14ac:dyDescent="0.15">
      <c r="D5" s="10"/>
    </row>
    <row r="6" spans="1:11" x14ac:dyDescent="0.15">
      <c r="A6" s="12" t="s">
        <v>118</v>
      </c>
      <c r="D6" s="10"/>
      <c r="E6" s="13" t="s">
        <v>99</v>
      </c>
      <c r="F6" s="13" t="s">
        <v>101</v>
      </c>
      <c r="G6" s="13"/>
    </row>
    <row r="7" spans="1:11" x14ac:dyDescent="0.15">
      <c r="A7" t="s">
        <v>97</v>
      </c>
      <c r="D7" s="10"/>
      <c r="E7" s="30">
        <v>748</v>
      </c>
      <c r="F7">
        <v>748</v>
      </c>
      <c r="G7" s="13"/>
    </row>
    <row r="8" spans="1:11" x14ac:dyDescent="0.15">
      <c r="A8" s="14" t="s">
        <v>112</v>
      </c>
      <c r="B8" s="14"/>
      <c r="C8" s="14"/>
      <c r="D8" s="15"/>
      <c r="E8" s="14">
        <v>2500</v>
      </c>
      <c r="F8" s="14">
        <v>2500</v>
      </c>
      <c r="G8" s="14"/>
    </row>
    <row r="9" spans="1:11" x14ac:dyDescent="0.15">
      <c r="A9" t="s">
        <v>109</v>
      </c>
      <c r="D9" s="10"/>
      <c r="E9">
        <v>5.4196999999999997</v>
      </c>
      <c r="F9">
        <v>5.9290000000000003</v>
      </c>
    </row>
    <row r="10" spans="1:11" x14ac:dyDescent="0.15">
      <c r="A10" t="s">
        <v>30</v>
      </c>
      <c r="D10" s="10"/>
      <c r="E10" s="31">
        <v>4.0820999999999996</v>
      </c>
      <c r="F10">
        <v>3.9159999999999999</v>
      </c>
    </row>
    <row r="11" spans="1:11" x14ac:dyDescent="0.15">
      <c r="A11" t="s">
        <v>127</v>
      </c>
      <c r="D11" s="10"/>
      <c r="E11">
        <v>3.5057</v>
      </c>
      <c r="F11">
        <v>2.3650000000000002</v>
      </c>
    </row>
    <row r="12" spans="1:11" x14ac:dyDescent="0.15">
      <c r="A12" t="s">
        <v>128</v>
      </c>
      <c r="D12" s="10"/>
      <c r="E12">
        <v>79.233000000000004</v>
      </c>
      <c r="F12">
        <v>75.933000000000007</v>
      </c>
    </row>
    <row r="13" spans="1:11" x14ac:dyDescent="0.15">
      <c r="D13" s="10"/>
    </row>
    <row r="14" spans="1:11" x14ac:dyDescent="0.15">
      <c r="D14" s="10"/>
    </row>
    <row r="15" spans="1:11" x14ac:dyDescent="0.15">
      <c r="A15" s="12" t="s">
        <v>119</v>
      </c>
      <c r="D15" s="10"/>
      <c r="E15" s="13" t="s">
        <v>99</v>
      </c>
      <c r="F15" s="13" t="s">
        <v>101</v>
      </c>
    </row>
    <row r="16" spans="1:11" x14ac:dyDescent="0.15">
      <c r="A16" t="s">
        <v>97</v>
      </c>
      <c r="D16" s="10"/>
      <c r="E16" s="22" t="s">
        <v>122</v>
      </c>
      <c r="F16">
        <v>748</v>
      </c>
    </row>
    <row r="17" spans="1:11" x14ac:dyDescent="0.15">
      <c r="A17" s="14" t="s">
        <v>112</v>
      </c>
      <c r="B17" s="14"/>
      <c r="C17" s="14"/>
      <c r="D17" s="15"/>
      <c r="E17" s="23" t="s">
        <v>122</v>
      </c>
      <c r="F17" s="14">
        <v>2500</v>
      </c>
    </row>
    <row r="18" spans="1:11" x14ac:dyDescent="0.15">
      <c r="A18" t="s">
        <v>109</v>
      </c>
      <c r="D18" s="10"/>
      <c r="E18" s="24" t="s">
        <v>122</v>
      </c>
      <c r="F18">
        <v>6.3029999999999999</v>
      </c>
    </row>
    <row r="19" spans="1:11" x14ac:dyDescent="0.15">
      <c r="A19" t="s">
        <v>30</v>
      </c>
      <c r="D19" s="10"/>
      <c r="E19" s="24" t="s">
        <v>122</v>
      </c>
      <c r="F19">
        <v>4.3120000000000003</v>
      </c>
    </row>
    <row r="20" spans="1:11" x14ac:dyDescent="0.15">
      <c r="A20" t="s">
        <v>127</v>
      </c>
      <c r="D20" s="10"/>
      <c r="E20" s="24" t="s">
        <v>122</v>
      </c>
      <c r="F20">
        <v>2.585</v>
      </c>
    </row>
    <row r="21" spans="1:11" x14ac:dyDescent="0.15">
      <c r="A21" t="s">
        <v>128</v>
      </c>
      <c r="D21" s="10"/>
      <c r="E21" s="24" t="s">
        <v>122</v>
      </c>
      <c r="F21">
        <v>75.108000000000004</v>
      </c>
    </row>
    <row r="22" spans="1:11" x14ac:dyDescent="0.15">
      <c r="D22" s="10"/>
    </row>
    <row r="23" spans="1:11" x14ac:dyDescent="0.15">
      <c r="D23" s="10"/>
    </row>
    <row r="24" spans="1:11" x14ac:dyDescent="0.15">
      <c r="A24" s="12" t="s">
        <v>120</v>
      </c>
      <c r="D24" s="10"/>
      <c r="E24" s="13" t="s">
        <v>99</v>
      </c>
      <c r="F24" s="13" t="s">
        <v>101</v>
      </c>
    </row>
    <row r="25" spans="1:11" x14ac:dyDescent="0.15">
      <c r="A25" s="14" t="s">
        <v>97</v>
      </c>
      <c r="B25" s="14"/>
      <c r="C25" s="14"/>
      <c r="D25" s="15"/>
      <c r="E25" s="23" t="s">
        <v>122</v>
      </c>
      <c r="F25" s="14">
        <v>1825</v>
      </c>
    </row>
    <row r="26" spans="1:11" x14ac:dyDescent="0.15">
      <c r="A26" t="s">
        <v>109</v>
      </c>
      <c r="D26" s="10"/>
      <c r="E26" s="24" t="s">
        <v>122</v>
      </c>
      <c r="F26">
        <v>3.476</v>
      </c>
    </row>
    <row r="27" spans="1:11" x14ac:dyDescent="0.15">
      <c r="A27" t="s">
        <v>127</v>
      </c>
      <c r="D27" s="10"/>
      <c r="E27" s="24" t="s">
        <v>122</v>
      </c>
      <c r="F27">
        <v>3.0910000000000002</v>
      </c>
    </row>
    <row r="28" spans="1:11" x14ac:dyDescent="0.15">
      <c r="A28" t="s">
        <v>128</v>
      </c>
      <c r="D28" s="10"/>
      <c r="E28" s="24" t="s">
        <v>122</v>
      </c>
      <c r="F28">
        <v>34.331000000000003</v>
      </c>
    </row>
    <row r="29" spans="1:11" x14ac:dyDescent="0.15">
      <c r="D29" s="10"/>
    </row>
    <row r="30" spans="1:11" x14ac:dyDescent="0.15">
      <c r="D30" s="10"/>
    </row>
    <row r="31" spans="1:11" x14ac:dyDescent="0.15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</row>
  </sheetData>
  <sheetProtection algorithmName="SHA-512" hashValue="cdrEkF9Wa4Q1N/CSKiVc54rmSCUDlKLjpN4+QNYZ39CiJ4qCBQifBYEH1r1PQuQJjcuhLY3K6Gz5dmIOLLdcZQ==" saltValue="/SWjEIbIIJMibeWniO7sQg==" spinCount="100000" sheet="1" objects="1" scenarios="1"/>
  <phoneticPr fontId="10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K14"/>
  <sheetViews>
    <sheetView zoomScale="150" workbookViewId="0">
      <selection activeCell="B19" sqref="B19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x14ac:dyDescent="0.15">
      <c r="A3" s="7" t="s">
        <v>116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136</v>
      </c>
    </row>
    <row r="5" spans="1:11" x14ac:dyDescent="0.15">
      <c r="D5" s="10"/>
    </row>
    <row r="6" spans="1:11" x14ac:dyDescent="0.15">
      <c r="A6" s="12" t="s">
        <v>121</v>
      </c>
      <c r="D6" s="10"/>
      <c r="E6" s="13" t="s">
        <v>99</v>
      </c>
      <c r="F6" s="13" t="s">
        <v>101</v>
      </c>
      <c r="G6" s="13"/>
    </row>
    <row r="7" spans="1:11" x14ac:dyDescent="0.15">
      <c r="A7" t="s">
        <v>113</v>
      </c>
      <c r="D7" s="10"/>
      <c r="E7" s="27">
        <v>775</v>
      </c>
      <c r="F7">
        <v>2328</v>
      </c>
      <c r="G7" s="13"/>
    </row>
    <row r="8" spans="1:11" x14ac:dyDescent="0.15">
      <c r="A8" s="14" t="s">
        <v>112</v>
      </c>
      <c r="B8" s="14"/>
      <c r="C8" s="14"/>
      <c r="D8" s="15"/>
      <c r="E8" s="14">
        <v>2325</v>
      </c>
      <c r="F8" s="14">
        <v>2328</v>
      </c>
      <c r="G8" s="14"/>
    </row>
    <row r="9" spans="1:11" x14ac:dyDescent="0.15">
      <c r="A9" t="s">
        <v>109</v>
      </c>
      <c r="D9" s="10"/>
      <c r="E9">
        <v>3.9820000000000002</v>
      </c>
      <c r="F9">
        <v>2.706</v>
      </c>
    </row>
    <row r="10" spans="1:11" x14ac:dyDescent="0.15">
      <c r="A10" t="s">
        <v>89</v>
      </c>
      <c r="D10" s="10"/>
      <c r="E10">
        <v>2.8149000000000002</v>
      </c>
      <c r="F10" s="21">
        <v>0</v>
      </c>
    </row>
    <row r="11" spans="1:11" x14ac:dyDescent="0.15">
      <c r="A11" t="s">
        <v>127</v>
      </c>
      <c r="D11" s="10"/>
      <c r="E11">
        <v>2.6301000000000001</v>
      </c>
      <c r="F11">
        <v>2.31</v>
      </c>
    </row>
    <row r="12" spans="1:11" x14ac:dyDescent="0.15">
      <c r="A12" t="s">
        <v>128</v>
      </c>
      <c r="D12" s="10"/>
      <c r="E12">
        <v>95.590999999999994</v>
      </c>
      <c r="F12">
        <v>98.900999999999996</v>
      </c>
    </row>
    <row r="13" spans="1:11" x14ac:dyDescent="0.15">
      <c r="D13" s="10"/>
    </row>
    <row r="14" spans="1:11" x14ac:dyDescent="0.1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</row>
  </sheetData>
  <sheetProtection algorithmName="SHA-512" hashValue="QOzczd96zWq0xJNAAFRePrkMHLuHWzIGFmR1N5qtpmEC15S30cltyLbNcHX1bQn+E4AHnk61oVeqNSUbjF91Fw==" saltValue="kShogtYV5vDuYKj6ROTaOQ==" spinCount="100000" sheet="1" objects="1" scenarios="1"/>
  <phoneticPr fontId="10" type="noConversion"/>
  <pageMargins left="0.75" right="0.75" top="1" bottom="1" header="0.5" footer="0.5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K31"/>
  <sheetViews>
    <sheetView zoomScale="150" workbookViewId="0">
      <selection activeCell="H10" sqref="H1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x14ac:dyDescent="0.15">
      <c r="A3" s="7" t="s">
        <v>106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136</v>
      </c>
    </row>
    <row r="5" spans="1:11" x14ac:dyDescent="0.15">
      <c r="D5" s="10"/>
    </row>
    <row r="6" spans="1:11" x14ac:dyDescent="0.15">
      <c r="A6" s="12" t="s">
        <v>118</v>
      </c>
      <c r="D6" s="10"/>
      <c r="E6" s="13" t="s">
        <v>99</v>
      </c>
      <c r="F6" s="13" t="s">
        <v>101</v>
      </c>
      <c r="G6" s="13"/>
    </row>
    <row r="7" spans="1:11" x14ac:dyDescent="0.15">
      <c r="A7" t="s">
        <v>97</v>
      </c>
      <c r="D7" s="10"/>
      <c r="E7" s="30">
        <v>748</v>
      </c>
      <c r="F7" s="30">
        <v>748</v>
      </c>
      <c r="G7" s="13"/>
    </row>
    <row r="8" spans="1:11" x14ac:dyDescent="0.15">
      <c r="A8" s="14" t="s">
        <v>112</v>
      </c>
      <c r="B8" s="14"/>
      <c r="C8" s="14"/>
      <c r="D8" s="15"/>
      <c r="E8" s="14">
        <v>2500</v>
      </c>
      <c r="F8" s="14">
        <v>2500</v>
      </c>
      <c r="G8" s="14"/>
    </row>
    <row r="9" spans="1:11" x14ac:dyDescent="0.15">
      <c r="A9" t="s">
        <v>109</v>
      </c>
      <c r="D9" s="10"/>
      <c r="E9">
        <v>4.4021999999999997</v>
      </c>
      <c r="F9">
        <v>4.851</v>
      </c>
    </row>
    <row r="10" spans="1:11" x14ac:dyDescent="0.15">
      <c r="A10" t="s">
        <v>30</v>
      </c>
      <c r="D10" s="10"/>
      <c r="E10" s="21">
        <v>3.718</v>
      </c>
      <c r="F10">
        <v>3.5089999999999999</v>
      </c>
    </row>
    <row r="11" spans="1:11" x14ac:dyDescent="0.15">
      <c r="A11" t="s">
        <v>127</v>
      </c>
      <c r="D11" s="10"/>
      <c r="E11">
        <v>3.4561999999999999</v>
      </c>
      <c r="F11">
        <v>2.2440000000000002</v>
      </c>
    </row>
    <row r="12" spans="1:11" x14ac:dyDescent="0.15">
      <c r="A12" t="s">
        <v>128</v>
      </c>
      <c r="D12" s="10"/>
      <c r="E12">
        <v>76.923000000000002</v>
      </c>
      <c r="F12">
        <v>74.832999999999998</v>
      </c>
    </row>
    <row r="13" spans="1:11" x14ac:dyDescent="0.15">
      <c r="D13" s="10"/>
    </row>
    <row r="14" spans="1:11" x14ac:dyDescent="0.15">
      <c r="D14" s="10"/>
    </row>
    <row r="15" spans="1:11" x14ac:dyDescent="0.15">
      <c r="A15" s="12" t="s">
        <v>119</v>
      </c>
      <c r="D15" s="10"/>
      <c r="E15" s="13" t="s">
        <v>99</v>
      </c>
      <c r="F15" s="13" t="s">
        <v>101</v>
      </c>
    </row>
    <row r="16" spans="1:11" x14ac:dyDescent="0.15">
      <c r="A16" t="s">
        <v>97</v>
      </c>
      <c r="D16" s="10"/>
      <c r="E16" s="22" t="s">
        <v>122</v>
      </c>
      <c r="F16" s="30">
        <v>748</v>
      </c>
    </row>
    <row r="17" spans="1:11" x14ac:dyDescent="0.15">
      <c r="A17" s="14" t="s">
        <v>112</v>
      </c>
      <c r="B17" s="14"/>
      <c r="C17" s="14"/>
      <c r="D17" s="15"/>
      <c r="E17" s="23" t="s">
        <v>122</v>
      </c>
      <c r="F17" s="14">
        <v>2500</v>
      </c>
    </row>
    <row r="18" spans="1:11" x14ac:dyDescent="0.15">
      <c r="A18" t="s">
        <v>109</v>
      </c>
      <c r="D18" s="10"/>
      <c r="E18" s="24" t="s">
        <v>122</v>
      </c>
      <c r="F18">
        <v>5.1260000000000003</v>
      </c>
    </row>
    <row r="19" spans="1:11" x14ac:dyDescent="0.15">
      <c r="A19" t="s">
        <v>30</v>
      </c>
      <c r="D19" s="10"/>
      <c r="E19" s="24" t="s">
        <v>122</v>
      </c>
      <c r="F19">
        <v>3.883</v>
      </c>
    </row>
    <row r="20" spans="1:11" x14ac:dyDescent="0.15">
      <c r="A20" t="s">
        <v>127</v>
      </c>
      <c r="D20" s="10"/>
      <c r="E20" s="24" t="s">
        <v>122</v>
      </c>
      <c r="F20">
        <v>2.464</v>
      </c>
    </row>
    <row r="21" spans="1:11" x14ac:dyDescent="0.15">
      <c r="A21" t="s">
        <v>128</v>
      </c>
      <c r="D21" s="10"/>
      <c r="E21" s="24" t="s">
        <v>122</v>
      </c>
      <c r="F21">
        <v>74.007999999999996</v>
      </c>
    </row>
    <row r="22" spans="1:11" x14ac:dyDescent="0.15">
      <c r="D22" s="10"/>
    </row>
    <row r="23" spans="1:11" x14ac:dyDescent="0.15">
      <c r="D23" s="10"/>
    </row>
    <row r="24" spans="1:11" x14ac:dyDescent="0.15">
      <c r="A24" s="12" t="s">
        <v>120</v>
      </c>
      <c r="D24" s="10"/>
      <c r="E24" s="13" t="s">
        <v>99</v>
      </c>
      <c r="F24" s="13" t="s">
        <v>101</v>
      </c>
    </row>
    <row r="25" spans="1:11" x14ac:dyDescent="0.15">
      <c r="A25" s="14" t="s">
        <v>97</v>
      </c>
      <c r="B25" s="14"/>
      <c r="C25" s="14"/>
      <c r="D25" s="15"/>
      <c r="E25" s="23" t="s">
        <v>122</v>
      </c>
      <c r="F25" s="14">
        <v>18250</v>
      </c>
    </row>
    <row r="26" spans="1:11" x14ac:dyDescent="0.15">
      <c r="A26" t="s">
        <v>109</v>
      </c>
      <c r="D26" s="10"/>
      <c r="E26" s="24" t="s">
        <v>122</v>
      </c>
      <c r="F26">
        <v>3.355</v>
      </c>
    </row>
    <row r="27" spans="1:11" x14ac:dyDescent="0.15">
      <c r="A27" t="s">
        <v>127</v>
      </c>
      <c r="D27" s="10"/>
      <c r="E27" s="24" t="s">
        <v>122</v>
      </c>
      <c r="F27">
        <v>2.97</v>
      </c>
    </row>
    <row r="28" spans="1:11" x14ac:dyDescent="0.15">
      <c r="A28" t="s">
        <v>128</v>
      </c>
      <c r="D28" s="10"/>
      <c r="E28" s="24" t="s">
        <v>122</v>
      </c>
      <c r="F28">
        <v>34.331000000000003</v>
      </c>
    </row>
    <row r="29" spans="1:11" x14ac:dyDescent="0.15">
      <c r="D29" s="10"/>
    </row>
    <row r="30" spans="1:11" x14ac:dyDescent="0.15">
      <c r="D30" s="10"/>
    </row>
    <row r="31" spans="1:11" x14ac:dyDescent="0.1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</row>
  </sheetData>
  <sheetProtection algorithmName="SHA-512" hashValue="PHMnnINNL+rdm6PjV25ZE5eS+gfq5fEP1nYKliKUNONn94pHo2TkaehmHLxqKOYR0hzzS1d1Hu8R3wi4GGduOw==" saltValue="Yz/1G6l3IWl5QxEgjY12UQ==" spinCount="100000" sheet="1" objects="1" scenarios="1"/>
  <phoneticPr fontId="10" type="noConversion"/>
  <pageMargins left="0.75" right="0.75" top="1" bottom="1" header="0.5" footer="0.5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A1:K14"/>
  <sheetViews>
    <sheetView zoomScale="150" workbookViewId="0">
      <selection activeCell="E12" sqref="E12:F12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4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7" t="s">
        <v>116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135</v>
      </c>
    </row>
    <row r="5" spans="1:11" x14ac:dyDescent="0.15">
      <c r="D5" s="10"/>
    </row>
    <row r="6" spans="1:11" x14ac:dyDescent="0.15">
      <c r="A6" s="12" t="s">
        <v>121</v>
      </c>
      <c r="D6" s="10"/>
      <c r="E6" s="13" t="s">
        <v>99</v>
      </c>
      <c r="F6" s="13" t="s">
        <v>101</v>
      </c>
    </row>
    <row r="7" spans="1:11" x14ac:dyDescent="0.15">
      <c r="A7" s="19" t="s">
        <v>146</v>
      </c>
      <c r="D7" s="10"/>
      <c r="E7" s="19">
        <v>775</v>
      </c>
      <c r="F7">
        <v>2325</v>
      </c>
    </row>
    <row r="8" spans="1:11" x14ac:dyDescent="0.15">
      <c r="A8" s="14" t="s">
        <v>117</v>
      </c>
      <c r="B8" s="14"/>
      <c r="C8" s="14"/>
      <c r="D8" s="15"/>
      <c r="E8" s="14">
        <v>2315</v>
      </c>
      <c r="F8" s="14">
        <v>2325</v>
      </c>
      <c r="G8" s="14"/>
    </row>
    <row r="9" spans="1:11" x14ac:dyDescent="0.15">
      <c r="A9" t="s">
        <v>109</v>
      </c>
      <c r="D9" s="10"/>
      <c r="E9">
        <v>3.6145999999999998</v>
      </c>
      <c r="F9">
        <v>2.387</v>
      </c>
    </row>
    <row r="10" spans="1:11" x14ac:dyDescent="0.15">
      <c r="A10" t="s">
        <v>30</v>
      </c>
      <c r="D10" s="10"/>
      <c r="E10">
        <v>2.4706000000000001</v>
      </c>
      <c r="F10" s="21">
        <v>0</v>
      </c>
    </row>
    <row r="11" spans="1:11" x14ac:dyDescent="0.15">
      <c r="A11" t="s">
        <v>127</v>
      </c>
      <c r="D11" s="10"/>
      <c r="E11">
        <v>2.2890999999999999</v>
      </c>
      <c r="F11">
        <v>2.0129999999999999</v>
      </c>
    </row>
    <row r="12" spans="1:11" x14ac:dyDescent="0.15">
      <c r="A12" t="s">
        <v>128</v>
      </c>
      <c r="D12" s="10"/>
      <c r="E12">
        <v>84.853999999999999</v>
      </c>
      <c r="F12">
        <v>90.22</v>
      </c>
    </row>
    <row r="13" spans="1:11" x14ac:dyDescent="0.15">
      <c r="D13" s="10"/>
    </row>
    <row r="14" spans="1:11" x14ac:dyDescent="0.1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</row>
  </sheetData>
  <sheetProtection algorithmName="SHA-512" hashValue="ia9xj1VZKG/lu4vQ11AGIIhCVzGvAb+H7u/DmRcXBRiOyiIoQhlCvq4zxWLHKgzjmEpWI9NyhzTYgw9kgYQvsQ==" saltValue="XMKzQXabk8HLOqCh0USoSQ==" spinCount="100000" sheet="1" objects="1" scenarios="1"/>
  <phoneticPr fontId="10" type="noConversion"/>
  <pageMargins left="0.75" right="0.75" top="1" bottom="1" header="0.5" footer="0.5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/>
  <dimension ref="A1:K31"/>
  <sheetViews>
    <sheetView zoomScale="150" workbookViewId="0">
      <selection activeCell="E12" sqref="E12:F12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4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7" t="s">
        <v>28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135</v>
      </c>
    </row>
    <row r="5" spans="1:11" x14ac:dyDescent="0.15">
      <c r="D5" s="10"/>
    </row>
    <row r="6" spans="1:11" x14ac:dyDescent="0.15">
      <c r="A6" s="12" t="s">
        <v>118</v>
      </c>
      <c r="D6" s="10"/>
      <c r="E6" s="13" t="s">
        <v>99</v>
      </c>
      <c r="F6" s="13" t="s">
        <v>101</v>
      </c>
      <c r="G6" s="13"/>
    </row>
    <row r="7" spans="1:11" x14ac:dyDescent="0.15">
      <c r="A7" t="s">
        <v>97</v>
      </c>
      <c r="D7" s="10"/>
      <c r="E7" s="19">
        <v>18250</v>
      </c>
      <c r="F7">
        <v>748</v>
      </c>
      <c r="G7" s="13"/>
    </row>
    <row r="8" spans="1:11" x14ac:dyDescent="0.15">
      <c r="A8" s="14" t="s">
        <v>29</v>
      </c>
      <c r="B8" s="14"/>
      <c r="C8" s="14"/>
      <c r="D8" s="15"/>
      <c r="E8" s="14">
        <v>18250</v>
      </c>
      <c r="F8" s="14">
        <v>2500</v>
      </c>
      <c r="G8" s="14"/>
    </row>
    <row r="9" spans="1:11" x14ac:dyDescent="0.15">
      <c r="A9" t="s">
        <v>109</v>
      </c>
      <c r="D9" s="10"/>
      <c r="E9">
        <v>3.2431000000000001</v>
      </c>
      <c r="F9">
        <v>3.8940000000000001</v>
      </c>
    </row>
    <row r="10" spans="1:11" x14ac:dyDescent="0.15">
      <c r="A10" t="s">
        <v>30</v>
      </c>
      <c r="D10" s="10"/>
      <c r="E10" s="21">
        <v>0</v>
      </c>
      <c r="F10">
        <v>3.0579999999999998</v>
      </c>
    </row>
    <row r="11" spans="1:11" x14ac:dyDescent="0.15">
      <c r="A11" t="s">
        <v>127</v>
      </c>
      <c r="D11" s="10"/>
      <c r="E11">
        <v>2.8607</v>
      </c>
      <c r="F11">
        <v>1.958</v>
      </c>
    </row>
    <row r="12" spans="1:11" x14ac:dyDescent="0.15">
      <c r="A12" t="s">
        <v>128</v>
      </c>
      <c r="D12" s="10"/>
      <c r="E12">
        <v>72.445999999999998</v>
      </c>
      <c r="F12">
        <v>70.677999999999997</v>
      </c>
    </row>
    <row r="13" spans="1:11" x14ac:dyDescent="0.15">
      <c r="D13" s="10"/>
    </row>
    <row r="14" spans="1:11" x14ac:dyDescent="0.15">
      <c r="D14" s="10"/>
    </row>
    <row r="15" spans="1:11" x14ac:dyDescent="0.15">
      <c r="A15" s="12" t="s">
        <v>119</v>
      </c>
      <c r="D15" s="10"/>
      <c r="E15" s="13" t="s">
        <v>99</v>
      </c>
      <c r="F15" s="13" t="s">
        <v>101</v>
      </c>
    </row>
    <row r="16" spans="1:11" x14ac:dyDescent="0.15">
      <c r="A16" t="s">
        <v>97</v>
      </c>
      <c r="D16" s="10"/>
      <c r="E16" s="22" t="s">
        <v>122</v>
      </c>
      <c r="F16">
        <v>748</v>
      </c>
    </row>
    <row r="17" spans="1:11" x14ac:dyDescent="0.15">
      <c r="A17" s="14" t="s">
        <v>29</v>
      </c>
      <c r="B17" s="14"/>
      <c r="C17" s="14"/>
      <c r="D17" s="15"/>
      <c r="E17" s="23" t="s">
        <v>123</v>
      </c>
      <c r="F17" s="14">
        <v>2500</v>
      </c>
    </row>
    <row r="18" spans="1:11" x14ac:dyDescent="0.15">
      <c r="A18" t="s">
        <v>109</v>
      </c>
      <c r="D18" s="10"/>
      <c r="E18" s="24" t="s">
        <v>123</v>
      </c>
      <c r="F18">
        <v>4.2569999999999997</v>
      </c>
    </row>
    <row r="19" spans="1:11" x14ac:dyDescent="0.15">
      <c r="A19" t="s">
        <v>30</v>
      </c>
      <c r="D19" s="10"/>
      <c r="E19" s="24" t="s">
        <v>123</v>
      </c>
      <c r="F19">
        <v>3.3220000000000001</v>
      </c>
    </row>
    <row r="20" spans="1:11" x14ac:dyDescent="0.15">
      <c r="A20" t="s">
        <v>127</v>
      </c>
      <c r="D20" s="10"/>
      <c r="E20" s="24" t="s">
        <v>123</v>
      </c>
      <c r="F20">
        <v>2.09</v>
      </c>
    </row>
    <row r="21" spans="1:11" x14ac:dyDescent="0.15">
      <c r="A21" t="s">
        <v>128</v>
      </c>
      <c r="D21" s="10"/>
      <c r="E21" s="24" t="s">
        <v>123</v>
      </c>
      <c r="F21">
        <v>70.677999999999997</v>
      </c>
    </row>
    <row r="22" spans="1:11" x14ac:dyDescent="0.15">
      <c r="D22" s="10"/>
    </row>
    <row r="23" spans="1:11" x14ac:dyDescent="0.15">
      <c r="D23" s="10"/>
    </row>
    <row r="24" spans="1:11" x14ac:dyDescent="0.15">
      <c r="A24" s="12" t="s">
        <v>120</v>
      </c>
      <c r="D24" s="10"/>
      <c r="E24" s="13" t="s">
        <v>99</v>
      </c>
      <c r="F24" s="13" t="s">
        <v>101</v>
      </c>
    </row>
    <row r="25" spans="1:11" x14ac:dyDescent="0.15">
      <c r="A25" s="14" t="s">
        <v>97</v>
      </c>
      <c r="B25" s="14"/>
      <c r="C25" s="14"/>
      <c r="D25" s="15"/>
      <c r="E25" s="23" t="s">
        <v>123</v>
      </c>
      <c r="F25" s="14">
        <v>18250</v>
      </c>
    </row>
    <row r="26" spans="1:11" x14ac:dyDescent="0.15">
      <c r="A26" t="s">
        <v>109</v>
      </c>
      <c r="D26" s="10"/>
      <c r="E26" s="24" t="s">
        <v>123</v>
      </c>
      <c r="F26">
        <v>3.355</v>
      </c>
    </row>
    <row r="27" spans="1:11" x14ac:dyDescent="0.15">
      <c r="A27" t="s">
        <v>127</v>
      </c>
      <c r="D27" s="10"/>
      <c r="E27" s="24" t="s">
        <v>123</v>
      </c>
      <c r="F27">
        <v>2.97</v>
      </c>
    </row>
    <row r="28" spans="1:11" x14ac:dyDescent="0.15">
      <c r="A28" t="s">
        <v>128</v>
      </c>
      <c r="D28" s="10"/>
      <c r="E28" s="24" t="s">
        <v>123</v>
      </c>
      <c r="F28">
        <v>34.426400000000001</v>
      </c>
    </row>
    <row r="29" spans="1:11" x14ac:dyDescent="0.15">
      <c r="D29" s="10"/>
    </row>
    <row r="30" spans="1:11" x14ac:dyDescent="0.15">
      <c r="D30" s="10"/>
    </row>
    <row r="31" spans="1:11" x14ac:dyDescent="0.1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</row>
  </sheetData>
  <sheetProtection algorithmName="SHA-512" hashValue="nweZoPQK1GImA833AHCHu3HBaYJhAUGtwwyOj4HfRttOf/5NDwM/ofke1zBHZDaitqLD926siIoVFKoj4NGDBg==" saltValue="8tmV3XDnLEkV3kRqApt9HQ==" spinCount="100000" sheet="1" objects="1" scenarios="1"/>
  <phoneticPr fontId="10" type="noConversion"/>
  <pageMargins left="0.75" right="0.75" top="1" bottom="1" header="0.5" footer="0.5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/>
  <dimension ref="A1:K14"/>
  <sheetViews>
    <sheetView zoomScale="150" workbookViewId="0">
      <selection activeCell="E12" sqref="E12:F12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x14ac:dyDescent="0.15">
      <c r="A3" s="7" t="s">
        <v>116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134</v>
      </c>
    </row>
    <row r="5" spans="1:11" x14ac:dyDescent="0.15">
      <c r="D5" s="10"/>
    </row>
    <row r="6" spans="1:11" x14ac:dyDescent="0.15">
      <c r="A6" s="12" t="s">
        <v>121</v>
      </c>
      <c r="D6" s="10"/>
      <c r="E6" s="13" t="s">
        <v>99</v>
      </c>
      <c r="F6" s="13" t="s">
        <v>101</v>
      </c>
      <c r="G6" s="13"/>
    </row>
    <row r="7" spans="1:11" x14ac:dyDescent="0.15">
      <c r="A7" s="19" t="s">
        <v>146</v>
      </c>
      <c r="D7" s="10"/>
      <c r="E7" s="19">
        <v>775</v>
      </c>
      <c r="F7">
        <v>2325</v>
      </c>
    </row>
    <row r="8" spans="1:11" x14ac:dyDescent="0.15">
      <c r="A8" s="14" t="s">
        <v>117</v>
      </c>
      <c r="B8" s="14"/>
      <c r="C8" s="14"/>
      <c r="D8" s="10"/>
      <c r="E8" s="14">
        <v>2325</v>
      </c>
      <c r="F8" s="14">
        <v>2325</v>
      </c>
      <c r="G8" s="14"/>
    </row>
    <row r="9" spans="1:11" x14ac:dyDescent="0.15">
      <c r="A9" t="s">
        <v>109</v>
      </c>
      <c r="D9" s="10"/>
      <c r="E9">
        <v>3.4056000000000002</v>
      </c>
      <c r="F9">
        <v>2.09</v>
      </c>
    </row>
    <row r="10" spans="1:11" x14ac:dyDescent="0.15">
      <c r="A10" t="s">
        <v>30</v>
      </c>
      <c r="D10" s="10"/>
      <c r="E10">
        <v>2.3287</v>
      </c>
      <c r="F10">
        <v>0</v>
      </c>
    </row>
    <row r="11" spans="1:11" x14ac:dyDescent="0.15">
      <c r="A11" t="s">
        <v>127</v>
      </c>
      <c r="D11" s="10"/>
      <c r="E11">
        <v>2.1570999999999998</v>
      </c>
      <c r="F11">
        <v>1.76</v>
      </c>
    </row>
    <row r="12" spans="1:11" x14ac:dyDescent="0.15">
      <c r="A12" t="s">
        <v>128</v>
      </c>
      <c r="D12" s="10"/>
      <c r="E12">
        <v>77.22</v>
      </c>
      <c r="F12">
        <v>71.896000000000001</v>
      </c>
    </row>
    <row r="13" spans="1:11" x14ac:dyDescent="0.15">
      <c r="D13" s="10"/>
    </row>
    <row r="14" spans="1:1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</sheetData>
  <sheetProtection algorithmName="SHA-512" hashValue="JgdW2LCOe3CJFtqJRnsJ2xV9Hx2UNQYKZNCwbGNSkEOPpQR1cKn4b7MdKAhucty/b849XIXDLIZan4I6aPpmHA==" saltValue="f0p41CC7LRVOD5KRBKycRQ==" spinCount="100000" sheet="1" objects="1" scenarios="1"/>
  <phoneticPr fontId="10" type="noConversion"/>
  <pageMargins left="0.75" right="0.75" top="1" bottom="1" header="0.5" footer="0.5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/>
  <dimension ref="A1:K12"/>
  <sheetViews>
    <sheetView topLeftCell="A2" zoomScale="150" workbookViewId="0">
      <selection activeCell="E10" sqref="E10:F1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x14ac:dyDescent="0.15">
      <c r="A3" s="7" t="s">
        <v>28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134</v>
      </c>
    </row>
    <row r="5" spans="1:11" x14ac:dyDescent="0.15">
      <c r="D5" s="10"/>
    </row>
    <row r="6" spans="1:11" x14ac:dyDescent="0.15">
      <c r="A6" s="12" t="s">
        <v>118</v>
      </c>
      <c r="D6" s="10"/>
      <c r="E6" s="13" t="s">
        <v>99</v>
      </c>
      <c r="F6" s="13" t="s">
        <v>101</v>
      </c>
      <c r="G6" s="13"/>
    </row>
    <row r="7" spans="1:11" x14ac:dyDescent="0.15">
      <c r="A7" s="14" t="s">
        <v>97</v>
      </c>
      <c r="B7" s="14"/>
      <c r="C7" s="14"/>
      <c r="D7" s="15"/>
      <c r="E7" s="14">
        <v>18250</v>
      </c>
      <c r="F7" s="14">
        <v>18250</v>
      </c>
      <c r="G7" s="14"/>
    </row>
    <row r="8" spans="1:11" x14ac:dyDescent="0.15">
      <c r="A8" t="s">
        <v>109</v>
      </c>
      <c r="D8" s="10"/>
      <c r="E8">
        <v>2.706</v>
      </c>
      <c r="F8">
        <v>2.706</v>
      </c>
    </row>
    <row r="9" spans="1:11" x14ac:dyDescent="0.15">
      <c r="A9" t="s">
        <v>127</v>
      </c>
      <c r="D9" s="10"/>
      <c r="E9">
        <v>2.387</v>
      </c>
      <c r="F9">
        <v>2.387</v>
      </c>
    </row>
    <row r="10" spans="1:11" x14ac:dyDescent="0.15">
      <c r="A10" t="s">
        <v>128</v>
      </c>
      <c r="D10" s="10"/>
      <c r="E10">
        <v>60.62</v>
      </c>
      <c r="F10">
        <v>55.164999999999999</v>
      </c>
    </row>
    <row r="11" spans="1:11" x14ac:dyDescent="0.15">
      <c r="D11" s="10"/>
    </row>
    <row r="12" spans="1:1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</sheetData>
  <sheetProtection algorithmName="SHA-512" hashValue="sGoIMzfXwZnL81Ufn6FnASsam6oN6cer1K+2A+IJf8HGHRJEwn5dH01oa6AuJqhwlBw+HpSlugBPEMxtNc/gfA==" saltValue="yHITe0EfREOU5BmtA2Ckbg==" spinCount="100000" sheet="1" objects="1" scenarios="1"/>
  <phoneticPr fontId="10" type="noConversion"/>
  <pageMargins left="0.75" right="0.75" top="1" bottom="1" header="0.5" footer="0.5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1:K17"/>
  <sheetViews>
    <sheetView zoomScale="150" workbookViewId="0">
      <selection activeCell="C4" sqref="C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x14ac:dyDescent="0.15">
      <c r="A3" s="7" t="s">
        <v>116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27</v>
      </c>
    </row>
    <row r="5" spans="1:11" x14ac:dyDescent="0.15">
      <c r="D5" s="10"/>
    </row>
    <row r="6" spans="1:11" x14ac:dyDescent="0.15">
      <c r="A6" s="12" t="s">
        <v>121</v>
      </c>
      <c r="D6" s="10"/>
      <c r="E6" s="13" t="s">
        <v>99</v>
      </c>
      <c r="F6" s="13" t="s">
        <v>101</v>
      </c>
      <c r="G6" s="13"/>
    </row>
    <row r="7" spans="1:11" x14ac:dyDescent="0.15">
      <c r="A7" s="19" t="s">
        <v>146</v>
      </c>
      <c r="D7" s="10"/>
      <c r="E7" s="19">
        <v>775</v>
      </c>
      <c r="F7">
        <v>2325</v>
      </c>
      <c r="G7" s="13"/>
    </row>
    <row r="8" spans="1:11" x14ac:dyDescent="0.15">
      <c r="A8" s="14" t="s">
        <v>117</v>
      </c>
      <c r="B8" s="14"/>
      <c r="C8" s="14"/>
      <c r="D8" s="15"/>
      <c r="E8" s="14">
        <v>2325</v>
      </c>
      <c r="F8" s="14">
        <v>2325</v>
      </c>
      <c r="G8" s="14"/>
    </row>
    <row r="9" spans="1:11" x14ac:dyDescent="0.15">
      <c r="A9" t="s">
        <v>109</v>
      </c>
      <c r="D9" s="10"/>
      <c r="E9">
        <v>3.2010000000000001</v>
      </c>
      <c r="F9">
        <v>2.0459999999999998</v>
      </c>
    </row>
    <row r="10" spans="1:11" x14ac:dyDescent="0.15">
      <c r="A10" t="s">
        <v>30</v>
      </c>
      <c r="D10" s="10"/>
      <c r="E10">
        <v>2.1890000000000001</v>
      </c>
      <c r="F10">
        <v>0</v>
      </c>
    </row>
    <row r="11" spans="1:11" x14ac:dyDescent="0.15">
      <c r="A11" t="s">
        <v>127</v>
      </c>
      <c r="D11" s="10"/>
      <c r="E11">
        <v>2.0270000000000001</v>
      </c>
      <c r="F11">
        <v>1.76</v>
      </c>
    </row>
    <row r="12" spans="1:11" x14ac:dyDescent="0.15">
      <c r="A12" t="s">
        <v>128</v>
      </c>
      <c r="D12" s="10"/>
      <c r="E12">
        <v>72.599999999999994</v>
      </c>
      <c r="F12">
        <v>66.263999999999996</v>
      </c>
    </row>
    <row r="13" spans="1:11" x14ac:dyDescent="0.15">
      <c r="D13" s="10"/>
    </row>
    <row r="14" spans="1:11" x14ac:dyDescent="0.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</row>
    <row r="15" spans="1:11" x14ac:dyDescent="0.15">
      <c r="A15" s="12"/>
    </row>
    <row r="16" spans="1:11" x14ac:dyDescent="0.15">
      <c r="A16" s="16"/>
    </row>
    <row r="17" spans="1:1" x14ac:dyDescent="0.15">
      <c r="A17" s="16"/>
    </row>
  </sheetData>
  <sheetProtection algorithmName="SHA-512" hashValue="kwSWPE8bOkDTwZNI8PK1kgKdle5AIKxGEvfRKqg68rxK8MHQ4Of3ztyfKBfIZSm3+KIllGj7ScBKQruYz6PHeg==" saltValue="k0ed5wp8pRx/xXGSDQ6OMA==" spinCount="100000" sheet="1" objects="1" scenarios="1"/>
  <phoneticPr fontId="10" type="noConversion"/>
  <pageMargins left="0.75" right="0.75" top="1" bottom="1" header="0.5" footer="0.5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1:K12"/>
  <sheetViews>
    <sheetView zoomScale="150" workbookViewId="0">
      <selection activeCell="F22" sqref="F22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126</v>
      </c>
    </row>
    <row r="2" spans="1:11" x14ac:dyDescent="0.15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x14ac:dyDescent="0.15">
      <c r="A3" s="7" t="s">
        <v>28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10"/>
      <c r="E4" s="11" t="s">
        <v>27</v>
      </c>
    </row>
    <row r="5" spans="1:11" x14ac:dyDescent="0.15">
      <c r="D5" s="10"/>
    </row>
    <row r="6" spans="1:11" x14ac:dyDescent="0.15">
      <c r="A6" s="12" t="s">
        <v>118</v>
      </c>
      <c r="D6" s="10"/>
      <c r="E6" s="13" t="s">
        <v>99</v>
      </c>
      <c r="F6" s="13" t="s">
        <v>101</v>
      </c>
      <c r="G6" s="13"/>
    </row>
    <row r="7" spans="1:11" x14ac:dyDescent="0.15">
      <c r="A7" s="14" t="s">
        <v>97</v>
      </c>
      <c r="B7" s="14"/>
      <c r="C7" s="14"/>
      <c r="D7" s="15"/>
      <c r="E7" s="14">
        <v>18250</v>
      </c>
      <c r="F7" s="14">
        <v>18250</v>
      </c>
      <c r="G7" s="14"/>
    </row>
    <row r="8" spans="1:11" x14ac:dyDescent="0.15">
      <c r="A8" t="s">
        <v>109</v>
      </c>
      <c r="D8" s="10"/>
      <c r="E8">
        <v>2.5409999999999999</v>
      </c>
      <c r="F8">
        <v>2.5409999999999999</v>
      </c>
    </row>
    <row r="9" spans="1:11" x14ac:dyDescent="0.15">
      <c r="A9" t="s">
        <v>127</v>
      </c>
      <c r="D9" s="10"/>
      <c r="E9">
        <v>2.266</v>
      </c>
      <c r="F9">
        <v>2.266</v>
      </c>
    </row>
    <row r="10" spans="1:11" x14ac:dyDescent="0.15">
      <c r="A10" t="s">
        <v>128</v>
      </c>
      <c r="D10" s="10"/>
      <c r="E10">
        <v>56.18</v>
      </c>
      <c r="F10">
        <v>51.128</v>
      </c>
    </row>
    <row r="11" spans="1:11" x14ac:dyDescent="0.15">
      <c r="D11" s="10"/>
    </row>
    <row r="12" spans="1:11" x14ac:dyDescent="0.1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</row>
  </sheetData>
  <sheetProtection algorithmName="SHA-512" hashValue="gUM3Kq6f5LpBELWQTokAKFnwkne+sSOsLu5inUG7iEQcX0x/S6t4jKoxNFtfeayJLCGhMEep3l3I7wsstlod/w==" saltValue="pgINOFF/Ryal2JG6nahiWA==" spinCount="100000" sheet="1" objects="1" scenarios="1"/>
  <phoneticPr fontId="10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9CA8D-2390-8742-96F3-15AA7066B0D2}">
  <sheetPr codeName="Sheet33"/>
  <dimension ref="A1:ZC4058"/>
  <sheetViews>
    <sheetView topLeftCell="B1" zoomScale="113" zoomScaleNormal="113" workbookViewId="0">
      <selection activeCell="C5" sqref="C5"/>
    </sheetView>
  </sheetViews>
  <sheetFormatPr baseColWidth="10" defaultRowHeight="13" x14ac:dyDescent="0.15"/>
  <cols>
    <col min="1" max="1" width="17.83203125" style="123" customWidth="1"/>
    <col min="2" max="2" width="14" style="123" customWidth="1"/>
    <col min="3" max="7" width="12.1640625" style="123" customWidth="1"/>
    <col min="8" max="8" width="10.6640625" style="123" customWidth="1"/>
    <col min="9" max="9" width="10.83203125" style="123"/>
    <col min="680" max="16384" width="10.83203125" style="123"/>
  </cols>
  <sheetData>
    <row r="1" spans="1:31" customFormat="1" x14ac:dyDescent="0.15">
      <c r="A1" s="187" t="s">
        <v>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</row>
    <row r="2" spans="1:31" customFormat="1" x14ac:dyDescent="0.15">
      <c r="A2" s="187" t="s">
        <v>0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</row>
    <row r="3" spans="1:31" customFormat="1" ht="14" thickBot="1" x14ac:dyDescent="0.2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</row>
    <row r="4" spans="1:31" ht="14" x14ac:dyDescent="0.15">
      <c r="A4" s="94"/>
      <c r="B4" s="95"/>
      <c r="C4" s="95"/>
      <c r="D4" s="95"/>
      <c r="E4" s="95"/>
      <c r="F4" s="95"/>
      <c r="G4" s="95"/>
      <c r="H4" s="95"/>
      <c r="I4" s="96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</row>
    <row r="5" spans="1:31" ht="14" x14ac:dyDescent="0.15">
      <c r="A5" s="97" t="s">
        <v>183</v>
      </c>
      <c r="B5" s="57"/>
      <c r="C5" s="115">
        <v>2500</v>
      </c>
      <c r="D5" s="57"/>
      <c r="E5" s="57"/>
      <c r="F5" s="57"/>
      <c r="G5" s="57"/>
      <c r="H5" s="57"/>
      <c r="I5" s="98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</row>
    <row r="6" spans="1:31" ht="15" thickBot="1" x14ac:dyDescent="0.2">
      <c r="A6" s="99"/>
      <c r="B6" s="100"/>
      <c r="C6" s="100"/>
      <c r="D6" s="100"/>
      <c r="E6" s="100"/>
      <c r="F6" s="100"/>
      <c r="G6" s="100"/>
      <c r="H6" s="100"/>
      <c r="I6" s="101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</row>
    <row r="7" spans="1:31" ht="14" x14ac:dyDescent="0.15">
      <c r="A7" s="94" t="s">
        <v>1</v>
      </c>
      <c r="B7" s="95"/>
      <c r="C7" s="95"/>
      <c r="D7" s="95"/>
      <c r="E7" s="95"/>
      <c r="F7" s="95"/>
      <c r="G7" s="95"/>
      <c r="H7" s="102"/>
      <c r="I7" s="96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</row>
    <row r="8" spans="1:31" ht="41" customHeight="1" x14ac:dyDescent="0.15">
      <c r="A8" s="151" t="s">
        <v>94</v>
      </c>
      <c r="B8" s="152" t="s">
        <v>61</v>
      </c>
      <c r="C8" s="153" t="s">
        <v>55</v>
      </c>
      <c r="D8" s="153" t="s">
        <v>2</v>
      </c>
      <c r="E8" s="154" t="s">
        <v>3</v>
      </c>
      <c r="F8" s="154" t="s">
        <v>4</v>
      </c>
      <c r="G8" s="154" t="s">
        <v>216</v>
      </c>
      <c r="H8" s="155" t="s">
        <v>5</v>
      </c>
      <c r="I8" s="156" t="s">
        <v>6</v>
      </c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31" x14ac:dyDescent="0.15">
      <c r="A9" s="104" t="str">
        <f>'Tariffs 2021'!F2</f>
        <v>AGL</v>
      </c>
      <c r="B9" s="105">
        <f>'Tariffs 2021'!E2</f>
        <v>42928</v>
      </c>
      <c r="C9" s="106">
        <f>91*'Tariffs 2021'!H2/100</f>
        <v>110.50709090909091</v>
      </c>
      <c r="D9" s="106">
        <f>C5*'Tariffs 2021'!O2/100</f>
        <v>101.13636363636363</v>
      </c>
      <c r="E9" s="106">
        <v>0</v>
      </c>
      <c r="F9" s="106">
        <v>0</v>
      </c>
      <c r="G9" s="106">
        <f t="shared" ref="G9:G14" si="0">SUM(C9:F9)</f>
        <v>211.64345454545452</v>
      </c>
      <c r="H9" s="107">
        <f t="shared" ref="H9:H14" si="1">G9*4</f>
        <v>846.57381818181807</v>
      </c>
      <c r="I9" s="108">
        <f t="shared" ref="I9:I14" si="2">H9*1.1</f>
        <v>931.23119999999994</v>
      </c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31" x14ac:dyDescent="0.15">
      <c r="A10" s="104" t="str">
        <f>'Tariffs 2021'!F3</f>
        <v>Origin Energy</v>
      </c>
      <c r="B10" s="105">
        <f>'Tariffs 2021'!E3</f>
        <v>42916</v>
      </c>
      <c r="C10" s="106">
        <f>91*'Tariffs 2021'!H3/100</f>
        <v>97.460999999999999</v>
      </c>
      <c r="D10" s="106">
        <f>IF($C$5&gt;='Tariffs 2021'!J3,('Tariffs 2021'!J3*'Tariffs 2021'!O3/100),($C$5*'Tariffs 2021'!O3/100))</f>
        <v>74.979490909090913</v>
      </c>
      <c r="E10" s="106">
        <v>0</v>
      </c>
      <c r="F10" s="106">
        <f>IF(($C$5&lt;'Tariffs 2021'!J3),(0),($C$5-'Tariffs 2021'!J3)*'Tariffs 2021'!P3/100)</f>
        <v>5.2752727272727267</v>
      </c>
      <c r="G10" s="106">
        <f t="shared" si="0"/>
        <v>177.71576363636362</v>
      </c>
      <c r="H10" s="107">
        <f t="shared" si="1"/>
        <v>710.86305454545447</v>
      </c>
      <c r="I10" s="108">
        <f t="shared" si="2"/>
        <v>781.94935999999996</v>
      </c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31" x14ac:dyDescent="0.15">
      <c r="A11" s="104" t="str">
        <f>'Tariffs 2021'!F4</f>
        <v>Alinta Energy</v>
      </c>
      <c r="B11" s="105">
        <f>'Tariffs 2021'!E4</f>
        <v>42916</v>
      </c>
      <c r="C11" s="106">
        <f>91*'Tariffs 2021'!H4/100</f>
        <v>96.790909090909082</v>
      </c>
      <c r="D11" s="106">
        <f>IF($C$5&gt;='Tariffs 2021'!J4,('Tariffs 2021'!J4*'Tariffs 2021'!O4/100),($C$5*'Tariffs 2021'!O4/100))</f>
        <v>76.203818181818164</v>
      </c>
      <c r="E11" s="106">
        <v>0</v>
      </c>
      <c r="F11" s="106">
        <f>IF(($C$5&lt;'Tariffs 2021'!J4),(0),($C$5-'Tariffs 2021'!J4)*'Tariffs 2021'!P4/100)</f>
        <v>5.3723636363636356</v>
      </c>
      <c r="G11" s="106">
        <f t="shared" si="0"/>
        <v>178.36709090909088</v>
      </c>
      <c r="H11" s="107">
        <f t="shared" si="1"/>
        <v>713.46836363636351</v>
      </c>
      <c r="I11" s="108">
        <f t="shared" si="2"/>
        <v>784.81519999999989</v>
      </c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31" x14ac:dyDescent="0.15">
      <c r="A12" s="104" t="str">
        <f>'Tariffs 2021'!F5</f>
        <v>CovaU</v>
      </c>
      <c r="B12" s="105">
        <f>'Tariffs 2021'!E5</f>
        <v>42916</v>
      </c>
      <c r="C12" s="106">
        <f>91*'Tariffs 2021'!H5/100</f>
        <v>95.549999999999983</v>
      </c>
      <c r="D12" s="106">
        <f>IF($C$5&gt;='Tariffs 2021'!J5,('Tariffs 2021'!J5*'Tariffs 2021'!O5/100),($C$5*'Tariffs 2021'!O5/100))</f>
        <v>83.591999999999985</v>
      </c>
      <c r="E12" s="106">
        <f>IF($C$5&lt;'Tariffs 2021'!J5,0,IF(($C$5-'Tariffs 2021'!J5)&lt;='Tariffs 2021'!K5,(($C$5-'Tariffs 2021'!J5)*'Tariffs 2021'!P5/100),(('Tariffs 2021'!K5-'Tariffs 2021'!J5)*'Tariffs 2021'!P5/100)))</f>
        <v>5.9872727272727264</v>
      </c>
      <c r="F12" s="106">
        <f>IF(($C$5&lt;'Tariffs 2021'!K5),(0),($C$5-'Tariffs 2021'!K5)*'Tariffs 2021'!Q5/100)</f>
        <v>0</v>
      </c>
      <c r="G12" s="106">
        <f t="shared" si="0"/>
        <v>185.12927272727271</v>
      </c>
      <c r="H12" s="107">
        <f t="shared" si="1"/>
        <v>740.51709090909083</v>
      </c>
      <c r="I12" s="108">
        <f t="shared" si="2"/>
        <v>814.56880000000001</v>
      </c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31" x14ac:dyDescent="0.15">
      <c r="A13" s="104" t="str">
        <f>'Tariffs 2021'!F6</f>
        <v>GloBird Energy</v>
      </c>
      <c r="B13" s="105">
        <f>'Tariffs 2021'!E6</f>
        <v>42916</v>
      </c>
      <c r="C13" s="106">
        <f>91*'Tariffs 2021'!H6/100</f>
        <v>95.549999999999983</v>
      </c>
      <c r="D13" s="106">
        <f>IF($C$5&gt;='Tariffs 2021'!J6,('Tariffs 2021'!J6*'Tariffs 2021'!O6/100),($C$5*'Tariffs 2021'!O6/100))</f>
        <v>19.447999999999997</v>
      </c>
      <c r="E13" s="106">
        <v>0</v>
      </c>
      <c r="F13" s="106">
        <f>IF(($C$5&lt;'Tariffs 2021'!J6),(0),($C$5-'Tariffs 2021'!J6)*'Tariffs 2021'!P6/100)</f>
        <v>42.048000000000002</v>
      </c>
      <c r="G13" s="106">
        <f t="shared" si="0"/>
        <v>157.04599999999999</v>
      </c>
      <c r="H13" s="107">
        <f t="shared" si="1"/>
        <v>628.18399999999997</v>
      </c>
      <c r="I13" s="108">
        <f t="shared" si="2"/>
        <v>691.00239999999997</v>
      </c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</row>
    <row r="14" spans="1:31" ht="14" thickBot="1" x14ac:dyDescent="0.2">
      <c r="A14" s="109" t="str">
        <f>'Tariffs 2021'!F7</f>
        <v>Red Energy</v>
      </c>
      <c r="B14" s="110">
        <f>'Tariffs 2021'!E7</f>
        <v>42916</v>
      </c>
      <c r="C14" s="111">
        <f>91*'Tariffs 2021'!H7/100</f>
        <v>111.01999999999998</v>
      </c>
      <c r="D14" s="111">
        <f>IF($C$5&gt;='Tariffs 2021'!J7,('Tariffs 2021'!J7*'Tariffs 2021'!O7/100),($C$5*'Tariffs 2021'!O7/100))</f>
        <v>85.914000000000001</v>
      </c>
      <c r="E14" s="111">
        <f>IF($C$5&lt;'Tariffs 2021'!J7,0,IF(($C$5-'Tariffs 2021'!J7)&lt;='Tariffs 2021'!K7,(($C$5-'Tariffs 2021'!J7)*'Tariffs 2021'!P7/100),(('Tariffs 2021'!K7-'Tariffs 2021'!J7)*'Tariffs 2021'!P7/100)))</f>
        <v>6.0519999999999996</v>
      </c>
      <c r="F14" s="111">
        <f>IF(($C$5&lt;'Tariffs 2021'!K7),(0),($C$5-'Tariffs 2021'!K7)*'Tariffs 2021'!Q7/100)</f>
        <v>0</v>
      </c>
      <c r="G14" s="111">
        <f t="shared" si="0"/>
        <v>202.98599999999996</v>
      </c>
      <c r="H14" s="112">
        <f t="shared" si="1"/>
        <v>811.94399999999985</v>
      </c>
      <c r="I14" s="113">
        <f t="shared" si="2"/>
        <v>893.13839999999993</v>
      </c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</row>
    <row r="15" spans="1:31" customFormat="1" x14ac:dyDescent="0.1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</row>
    <row r="16" spans="1:31" customFormat="1" ht="14" thickBot="1" x14ac:dyDescent="0.2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</row>
    <row r="17" spans="1:31" ht="14" x14ac:dyDescent="0.15">
      <c r="A17" s="94" t="s">
        <v>8</v>
      </c>
      <c r="B17" s="95"/>
      <c r="C17" s="95"/>
      <c r="D17" s="95"/>
      <c r="E17" s="95"/>
      <c r="F17" s="95"/>
      <c r="G17" s="95"/>
      <c r="H17" s="102"/>
      <c r="I17" s="96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30" x14ac:dyDescent="0.15">
      <c r="A18" s="151" t="s">
        <v>94</v>
      </c>
      <c r="B18" s="152" t="s">
        <v>61</v>
      </c>
      <c r="C18" s="153" t="s">
        <v>55</v>
      </c>
      <c r="D18" s="153" t="s">
        <v>2</v>
      </c>
      <c r="E18" s="154" t="s">
        <v>3</v>
      </c>
      <c r="F18" s="154" t="s">
        <v>4</v>
      </c>
      <c r="G18" s="154" t="s">
        <v>216</v>
      </c>
      <c r="H18" s="155" t="s">
        <v>5</v>
      </c>
      <c r="I18" s="156" t="s">
        <v>6</v>
      </c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x14ac:dyDescent="0.15">
      <c r="A19" s="104" t="str">
        <f>'Tariffs 2021'!F8</f>
        <v>AGL</v>
      </c>
      <c r="B19" s="105">
        <f>'Tariffs 2021'!E8</f>
        <v>42928</v>
      </c>
      <c r="C19" s="106">
        <f>91*'Tariffs 2021'!H8/100</f>
        <v>63.472499999999989</v>
      </c>
      <c r="D19" s="106">
        <f>C5*'Tariffs 2021'!O8/100</f>
        <v>124.09090909090908</v>
      </c>
      <c r="E19" s="106">
        <f>IF($C$5&lt;'Tariffs 2021'!J8,0,IF(($C$5-'Tariffs 2021'!J8)&lt;='Tariffs 2021'!K8,(($C$5-'Tariffs 2021'!J8)*'Tariffs 2021'!P8/100),(('Tariffs 2021'!K8-'Tariffs 2021'!J8)*'Tariffs 2021'!P8/100)))</f>
        <v>0</v>
      </c>
      <c r="F19" s="106">
        <f>IF(($C$5&lt;'Tariffs 2021'!K8),(0),($C$5-'Tariffs 2021'!K8)*'Tariffs 2021'!Q8/100)</f>
        <v>0</v>
      </c>
      <c r="G19" s="106">
        <f t="shared" ref="G19:G24" si="3">SUM(C19:F19)</f>
        <v>187.56340909090906</v>
      </c>
      <c r="H19" s="107">
        <f t="shared" ref="H19:H24" si="4">G19*4</f>
        <v>750.25363636363625</v>
      </c>
      <c r="I19" s="108">
        <f t="shared" ref="I19:I24" si="5">H19*1.1</f>
        <v>825.27899999999988</v>
      </c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x14ac:dyDescent="0.15">
      <c r="A20" s="104" t="str">
        <f>'Tariffs 2021'!F9</f>
        <v>Origin Energy</v>
      </c>
      <c r="B20" s="105">
        <f>'Tariffs 2021'!E9</f>
        <v>42565</v>
      </c>
      <c r="C20" s="106">
        <f>91*'Tariffs 2021'!H9/100</f>
        <v>63.472499999999989</v>
      </c>
      <c r="D20" s="106">
        <f>IF($C$5&gt;='Tariffs 2021'!J9,('Tariffs 2021'!J9*'Tariffs 2021'!O9/100),($C$5*'Tariffs 2021'!O9/100))</f>
        <v>44.468381818181818</v>
      </c>
      <c r="E20" s="106">
        <f>IF($C$5&lt;'Tariffs 2021'!J9,0,IF(($C$5-'Tariffs 2021'!J9)&lt;='Tariffs 2021'!K9,(($C$5-'Tariffs 2021'!J9)*'Tariffs 2021'!P9/100),(('Tariffs 2021'!K9-'Tariffs 2021'!J9)*'Tariffs 2021'!P9/100)))</f>
        <v>73.699890909090897</v>
      </c>
      <c r="F20" s="106">
        <f>IF(($C$5&lt;'Tariffs 2021'!K9),(0),($C$5-'Tariffs 2021'!K9)*'Tariffs 2021'!Q9/100)</f>
        <v>0.18092727272727271</v>
      </c>
      <c r="G20" s="106">
        <f t="shared" si="3"/>
        <v>181.82169999999996</v>
      </c>
      <c r="H20" s="107">
        <f t="shared" si="4"/>
        <v>727.28679999999986</v>
      </c>
      <c r="I20" s="108">
        <f t="shared" si="5"/>
        <v>800.01547999999991</v>
      </c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</row>
    <row r="21" spans="1:31" x14ac:dyDescent="0.15">
      <c r="A21" s="104" t="str">
        <f>'Tariffs 2021'!F10</f>
        <v>Alinta Energy</v>
      </c>
      <c r="B21" s="105">
        <f>'Tariffs 2021'!E10</f>
        <v>42930</v>
      </c>
      <c r="C21" s="106">
        <f>91*'Tariffs 2021'!H10/100</f>
        <v>63.7</v>
      </c>
      <c r="D21" s="106">
        <f>C5*'Tariffs 2021'!O10/100</f>
        <v>121.59090909090908</v>
      </c>
      <c r="E21" s="106">
        <f>IF($C$5&lt;'Tariffs 2021'!J10,0,IF(($C$5-'Tariffs 2021'!J10)&lt;='Tariffs 2021'!K10,(($C$5-'Tariffs 2021'!J10)*'Tariffs 2021'!P10/100),(('Tariffs 2021'!K10-'Tariffs 2021'!J10)*'Tariffs 2021'!P10/100)))</f>
        <v>0</v>
      </c>
      <c r="F21" s="106">
        <f>IF(($C$5&lt;'Tariffs 2021'!K10),(0),($C$5-'Tariffs 2021'!K10)*'Tariffs 2021'!Q10/100)</f>
        <v>0</v>
      </c>
      <c r="G21" s="106">
        <f t="shared" si="3"/>
        <v>185.29090909090908</v>
      </c>
      <c r="H21" s="107">
        <f t="shared" si="4"/>
        <v>741.16363636363633</v>
      </c>
      <c r="I21" s="108">
        <f t="shared" si="5"/>
        <v>815.28</v>
      </c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</row>
    <row r="22" spans="1:31" x14ac:dyDescent="0.15">
      <c r="A22" s="104" t="str">
        <f>'Tariffs 2021'!F11</f>
        <v>CovaU</v>
      </c>
      <c r="B22" s="105">
        <f>'Tariffs 2021'!E11</f>
        <v>42916</v>
      </c>
      <c r="C22" s="106">
        <f>91*'Tariffs 2021'!H11/100</f>
        <v>60.059999999999988</v>
      </c>
      <c r="D22" s="106">
        <f>IF($C$5&gt;='Tariffs 2021'!J11,('Tariffs 2021'!J11*'Tariffs 2021'!O11/100),($C$5*'Tariffs 2021'!O11/100))</f>
        <v>47.97</v>
      </c>
      <c r="E22" s="106">
        <f>IF($C$5&lt;'Tariffs 2021'!J11,0,IF(($C$5-'Tariffs 2021'!J11)&lt;='Tariffs 2021'!K11,(($C$5-'Tariffs 2021'!J11)*'Tariffs 2021'!P11/100),(('Tariffs 2021'!K11-'Tariffs 2021'!J11)*'Tariffs 2021'!P11/100)))</f>
        <v>45.359999999999992</v>
      </c>
      <c r="F22" s="106">
        <f>IF(($C$5&lt;'Tariffs 2021'!K11),(0),($C$5-'Tariffs 2021'!K11)*'Tariffs 2021'!Q11/100)</f>
        <v>25.265454545454546</v>
      </c>
      <c r="G22" s="106">
        <f t="shared" si="3"/>
        <v>178.65545454545452</v>
      </c>
      <c r="H22" s="107">
        <f t="shared" si="4"/>
        <v>714.62181818181807</v>
      </c>
      <c r="I22" s="108">
        <f t="shared" si="5"/>
        <v>786.08399999999995</v>
      </c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x14ac:dyDescent="0.15">
      <c r="A23" s="104" t="str">
        <f>'Tariffs 2021'!F12</f>
        <v>GloBird Energy</v>
      </c>
      <c r="B23" s="105">
        <f>'Tariffs 2021'!E12</f>
        <v>42916</v>
      </c>
      <c r="C23" s="106">
        <f>91*'Tariffs 2021'!H12/100</f>
        <v>58.24</v>
      </c>
      <c r="D23" s="106">
        <f>IF($C$5&gt;='Tariffs 2021'!J12,('Tariffs 2021'!J12*'Tariffs 2021'!O12/100),($C$5*'Tariffs 2021'!O12/100))</f>
        <v>34.407999999999994</v>
      </c>
      <c r="E23" s="106">
        <v>0</v>
      </c>
      <c r="F23" s="106">
        <f>IF(($C$5&lt;'Tariffs 2021'!J12),(0),($C$5-'Tariffs 2021'!J12)*'Tariffs 2021'!P12/100)</f>
        <v>61.32</v>
      </c>
      <c r="G23" s="106">
        <f t="shared" si="3"/>
        <v>153.96799999999999</v>
      </c>
      <c r="H23" s="107">
        <f t="shared" si="4"/>
        <v>615.87199999999996</v>
      </c>
      <c r="I23" s="108">
        <f t="shared" si="5"/>
        <v>677.45920000000001</v>
      </c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4" thickBot="1" x14ac:dyDescent="0.2">
      <c r="A24" s="109" t="str">
        <f>'Tariffs 2021'!F13</f>
        <v>Red Energy</v>
      </c>
      <c r="B24" s="110">
        <f>'Tariffs 2021'!E13</f>
        <v>42916</v>
      </c>
      <c r="C24" s="111">
        <f>91*'Tariffs 2021'!H13/100</f>
        <v>74.62</v>
      </c>
      <c r="D24" s="111">
        <f>IF($C$5&gt;='Tariffs 2021'!J13,('Tariffs 2021'!J13*'Tariffs 2021'!O13/100),($C$5*'Tariffs 2021'!O13/100))</f>
        <v>46.251999999999995</v>
      </c>
      <c r="E24" s="111">
        <f>IF($C$5&lt;'Tariffs 2021'!J13,0,IF(($C$5-'Tariffs 2021'!J13)&lt;='Tariffs 2021'!K13,(($C$5-'Tariffs 2021'!J13)*'Tariffs 2021'!P13/100),(('Tariffs 2021'!K13-'Tariffs 2021'!J13)*'Tariffs 2021'!P13/100)))</f>
        <v>77.175999999999988</v>
      </c>
      <c r="F24" s="111">
        <f>IF(($C$5&lt;'Tariffs 2021'!K13),(0),($C$5-'Tariffs 2021'!K13)*'Tariffs 2021'!Q13/100)</f>
        <v>0.16799999999999998</v>
      </c>
      <c r="G24" s="111">
        <f t="shared" si="3"/>
        <v>198.21600000000001</v>
      </c>
      <c r="H24" s="112">
        <f t="shared" si="4"/>
        <v>792.86400000000003</v>
      </c>
      <c r="I24" s="113">
        <f t="shared" si="5"/>
        <v>872.1504000000001</v>
      </c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</row>
    <row r="25" spans="1:31" customFormat="1" x14ac:dyDescent="0.1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</row>
    <row r="26" spans="1:31" customFormat="1" ht="14" thickBot="1" x14ac:dyDescent="0.2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</row>
    <row r="27" spans="1:31" ht="14" x14ac:dyDescent="0.15">
      <c r="A27" s="94" t="s">
        <v>59</v>
      </c>
      <c r="B27" s="95"/>
      <c r="C27" s="95"/>
      <c r="D27" s="95"/>
      <c r="E27" s="95"/>
      <c r="F27" s="95"/>
      <c r="G27" s="95"/>
      <c r="H27" s="102"/>
      <c r="I27" s="96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</row>
    <row r="28" spans="1:31" ht="30" x14ac:dyDescent="0.15">
      <c r="A28" s="151" t="s">
        <v>94</v>
      </c>
      <c r="B28" s="152" t="s">
        <v>61</v>
      </c>
      <c r="C28" s="153" t="s">
        <v>55</v>
      </c>
      <c r="D28" s="153" t="s">
        <v>2</v>
      </c>
      <c r="E28" s="154" t="s">
        <v>3</v>
      </c>
      <c r="F28" s="154" t="s">
        <v>4</v>
      </c>
      <c r="G28" s="154" t="s">
        <v>216</v>
      </c>
      <c r="H28" s="155" t="s">
        <v>5</v>
      </c>
      <c r="I28" s="156" t="s">
        <v>6</v>
      </c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</row>
    <row r="29" spans="1:31" ht="14" thickBot="1" x14ac:dyDescent="0.2">
      <c r="A29" s="109" t="str">
        <f>'Tariffs 2021'!F14</f>
        <v>Origin Energy</v>
      </c>
      <c r="B29" s="110">
        <f>'Tariffs 2021'!E14</f>
        <v>42916</v>
      </c>
      <c r="C29" s="111">
        <f>91*'Tariffs 2021'!H14/100</f>
        <v>66.016363636363621</v>
      </c>
      <c r="D29" s="111">
        <f>IF($C$5&gt;='Tariffs 2021'!J14,('Tariffs 2021'!J14*'Tariffs 2021'!O14/100),($C$5*'Tariffs 2021'!O14/100))</f>
        <v>47.059036363636359</v>
      </c>
      <c r="E29" s="111">
        <f>IF($C$5&lt;'Tariffs 2021'!J14,0,IF(($C$5-'Tariffs 2021'!J14)&lt;='Tariffs 2021'!K14,(($C$5-'Tariffs 2021'!J14)*'Tariffs 2021'!P14/100),(('Tariffs 2021'!K14-'Tariffs 2021'!J14)*'Tariffs 2021'!P14/100)))</f>
        <v>74.560945454545447</v>
      </c>
      <c r="F29" s="111">
        <f>IF(($C$5&lt;'Tariffs 2021'!K14),(0),($C$5-'Tariffs 2021'!K14)*'Tariffs 2021'!Q14/100)</f>
        <v>0.16799999999999998</v>
      </c>
      <c r="G29" s="111">
        <f>SUM(C29:F29)</f>
        <v>187.80434545454543</v>
      </c>
      <c r="H29" s="112">
        <f>G29*4</f>
        <v>751.21738181818171</v>
      </c>
      <c r="I29" s="113">
        <f>H29*1.1</f>
        <v>826.33911999999998</v>
      </c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</row>
    <row r="30" spans="1:31" customFormat="1" x14ac:dyDescent="0.15">
      <c r="A30" s="187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</row>
    <row r="31" spans="1:31" customFormat="1" ht="14" thickBot="1" x14ac:dyDescent="0.2">
      <c r="A31" s="187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</row>
    <row r="32" spans="1:31" ht="14" x14ac:dyDescent="0.15">
      <c r="A32" s="94" t="s">
        <v>60</v>
      </c>
      <c r="B32" s="95"/>
      <c r="C32" s="95"/>
      <c r="D32" s="95"/>
      <c r="E32" s="95"/>
      <c r="F32" s="95"/>
      <c r="G32" s="95"/>
      <c r="H32" s="102"/>
      <c r="I32" s="96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</row>
    <row r="33" spans="1:31" ht="30" x14ac:dyDescent="0.15">
      <c r="A33" s="151" t="s">
        <v>94</v>
      </c>
      <c r="B33" s="152" t="s">
        <v>61</v>
      </c>
      <c r="C33" s="153" t="s">
        <v>55</v>
      </c>
      <c r="D33" s="153" t="s">
        <v>2</v>
      </c>
      <c r="E33" s="154" t="s">
        <v>3</v>
      </c>
      <c r="F33" s="154" t="s">
        <v>4</v>
      </c>
      <c r="G33" s="154" t="s">
        <v>216</v>
      </c>
      <c r="H33" s="155" t="s">
        <v>5</v>
      </c>
      <c r="I33" s="156" t="s">
        <v>6</v>
      </c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</row>
    <row r="34" spans="1:31" ht="14" thickBot="1" x14ac:dyDescent="0.2">
      <c r="A34" s="109" t="str">
        <f>'Tariffs 2021'!F15</f>
        <v>Origin Energy</v>
      </c>
      <c r="B34" s="110">
        <f>'Tariffs 2021'!E15</f>
        <v>42916</v>
      </c>
      <c r="C34" s="114">
        <f>91*'Tariffs 2021'!H15/100</f>
        <v>26.059090909090905</v>
      </c>
      <c r="D34" s="114">
        <f>IF($C$5&gt;='Tariffs 2021'!J15,('Tariffs 2021'!J15*'Tariffs 2021'!O15/100),($C$5*'Tariffs 2021'!O15/100))</f>
        <v>91.045454545454547</v>
      </c>
      <c r="E34" s="114">
        <v>0</v>
      </c>
      <c r="F34" s="114">
        <f>IF(($C$5&lt;'Tariffs 2021'!J15),(0),($C$5-'Tariffs 2021'!J15)*'Tariffs 2021'!P15/100)</f>
        <v>0</v>
      </c>
      <c r="G34" s="111">
        <f>SUM(C34:F34)</f>
        <v>117.10454545454544</v>
      </c>
      <c r="H34" s="112">
        <f>G34*4</f>
        <v>468.41818181818178</v>
      </c>
      <c r="I34" s="113">
        <f>H34*1.1</f>
        <v>515.26</v>
      </c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</row>
    <row r="35" spans="1:31" customFormat="1" x14ac:dyDescent="0.15">
      <c r="A35" s="187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</row>
    <row r="36" spans="1:31" customFormat="1" x14ac:dyDescent="0.15">
      <c r="A36" s="187"/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</row>
    <row r="37" spans="1:31" customFormat="1" x14ac:dyDescent="0.15">
      <c r="A37" s="187"/>
      <c r="B37" s="187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</row>
    <row r="38" spans="1:31" customFormat="1" x14ac:dyDescent="0.15">
      <c r="A38" s="187"/>
      <c r="B38" s="187"/>
      <c r="C38" s="187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</row>
    <row r="39" spans="1:31" customFormat="1" x14ac:dyDescent="0.15">
      <c r="A39" s="187"/>
      <c r="B39" s="187"/>
      <c r="C39" s="18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</row>
    <row r="40" spans="1:31" customFormat="1" x14ac:dyDescent="0.15">
      <c r="A40" s="187"/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</row>
    <row r="41" spans="1:31" customFormat="1" x14ac:dyDescent="0.15">
      <c r="A41" s="187"/>
      <c r="B41" s="187"/>
      <c r="C41" s="18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</row>
    <row r="42" spans="1:31" customFormat="1" x14ac:dyDescent="0.15">
      <c r="A42" s="187"/>
      <c r="B42" s="187"/>
      <c r="C42" s="187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</row>
    <row r="43" spans="1:31" customFormat="1" x14ac:dyDescent="0.15">
      <c r="A43" s="187"/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</row>
    <row r="44" spans="1:31" customFormat="1" x14ac:dyDescent="0.15">
      <c r="A44" s="187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</row>
    <row r="45" spans="1:31" customFormat="1" x14ac:dyDescent="0.1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</row>
    <row r="46" spans="1:31" customFormat="1" x14ac:dyDescent="0.15">
      <c r="A46" s="187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</row>
    <row r="47" spans="1:31" customFormat="1" x14ac:dyDescent="0.15">
      <c r="A47" s="187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</row>
    <row r="48" spans="1:31" customFormat="1" x14ac:dyDescent="0.15">
      <c r="A48" s="187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</row>
    <row r="49" spans="1:31" customFormat="1" x14ac:dyDescent="0.15">
      <c r="A49" s="187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</row>
    <row r="50" spans="1:31" customFormat="1" x14ac:dyDescent="0.15">
      <c r="A50" s="18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</row>
    <row r="51" spans="1:31" customFormat="1" x14ac:dyDescent="0.15">
      <c r="A51" s="187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</row>
    <row r="52" spans="1:31" customFormat="1" x14ac:dyDescent="0.15">
      <c r="A52" s="187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</row>
    <row r="53" spans="1:31" customFormat="1" x14ac:dyDescent="0.15">
      <c r="A53" s="187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</row>
    <row r="54" spans="1:31" customFormat="1" x14ac:dyDescent="0.15">
      <c r="A54" s="187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</row>
    <row r="55" spans="1:31" customFormat="1" x14ac:dyDescent="0.15">
      <c r="A55" s="187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</row>
    <row r="56" spans="1:31" customFormat="1" x14ac:dyDescent="0.15">
      <c r="A56" s="187"/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</row>
    <row r="57" spans="1:31" customFormat="1" x14ac:dyDescent="0.15">
      <c r="A57" s="187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</row>
    <row r="58" spans="1:31" customFormat="1" x14ac:dyDescent="0.15">
      <c r="A58" s="187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</row>
    <row r="59" spans="1:31" customFormat="1" x14ac:dyDescent="0.15">
      <c r="A59" s="187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</row>
    <row r="60" spans="1:31" customFormat="1" x14ac:dyDescent="0.15">
      <c r="A60" s="187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</row>
    <row r="61" spans="1:31" customFormat="1" x14ac:dyDescent="0.15">
      <c r="A61" s="187"/>
      <c r="B61" s="187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</row>
    <row r="62" spans="1:31" customFormat="1" x14ac:dyDescent="0.15">
      <c r="A62" s="187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</row>
    <row r="63" spans="1:31" customFormat="1" x14ac:dyDescent="0.15">
      <c r="A63" s="187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</row>
    <row r="64" spans="1:31" customFormat="1" x14ac:dyDescent="0.15">
      <c r="A64" s="187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</row>
    <row r="65" spans="1:31" customFormat="1" x14ac:dyDescent="0.15">
      <c r="A65" s="187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</row>
    <row r="66" spans="1:31" customFormat="1" x14ac:dyDescent="0.15">
      <c r="A66" s="187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</row>
    <row r="67" spans="1:31" customFormat="1" x14ac:dyDescent="0.15">
      <c r="A67" s="187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</row>
    <row r="68" spans="1:31" customFormat="1" x14ac:dyDescent="0.15">
      <c r="A68" s="187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</row>
    <row r="69" spans="1:31" customFormat="1" x14ac:dyDescent="0.15">
      <c r="A69" s="187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</row>
    <row r="70" spans="1:31" customFormat="1" x14ac:dyDescent="0.15">
      <c r="A70" s="187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</row>
    <row r="71" spans="1:31" customFormat="1" x14ac:dyDescent="0.15">
      <c r="A71" s="187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</row>
    <row r="72" spans="1:31" customFormat="1" x14ac:dyDescent="0.15">
      <c r="A72" s="187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</row>
    <row r="73" spans="1:31" customFormat="1" x14ac:dyDescent="0.15">
      <c r="A73" s="187"/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</row>
    <row r="74" spans="1:31" customFormat="1" x14ac:dyDescent="0.15">
      <c r="A74" s="187"/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</row>
    <row r="75" spans="1:31" customFormat="1" x14ac:dyDescent="0.15">
      <c r="A75" s="187"/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</row>
    <row r="76" spans="1:31" customFormat="1" x14ac:dyDescent="0.15">
      <c r="A76" s="187"/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</row>
    <row r="77" spans="1:31" customFormat="1" x14ac:dyDescent="0.15">
      <c r="A77" s="187"/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</row>
    <row r="78" spans="1:31" customFormat="1" x14ac:dyDescent="0.15">
      <c r="A78" s="187"/>
      <c r="B78" s="187"/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</row>
    <row r="79" spans="1:31" customFormat="1" x14ac:dyDescent="0.15">
      <c r="A79" s="187"/>
      <c r="B79" s="187"/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</row>
    <row r="80" spans="1:31" customFormat="1" x14ac:dyDescent="0.15">
      <c r="A80" s="187"/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</row>
    <row r="81" spans="1:31" customFormat="1" x14ac:dyDescent="0.15">
      <c r="A81" s="187"/>
      <c r="B81" s="187"/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</row>
    <row r="82" spans="1:31" customFormat="1" x14ac:dyDescent="0.15">
      <c r="A82" s="187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</row>
    <row r="83" spans="1:31" customFormat="1" x14ac:dyDescent="0.15">
      <c r="A83" s="187"/>
      <c r="B83" s="187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</row>
    <row r="84" spans="1:31" customFormat="1" x14ac:dyDescent="0.15">
      <c r="A84" s="187"/>
      <c r="B84" s="187"/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</row>
    <row r="85" spans="1:31" customFormat="1" x14ac:dyDescent="0.15">
      <c r="A85" s="187"/>
      <c r="B85" s="187"/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</row>
    <row r="86" spans="1:31" customFormat="1" x14ac:dyDescent="0.15">
      <c r="A86" s="187"/>
      <c r="B86" s="187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</row>
    <row r="87" spans="1:31" customFormat="1" x14ac:dyDescent="0.15">
      <c r="A87" s="187"/>
      <c r="B87" s="187"/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pans="1:31" customFormat="1" x14ac:dyDescent="0.15">
      <c r="A88" s="187"/>
      <c r="B88" s="187"/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</row>
    <row r="89" spans="1:31" customFormat="1" x14ac:dyDescent="0.15">
      <c r="A89" s="187"/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pans="1:31" customFormat="1" x14ac:dyDescent="0.15"/>
    <row r="91" spans="1:31" customFormat="1" x14ac:dyDescent="0.15"/>
    <row r="92" spans="1:31" customFormat="1" x14ac:dyDescent="0.15"/>
    <row r="93" spans="1:31" customFormat="1" x14ac:dyDescent="0.15"/>
    <row r="94" spans="1:31" customFormat="1" x14ac:dyDescent="0.15"/>
    <row r="95" spans="1:31" customFormat="1" x14ac:dyDescent="0.15"/>
    <row r="96" spans="1:31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</sheetData>
  <sheetProtection algorithmName="SHA-512" hashValue="E3S8c3jvi/Tg2/Sb95MN8oSQ1Wdo6GXP4xTzm52eewUIw/PrqnhqNAmOTiYxeImHIPaDcg5Y8lAu8H4KJT3s+A==" saltValue="b00i78p1jfr5cTM1OKAzyA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9B63F-4D65-234D-BDC7-665850AB4A4E}">
  <sheetPr codeName="Sheet2"/>
  <dimension ref="A1:NE7506"/>
  <sheetViews>
    <sheetView zoomScale="113" zoomScaleNormal="113" workbookViewId="0">
      <selection activeCell="I19" sqref="I19:I20"/>
    </sheetView>
  </sheetViews>
  <sheetFormatPr baseColWidth="10" defaultRowHeight="13" x14ac:dyDescent="0.15"/>
  <cols>
    <col min="1" max="1" width="17.83203125" style="123" customWidth="1"/>
    <col min="2" max="2" width="14" style="123" customWidth="1"/>
    <col min="3" max="7" width="12.1640625" style="123" customWidth="1"/>
    <col min="8" max="8" width="10.6640625" style="123" customWidth="1"/>
    <col min="9" max="9" width="10.83203125" style="123"/>
    <col min="370" max="16384" width="10.83203125" style="123"/>
  </cols>
  <sheetData>
    <row r="1" spans="1:42" customFormat="1" x14ac:dyDescent="0.15">
      <c r="A1" s="181" t="s">
        <v>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</row>
    <row r="2" spans="1:42" customFormat="1" x14ac:dyDescent="0.15">
      <c r="A2" s="181" t="s">
        <v>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</row>
    <row r="3" spans="1:42" customFormat="1" ht="14" thickBot="1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</row>
    <row r="4" spans="1:42" ht="14" x14ac:dyDescent="0.15">
      <c r="A4" s="94"/>
      <c r="B4" s="95"/>
      <c r="C4" s="95"/>
      <c r="D4" s="95"/>
      <c r="E4" s="95"/>
      <c r="F4" s="95"/>
      <c r="G4" s="95"/>
      <c r="H4" s="95"/>
      <c r="I4" s="96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</row>
    <row r="5" spans="1:42" ht="14" x14ac:dyDescent="0.15">
      <c r="A5" s="97" t="s">
        <v>183</v>
      </c>
      <c r="B5" s="57"/>
      <c r="C5" s="115">
        <v>2500</v>
      </c>
      <c r="D5" s="57"/>
      <c r="E5" s="57"/>
      <c r="F5" s="57"/>
      <c r="G5" s="57"/>
      <c r="H5" s="57"/>
      <c r="I5" s="98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</row>
    <row r="6" spans="1:42" ht="15" thickBot="1" x14ac:dyDescent="0.2">
      <c r="A6" s="99"/>
      <c r="B6" s="100"/>
      <c r="C6" s="100"/>
      <c r="D6" s="100"/>
      <c r="E6" s="100"/>
      <c r="F6" s="100"/>
      <c r="G6" s="100"/>
      <c r="H6" s="100"/>
      <c r="I6" s="10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</row>
    <row r="7" spans="1:42" ht="14" x14ac:dyDescent="0.15">
      <c r="A7" s="94" t="s">
        <v>1</v>
      </c>
      <c r="B7" s="95"/>
      <c r="C7" s="95"/>
      <c r="D7" s="95"/>
      <c r="E7" s="95"/>
      <c r="F7" s="95"/>
      <c r="G7" s="95"/>
      <c r="H7" s="102"/>
      <c r="I7" s="96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</row>
    <row r="8" spans="1:42" ht="41" customHeight="1" x14ac:dyDescent="0.15">
      <c r="A8" s="151" t="s">
        <v>94</v>
      </c>
      <c r="B8" s="152" t="s">
        <v>61</v>
      </c>
      <c r="C8" s="153" t="s">
        <v>55</v>
      </c>
      <c r="D8" s="153" t="s">
        <v>2</v>
      </c>
      <c r="E8" s="154" t="s">
        <v>3</v>
      </c>
      <c r="F8" s="154" t="s">
        <v>4</v>
      </c>
      <c r="G8" s="154" t="s">
        <v>216</v>
      </c>
      <c r="H8" s="155" t="s">
        <v>5</v>
      </c>
      <c r="I8" s="156" t="s">
        <v>6</v>
      </c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</row>
    <row r="9" spans="1:42" x14ac:dyDescent="0.15">
      <c r="A9" s="104" t="str">
        <f>'Tariffs 2020'!F2</f>
        <v>AGL</v>
      </c>
      <c r="B9" s="105">
        <f>'Tariffs 2020'!E2</f>
        <v>42551</v>
      </c>
      <c r="C9" s="106">
        <f>91*'Tariffs 2020'!H2/100</f>
        <v>104.54245454545455</v>
      </c>
      <c r="D9" s="106">
        <f>C5*'Tariffs 2020'!O2/100</f>
        <v>98.409090909090907</v>
      </c>
      <c r="E9" s="106">
        <v>0</v>
      </c>
      <c r="F9" s="106">
        <v>0</v>
      </c>
      <c r="G9" s="106">
        <f t="shared" ref="G9:G14" si="0">SUM(C9:F9)</f>
        <v>202.95154545454545</v>
      </c>
      <c r="H9" s="107">
        <f t="shared" ref="H9:H14" si="1">G9*4</f>
        <v>811.80618181818181</v>
      </c>
      <c r="I9" s="108">
        <f t="shared" ref="I9:I14" si="2">H9*1.1</f>
        <v>892.98680000000002</v>
      </c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</row>
    <row r="10" spans="1:42" x14ac:dyDescent="0.15">
      <c r="A10" s="104" t="str">
        <f>'Tariffs 2020'!F3</f>
        <v>Origin Energy</v>
      </c>
      <c r="B10" s="105">
        <f>'Tariffs 2020'!E3</f>
        <v>42565</v>
      </c>
      <c r="C10" s="106">
        <f>91*'Tariffs 2020'!H3/100</f>
        <v>98.445454545454538</v>
      </c>
      <c r="D10" s="106">
        <f>IF($C$5&gt;='Tariffs 2020'!J3,('Tariffs 2020'!J3*'Tariffs 2020'!O3/100),($C$5*'Tariffs 2020'!O3/100))</f>
        <v>72.826363636363624</v>
      </c>
      <c r="E10" s="106">
        <v>0</v>
      </c>
      <c r="F10" s="106">
        <f>IF(($C$5&lt;'Tariffs 2020'!J3),(0),($C$5-'Tariffs 2020'!J3)*'Tariffs 2020'!P3/100)</f>
        <v>5.1781818181818187</v>
      </c>
      <c r="G10" s="106">
        <f t="shared" si="0"/>
        <v>176.45</v>
      </c>
      <c r="H10" s="107">
        <f t="shared" si="1"/>
        <v>705.8</v>
      </c>
      <c r="I10" s="108">
        <f t="shared" si="2"/>
        <v>776.38</v>
      </c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</row>
    <row r="11" spans="1:42" x14ac:dyDescent="0.15">
      <c r="A11" s="104" t="str">
        <f>'Tariffs 2020'!F4</f>
        <v>Alinta Energy</v>
      </c>
      <c r="B11" s="105">
        <f>'Tariffs 2020'!E4</f>
        <v>42567</v>
      </c>
      <c r="C11" s="106">
        <f>91*'Tariffs 2020'!H4/100</f>
        <v>94.391818181818181</v>
      </c>
      <c r="D11" s="106">
        <f>IF($C$5&gt;='Tariffs 2020'!J4,('Tariffs 2020'!J4*'Tariffs 2020'!O4/100),($C$5*'Tariffs 2020'!O4/100))</f>
        <v>70.926545454545447</v>
      </c>
      <c r="E11" s="106">
        <v>0</v>
      </c>
      <c r="F11" s="106">
        <f>IF(($C$5&lt;'Tariffs 2020'!J4),(0),($C$5-'Tariffs 2020'!J4)*'Tariffs 2020'!P4/100)</f>
        <v>5.0163636363636357</v>
      </c>
      <c r="G11" s="106">
        <f t="shared" si="0"/>
        <v>170.33472727272726</v>
      </c>
      <c r="H11" s="107">
        <f t="shared" si="1"/>
        <v>681.33890909090906</v>
      </c>
      <c r="I11" s="108">
        <f t="shared" si="2"/>
        <v>749.47280000000001</v>
      </c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</row>
    <row r="12" spans="1:42" x14ac:dyDescent="0.15">
      <c r="A12" s="104" t="str">
        <f>'Tariffs 2020'!F5</f>
        <v>CovaU</v>
      </c>
      <c r="B12" s="105">
        <f>'Tariffs 2020'!E5</f>
        <v>42551</v>
      </c>
      <c r="C12" s="106">
        <f>91*'Tariffs 2020'!H5/100</f>
        <v>95.549999999999983</v>
      </c>
      <c r="D12" s="106">
        <f>IF($C$5&gt;='Tariffs 2020'!J5,('Tariffs 2020'!J5*'Tariffs 2020'!O5/100),($C$5*'Tariffs 2020'!O5/100))</f>
        <v>74.304000000000002</v>
      </c>
      <c r="E12" s="106">
        <f>IF($C$5&lt;'Tariffs 2020'!J5,0,IF(($C$5-'Tariffs 2020'!J5)&lt;='Tariffs 2020'!K5,(($C$5-'Tariffs 2020'!J5)*'Tariffs 2020'!P5/100),(('Tariffs 2020'!K5-'Tariffs 2020'!J5)*'Tariffs 2020'!P5/100)))</f>
        <v>5.4370909090909088</v>
      </c>
      <c r="F12" s="106">
        <f>IF(($C$5&lt;'Tariffs 2020'!K5),(0),($C$5-'Tariffs 2020'!K5)*'Tariffs 2020'!Q5/100)</f>
        <v>0</v>
      </c>
      <c r="G12" s="106">
        <f t="shared" si="0"/>
        <v>175.29109090909088</v>
      </c>
      <c r="H12" s="107">
        <f t="shared" si="1"/>
        <v>701.16436363636353</v>
      </c>
      <c r="I12" s="108">
        <f t="shared" si="2"/>
        <v>771.2808</v>
      </c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</row>
    <row r="13" spans="1:42" x14ac:dyDescent="0.15">
      <c r="A13" s="104" t="str">
        <f>'Tariffs 2020'!F6</f>
        <v>GloBird Energy</v>
      </c>
      <c r="B13" s="105">
        <f>'Tariffs 2020'!E6</f>
        <v>42480</v>
      </c>
      <c r="C13" s="106">
        <f>91*'Tariffs 2020'!H6/100</f>
        <v>136.5</v>
      </c>
      <c r="D13" s="106">
        <f>IF($C$5&gt;='Tariffs 2020'!J6,('Tariffs 2020'!J6*'Tariffs 2020'!O6/100),($C$5*'Tariffs 2020'!O6/100))</f>
        <v>22.439999999999994</v>
      </c>
      <c r="E13" s="106">
        <v>0</v>
      </c>
      <c r="F13" s="106">
        <f>IF(($C$5&lt;'Tariffs 2020'!J6),(0),($C$5-'Tariffs 2020'!J6)*'Tariffs 2020'!P6/100)</f>
        <v>49.055999999999997</v>
      </c>
      <c r="G13" s="106">
        <f t="shared" si="0"/>
        <v>207.99599999999998</v>
      </c>
      <c r="H13" s="107">
        <f t="shared" si="1"/>
        <v>831.98399999999992</v>
      </c>
      <c r="I13" s="108">
        <f t="shared" si="2"/>
        <v>915.18240000000003</v>
      </c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</row>
    <row r="14" spans="1:42" ht="14" thickBot="1" x14ac:dyDescent="0.2">
      <c r="A14" s="109" t="str">
        <f>'Tariffs 2020'!F7</f>
        <v>Red Energy</v>
      </c>
      <c r="B14" s="110">
        <f>'Tariffs 2020'!E7</f>
        <v>42551</v>
      </c>
      <c r="C14" s="111">
        <f>91*'Tariffs 2020'!H7/100</f>
        <v>111.01999999999998</v>
      </c>
      <c r="D14" s="111">
        <f>IF($C$5&gt;='Tariffs 2020'!J7,('Tariffs 2020'!J7*'Tariffs 2020'!O7/100),($C$5*'Tariffs 2020'!O7/100))</f>
        <v>85.914000000000001</v>
      </c>
      <c r="E14" s="111">
        <f>IF($C$5&lt;'Tariffs 2020'!J7,0,IF(($C$5-'Tariffs 2020'!J7)&lt;='Tariffs 2020'!K7,(($C$5-'Tariffs 2020'!J7)*'Tariffs 2020'!P7/100),(('Tariffs 2020'!K7-'Tariffs 2020'!J7)*'Tariffs 2020'!P7/100)))</f>
        <v>6.0519999999999996</v>
      </c>
      <c r="F14" s="111">
        <f>IF(($C$5&lt;'Tariffs 2020'!K7),(0),($C$5-'Tariffs 2020'!K7)*'Tariffs 2020'!Q7/100)</f>
        <v>0</v>
      </c>
      <c r="G14" s="111">
        <f t="shared" si="0"/>
        <v>202.98599999999996</v>
      </c>
      <c r="H14" s="112">
        <f t="shared" si="1"/>
        <v>811.94399999999985</v>
      </c>
      <c r="I14" s="113">
        <f t="shared" si="2"/>
        <v>893.13839999999993</v>
      </c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</row>
    <row r="15" spans="1:42" x14ac:dyDescent="0.15">
      <c r="A15" s="182"/>
      <c r="B15" s="182"/>
      <c r="C15" s="182"/>
      <c r="D15" s="182"/>
      <c r="E15" s="182"/>
      <c r="F15" s="182"/>
      <c r="G15" s="182"/>
      <c r="H15" s="182"/>
      <c r="I15" s="182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</row>
    <row r="16" spans="1:42" ht="14" thickBot="1" x14ac:dyDescent="0.2">
      <c r="A16" s="182"/>
      <c r="B16" s="182"/>
      <c r="C16" s="182"/>
      <c r="D16" s="182"/>
      <c r="E16" s="182"/>
      <c r="F16" s="182"/>
      <c r="G16" s="182"/>
      <c r="H16" s="182"/>
      <c r="I16" s="182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</row>
    <row r="17" spans="1:42" ht="14" x14ac:dyDescent="0.15">
      <c r="A17" s="94" t="s">
        <v>8</v>
      </c>
      <c r="B17" s="95"/>
      <c r="C17" s="95"/>
      <c r="D17" s="95"/>
      <c r="E17" s="95"/>
      <c r="F17" s="95"/>
      <c r="G17" s="95"/>
      <c r="H17" s="102"/>
      <c r="I17" s="96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</row>
    <row r="18" spans="1:42" ht="30" x14ac:dyDescent="0.15">
      <c r="A18" s="151" t="s">
        <v>94</v>
      </c>
      <c r="B18" s="152" t="s">
        <v>61</v>
      </c>
      <c r="C18" s="153" t="s">
        <v>55</v>
      </c>
      <c r="D18" s="153" t="s">
        <v>2</v>
      </c>
      <c r="E18" s="154" t="s">
        <v>3</v>
      </c>
      <c r="F18" s="154" t="s">
        <v>4</v>
      </c>
      <c r="G18" s="154" t="s">
        <v>216</v>
      </c>
      <c r="H18" s="155" t="s">
        <v>5</v>
      </c>
      <c r="I18" s="156" t="s">
        <v>6</v>
      </c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</row>
    <row r="19" spans="1:42" x14ac:dyDescent="0.15">
      <c r="A19" s="104" t="str">
        <f>'Tariffs 2020'!F8</f>
        <v>AGL</v>
      </c>
      <c r="B19" s="105">
        <f>'Tariffs 2020'!E8</f>
        <v>42551</v>
      </c>
      <c r="C19" s="106">
        <f>91*'Tariffs 2020'!H8/100</f>
        <v>65.933636363636367</v>
      </c>
      <c r="D19" s="106">
        <f>C5*'Tariffs 2020'!O8/100</f>
        <v>121.59090909090908</v>
      </c>
      <c r="E19" s="106">
        <f>IF($C$5&lt;'Tariffs 2020'!J8,0,IF(($C$5-'Tariffs 2020'!J8)&lt;='Tariffs 2020'!K8,(($C$5-'Tariffs 2020'!J8)*'Tariffs 2020'!P8/100),(('Tariffs 2020'!K8-'Tariffs 2020'!J8)*'Tariffs 2020'!P8/100)))</f>
        <v>0</v>
      </c>
      <c r="F19" s="106">
        <f>IF(($C$5&lt;'Tariffs 2020'!K8),(0),($C$5-'Tariffs 2020'!K8)*'Tariffs 2020'!Q8/100)</f>
        <v>0</v>
      </c>
      <c r="G19" s="106">
        <f t="shared" ref="G19:G24" si="3">SUM(C19:F19)</f>
        <v>187.52454545454543</v>
      </c>
      <c r="H19" s="107">
        <f t="shared" ref="H19:H24" si="4">G19*4</f>
        <v>750.09818181818173</v>
      </c>
      <c r="I19" s="108">
        <f t="shared" ref="I19:I24" si="5">H19*1.1</f>
        <v>825.10799999999995</v>
      </c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</row>
    <row r="20" spans="1:42" x14ac:dyDescent="0.15">
      <c r="A20" s="104" t="str">
        <f>'Tariffs 2020'!F9</f>
        <v>Origin Energy</v>
      </c>
      <c r="B20" s="105">
        <f>'Tariffs 2020'!E9</f>
        <v>42565</v>
      </c>
      <c r="C20" s="106">
        <f>91*'Tariffs 2020'!H9/100</f>
        <v>64.11363636363636</v>
      </c>
      <c r="D20" s="106">
        <f>IF($C$5&gt;='Tariffs 2020'!J9,('Tariffs 2020'!J9*'Tariffs 2020'!O9/100),($C$5*'Tariffs 2020'!O9/100))</f>
        <v>41.640363636363624</v>
      </c>
      <c r="E20" s="106">
        <f>IF($C$5&lt;'Tariffs 2020'!J9,0,IF(($C$5-'Tariffs 2020'!J9)&lt;='Tariffs 2020'!K9,(($C$5-'Tariffs 2020'!J9)*'Tariffs 2020'!P9/100),(('Tariffs 2020'!K9-'Tariffs 2020'!J9)*'Tariffs 2020'!P9/100)))</f>
        <v>68.884363636363631</v>
      </c>
      <c r="F20" s="106">
        <f>IF(($C$5&lt;'Tariffs 2020'!K9),(0),($C$5-'Tariffs 2020'!K9)*'Tariffs 2020'!Q9/100)</f>
        <v>0.16909090909090907</v>
      </c>
      <c r="G20" s="106">
        <f t="shared" si="3"/>
        <v>174.80745454545453</v>
      </c>
      <c r="H20" s="107">
        <f t="shared" si="4"/>
        <v>699.22981818181813</v>
      </c>
      <c r="I20" s="108">
        <f t="shared" si="5"/>
        <v>769.15279999999996</v>
      </c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</row>
    <row r="21" spans="1:42" x14ac:dyDescent="0.15">
      <c r="A21" s="104" t="str">
        <f>'Tariffs 2020'!F10</f>
        <v>Alinta Energy</v>
      </c>
      <c r="B21" s="105">
        <f>'Tariffs 2020'!E10</f>
        <v>42507</v>
      </c>
      <c r="C21" s="106">
        <f>91*'Tariffs 2020'!H10/100</f>
        <v>54.599999999999994</v>
      </c>
      <c r="D21" s="106">
        <f>C5*'Tariffs 2020'!O10/100</f>
        <v>99.772727272727266</v>
      </c>
      <c r="E21" s="106">
        <f>IF($C$5&lt;'Tariffs 2020'!J10,0,IF(($C$5-'Tariffs 2020'!J10)&lt;='Tariffs 2020'!K10,(($C$5-'Tariffs 2020'!J10)*'Tariffs 2020'!P10/100),(('Tariffs 2020'!K10-'Tariffs 2020'!J10)*'Tariffs 2020'!P10/100)))</f>
        <v>0</v>
      </c>
      <c r="F21" s="106">
        <f>IF(($C$5&lt;'Tariffs 2020'!K10),(0),($C$5-'Tariffs 2020'!K10)*'Tariffs 2020'!Q10/100)</f>
        <v>0</v>
      </c>
      <c r="G21" s="106">
        <f t="shared" si="3"/>
        <v>154.37272727272727</v>
      </c>
      <c r="H21" s="107">
        <f t="shared" si="4"/>
        <v>617.4909090909091</v>
      </c>
      <c r="I21" s="108">
        <f t="shared" si="5"/>
        <v>679.24</v>
      </c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</row>
    <row r="22" spans="1:42" x14ac:dyDescent="0.15">
      <c r="A22" s="104" t="str">
        <f>'Tariffs 2020'!F11</f>
        <v>CovaU</v>
      </c>
      <c r="B22" s="105">
        <f>'Tariffs 2020'!E11</f>
        <v>42551</v>
      </c>
      <c r="C22" s="106">
        <f>91*'Tariffs 2020'!H11/100</f>
        <v>68.25</v>
      </c>
      <c r="D22" s="106">
        <f>IF($C$5&gt;='Tariffs 2020'!J11,('Tariffs 2020'!J11*'Tariffs 2020'!O11/100),($C$5*'Tariffs 2020'!O11/100))</f>
        <v>38.375999999999998</v>
      </c>
      <c r="E22" s="106">
        <f>IF($C$5&lt;'Tariffs 2020'!J11,0,IF(($C$5-'Tariffs 2020'!J11)&lt;='Tariffs 2020'!K11,(($C$5-'Tariffs 2020'!J11)*'Tariffs 2020'!P11/100),(('Tariffs 2020'!K11-'Tariffs 2020'!J11)*'Tariffs 2020'!P11/100)))</f>
        <v>36.630000000000003</v>
      </c>
      <c r="F22" s="106">
        <f>IF(($C$5&lt;'Tariffs 2020'!K11),(0),($C$5-'Tariffs 2020'!K11)*'Tariffs 2020'!Q11/100)</f>
        <v>18.177090909090904</v>
      </c>
      <c r="G22" s="106">
        <f t="shared" si="3"/>
        <v>161.43309090909091</v>
      </c>
      <c r="H22" s="107">
        <f t="shared" si="4"/>
        <v>645.73236363636363</v>
      </c>
      <c r="I22" s="108">
        <f t="shared" si="5"/>
        <v>710.30560000000003</v>
      </c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</row>
    <row r="23" spans="1:42" x14ac:dyDescent="0.15">
      <c r="A23" s="104" t="str">
        <f>'Tariffs 2020'!F12</f>
        <v>GloBird Energy</v>
      </c>
      <c r="B23" s="105">
        <f>'Tariffs 2020'!E12</f>
        <v>42482</v>
      </c>
      <c r="C23" s="106">
        <f>91*'Tariffs 2020'!H12/100</f>
        <v>109.19999999999999</v>
      </c>
      <c r="D23" s="106">
        <f>IF($C$5&gt;='Tariffs 2020'!J12,('Tariffs 2020'!J12*'Tariffs 2020'!O12/100),($C$5*'Tariffs 2020'!O12/100))</f>
        <v>37.4</v>
      </c>
      <c r="E23" s="106">
        <v>0</v>
      </c>
      <c r="F23" s="106">
        <f>IF(($C$5&lt;'Tariffs 2020'!J12),(0),($C$5-'Tariffs 2020'!J12)*'Tariffs 2020'!P12/100)</f>
        <v>70.08</v>
      </c>
      <c r="G23" s="106">
        <f t="shared" si="3"/>
        <v>216.68</v>
      </c>
      <c r="H23" s="107">
        <f t="shared" si="4"/>
        <v>866.72</v>
      </c>
      <c r="I23" s="108">
        <f t="shared" si="5"/>
        <v>953.39200000000005</v>
      </c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</row>
    <row r="24" spans="1:42" ht="14" thickBot="1" x14ac:dyDescent="0.2">
      <c r="A24" s="109" t="str">
        <f>'Tariffs 2020'!F13</f>
        <v>Red Energy</v>
      </c>
      <c r="B24" s="110">
        <f>'Tariffs 2020'!E13</f>
        <v>42551</v>
      </c>
      <c r="C24" s="111">
        <f>91*'Tariffs 2020'!H13/100</f>
        <v>74.62</v>
      </c>
      <c r="D24" s="111">
        <f>IF($C$5&gt;='Tariffs 2020'!J13,('Tariffs 2020'!J13*'Tariffs 2020'!O13/100),($C$5*'Tariffs 2020'!O13/100))</f>
        <v>46.251999999999995</v>
      </c>
      <c r="E24" s="111">
        <f>IF($C$5&lt;'Tariffs 2020'!J13,0,IF(($C$5-'Tariffs 2020'!J13)&lt;='Tariffs 2020'!K13,(($C$5-'Tariffs 2020'!J13)*'Tariffs 2020'!P13/100),(('Tariffs 2020'!K13-'Tariffs 2020'!J13)*'Tariffs 2020'!P13/100)))</f>
        <v>77.175999999999988</v>
      </c>
      <c r="F24" s="111">
        <f>IF(($C$5&lt;'Tariffs 2020'!K13),(0),($C$5-'Tariffs 2020'!K13)*'Tariffs 2020'!Q13/100)</f>
        <v>0.16799999999999998</v>
      </c>
      <c r="G24" s="111">
        <f t="shared" si="3"/>
        <v>198.21600000000001</v>
      </c>
      <c r="H24" s="112">
        <f t="shared" si="4"/>
        <v>792.86400000000003</v>
      </c>
      <c r="I24" s="113">
        <f t="shared" si="5"/>
        <v>872.1504000000001</v>
      </c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</row>
    <row r="25" spans="1:42" x14ac:dyDescent="0.15">
      <c r="A25" s="182"/>
      <c r="B25" s="182"/>
      <c r="C25" s="182"/>
      <c r="D25" s="182"/>
      <c r="E25" s="182"/>
      <c r="F25" s="182"/>
      <c r="G25" s="182"/>
      <c r="H25" s="182"/>
      <c r="I25" s="182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</row>
    <row r="26" spans="1:42" ht="14" thickBot="1" x14ac:dyDescent="0.2">
      <c r="A26" s="182"/>
      <c r="B26" s="182"/>
      <c r="C26" s="182"/>
      <c r="D26" s="182"/>
      <c r="E26" s="182"/>
      <c r="F26" s="182"/>
      <c r="G26" s="182"/>
      <c r="H26" s="182"/>
      <c r="I26" s="182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</row>
    <row r="27" spans="1:42" ht="14" x14ac:dyDescent="0.15">
      <c r="A27" s="94" t="s">
        <v>59</v>
      </c>
      <c r="B27" s="95"/>
      <c r="C27" s="95"/>
      <c r="D27" s="95"/>
      <c r="E27" s="95"/>
      <c r="F27" s="95"/>
      <c r="G27" s="95"/>
      <c r="H27" s="102"/>
      <c r="I27" s="96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</row>
    <row r="28" spans="1:42" ht="30" x14ac:dyDescent="0.15">
      <c r="A28" s="151" t="s">
        <v>94</v>
      </c>
      <c r="B28" s="152" t="s">
        <v>61</v>
      </c>
      <c r="C28" s="153" t="s">
        <v>55</v>
      </c>
      <c r="D28" s="153" t="s">
        <v>2</v>
      </c>
      <c r="E28" s="154" t="s">
        <v>3</v>
      </c>
      <c r="F28" s="154" t="s">
        <v>4</v>
      </c>
      <c r="G28" s="154" t="s">
        <v>216</v>
      </c>
      <c r="H28" s="155" t="s">
        <v>5</v>
      </c>
      <c r="I28" s="156" t="s">
        <v>6</v>
      </c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</row>
    <row r="29" spans="1:42" ht="14" thickBot="1" x14ac:dyDescent="0.2">
      <c r="A29" s="109" t="str">
        <f>'Tariffs 2020'!F14</f>
        <v>Origin Energy</v>
      </c>
      <c r="B29" s="110">
        <f>'Tariffs 2020'!E14</f>
        <v>42565</v>
      </c>
      <c r="C29" s="111">
        <f>91*'Tariffs 2020'!H14/100</f>
        <v>62.872727272727261</v>
      </c>
      <c r="D29" s="111">
        <f>IF($C$5&gt;='Tariffs 2020'!J14,('Tariffs 2020'!J14*'Tariffs 2020'!O14/100),($C$5*'Tariffs 2020'!O14/100))</f>
        <v>48.150909090909089</v>
      </c>
      <c r="E29" s="111">
        <f>IF($C$5&lt;'Tariffs 2020'!J14,0,IF(($C$5-'Tariffs 2020'!J14)&lt;='Tariffs 2020'!K14,(($C$5-'Tariffs 2020'!J14)*'Tariffs 2020'!P14/100),(('Tariffs 2020'!K14-'Tariffs 2020'!J14)*'Tariffs 2020'!P14/100)))</f>
        <v>74.943636363636358</v>
      </c>
      <c r="F29" s="111">
        <f>IF(($C$5&lt;'Tariffs 2020'!K14),(0),($C$5-'Tariffs 2020'!K14)*'Tariffs 2020'!Q14/100)</f>
        <v>0.15272727272727271</v>
      </c>
      <c r="G29" s="111">
        <f>SUM(C29:F29)</f>
        <v>186.11999999999998</v>
      </c>
      <c r="H29" s="112">
        <f>G29*4</f>
        <v>744.4799999999999</v>
      </c>
      <c r="I29" s="113">
        <f>H29*1.1</f>
        <v>818.928</v>
      </c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</row>
    <row r="30" spans="1:42" x14ac:dyDescent="0.15">
      <c r="A30" s="182"/>
      <c r="B30" s="182"/>
      <c r="C30" s="182"/>
      <c r="D30" s="182"/>
      <c r="E30" s="182"/>
      <c r="F30" s="182"/>
      <c r="G30" s="182"/>
      <c r="H30" s="182"/>
      <c r="I30" s="182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</row>
    <row r="31" spans="1:42" ht="14" thickBot="1" x14ac:dyDescent="0.2">
      <c r="A31" s="182"/>
      <c r="B31" s="182"/>
      <c r="C31" s="182"/>
      <c r="D31" s="182"/>
      <c r="E31" s="182"/>
      <c r="F31" s="182"/>
      <c r="G31" s="182"/>
      <c r="H31" s="182"/>
      <c r="I31" s="182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</row>
    <row r="32" spans="1:42" ht="14" x14ac:dyDescent="0.15">
      <c r="A32" s="94" t="s">
        <v>60</v>
      </c>
      <c r="B32" s="95"/>
      <c r="C32" s="95"/>
      <c r="D32" s="95"/>
      <c r="E32" s="95"/>
      <c r="F32" s="95"/>
      <c r="G32" s="95"/>
      <c r="H32" s="102"/>
      <c r="I32" s="96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</row>
    <row r="33" spans="1:42" ht="30" x14ac:dyDescent="0.15">
      <c r="A33" s="151" t="s">
        <v>94</v>
      </c>
      <c r="B33" s="152" t="s">
        <v>61</v>
      </c>
      <c r="C33" s="153" t="s">
        <v>55</v>
      </c>
      <c r="D33" s="153" t="s">
        <v>2</v>
      </c>
      <c r="E33" s="154" t="s">
        <v>3</v>
      </c>
      <c r="F33" s="154" t="s">
        <v>4</v>
      </c>
      <c r="G33" s="154" t="s">
        <v>216</v>
      </c>
      <c r="H33" s="155" t="s">
        <v>5</v>
      </c>
      <c r="I33" s="156" t="s">
        <v>6</v>
      </c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</row>
    <row r="34" spans="1:42" ht="14" thickBot="1" x14ac:dyDescent="0.2">
      <c r="A34" s="109" t="str">
        <f>'Tariffs 2020'!F15</f>
        <v>Origin Energy</v>
      </c>
      <c r="B34" s="110">
        <f>'Tariffs 2020'!E15</f>
        <v>42565</v>
      </c>
      <c r="C34" s="114">
        <f>91*'Tariffs 2020'!H15/100</f>
        <v>24.818181818181817</v>
      </c>
      <c r="D34" s="114">
        <f>IF($C$5&gt;='Tariffs 2020'!J15,('Tariffs 2020'!J15*'Tariffs 2020'!O15/100),($C$5*'Tariffs 2020'!O15/100))</f>
        <v>84.090909090909079</v>
      </c>
      <c r="E34" s="114">
        <v>0</v>
      </c>
      <c r="F34" s="114">
        <f>IF(($C$5&lt;'Tariffs 2020'!J15),(0),($C$5-'Tariffs 2020'!J15)*'Tariffs 2020'!P15/100)</f>
        <v>0</v>
      </c>
      <c r="G34" s="111">
        <f>SUM(C34:F34)</f>
        <v>108.90909090909089</v>
      </c>
      <c r="H34" s="112">
        <f>G34*4</f>
        <v>435.63636363636357</v>
      </c>
      <c r="I34" s="113">
        <f>H34*1.1</f>
        <v>479.2</v>
      </c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</row>
    <row r="35" spans="1:42" customFormat="1" x14ac:dyDescent="0.15">
      <c r="A35" s="181"/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</row>
    <row r="36" spans="1:42" customFormat="1" x14ac:dyDescent="0.15">
      <c r="A36" s="181"/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</row>
    <row r="37" spans="1:42" customFormat="1" x14ac:dyDescent="0.15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</row>
    <row r="38" spans="1:42" customFormat="1" x14ac:dyDescent="0.15">
      <c r="A38" s="181"/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</row>
    <row r="39" spans="1:42" customFormat="1" x14ac:dyDescent="0.15">
      <c r="A39" s="181"/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</row>
    <row r="40" spans="1:42" customFormat="1" x14ac:dyDescent="0.15">
      <c r="A40" s="181"/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</row>
    <row r="41" spans="1:42" customFormat="1" x14ac:dyDescent="0.15">
      <c r="A41" s="181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</row>
    <row r="42" spans="1:42" customFormat="1" x14ac:dyDescent="0.15">
      <c r="A42" s="181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</row>
    <row r="43" spans="1:42" customFormat="1" x14ac:dyDescent="0.15">
      <c r="A43" s="181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</row>
    <row r="44" spans="1:42" customFormat="1" x14ac:dyDescent="0.15">
      <c r="A44" s="181"/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</row>
    <row r="45" spans="1:42" customFormat="1" x14ac:dyDescent="0.15">
      <c r="A45" s="181"/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</row>
    <row r="46" spans="1:42" customFormat="1" x14ac:dyDescent="0.15">
      <c r="A46" s="181"/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</row>
    <row r="47" spans="1:42" customFormat="1" x14ac:dyDescent="0.15">
      <c r="A47" s="181"/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</row>
    <row r="48" spans="1:42" customFormat="1" x14ac:dyDescent="0.15">
      <c r="A48" s="181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</row>
    <row r="49" spans="1:42" customFormat="1" x14ac:dyDescent="0.15">
      <c r="A49" s="181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</row>
    <row r="50" spans="1:42" customFormat="1" x14ac:dyDescent="0.15">
      <c r="A50" s="181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</row>
    <row r="51" spans="1:42" customFormat="1" x14ac:dyDescent="0.15">
      <c r="A51" s="181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</row>
    <row r="52" spans="1:42" customFormat="1" x14ac:dyDescent="0.15">
      <c r="A52" s="181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</row>
    <row r="53" spans="1:42" customFormat="1" x14ac:dyDescent="0.15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</row>
    <row r="54" spans="1:42" customFormat="1" x14ac:dyDescent="0.15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</row>
    <row r="55" spans="1:42" customFormat="1" x14ac:dyDescent="0.15">
      <c r="A55" s="181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</row>
    <row r="56" spans="1:42" customFormat="1" x14ac:dyDescent="0.15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</row>
    <row r="57" spans="1:42" customFormat="1" x14ac:dyDescent="0.15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</row>
    <row r="58" spans="1:42" customFormat="1" x14ac:dyDescent="0.15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</row>
    <row r="59" spans="1:42" customFormat="1" x14ac:dyDescent="0.15">
      <c r="A59" s="181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</row>
    <row r="60" spans="1:42" customFormat="1" x14ac:dyDescent="0.15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</row>
    <row r="61" spans="1:42" customFormat="1" x14ac:dyDescent="0.15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</row>
    <row r="62" spans="1:42" customFormat="1" x14ac:dyDescent="0.15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</row>
    <row r="63" spans="1:42" customFormat="1" x14ac:dyDescent="0.15">
      <c r="A63" s="181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</row>
    <row r="64" spans="1:42" customFormat="1" x14ac:dyDescent="0.15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</row>
    <row r="65" spans="1:42" customFormat="1" x14ac:dyDescent="0.15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</row>
    <row r="66" spans="1:42" customFormat="1" x14ac:dyDescent="0.15">
      <c r="A66" s="181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</row>
    <row r="67" spans="1:42" customFormat="1" x14ac:dyDescent="0.15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</row>
    <row r="68" spans="1:42" customFormat="1" x14ac:dyDescent="0.15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</row>
    <row r="69" spans="1:42" customFormat="1" x14ac:dyDescent="0.15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</row>
    <row r="70" spans="1:42" customFormat="1" x14ac:dyDescent="0.15">
      <c r="A70" s="181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</row>
    <row r="71" spans="1:42" customFormat="1" x14ac:dyDescent="0.15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</row>
    <row r="72" spans="1:42" customFormat="1" x14ac:dyDescent="0.15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</row>
    <row r="73" spans="1:42" customFormat="1" x14ac:dyDescent="0.15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</row>
    <row r="74" spans="1:42" customFormat="1" x14ac:dyDescent="0.15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</row>
    <row r="75" spans="1:42" customFormat="1" x14ac:dyDescent="0.15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</row>
    <row r="76" spans="1:42" customFormat="1" x14ac:dyDescent="0.15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</row>
    <row r="77" spans="1:42" customFormat="1" x14ac:dyDescent="0.15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</row>
    <row r="78" spans="1:42" customFormat="1" x14ac:dyDescent="0.15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</row>
    <row r="79" spans="1:42" customFormat="1" x14ac:dyDescent="0.15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</row>
    <row r="80" spans="1:42" customFormat="1" x14ac:dyDescent="0.15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</row>
    <row r="81" spans="1:42" customFormat="1" x14ac:dyDescent="0.15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</row>
    <row r="82" spans="1:42" customFormat="1" x14ac:dyDescent="0.15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</row>
    <row r="83" spans="1:42" customFormat="1" x14ac:dyDescent="0.15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</row>
    <row r="84" spans="1:42" customFormat="1" x14ac:dyDescent="0.15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</row>
    <row r="85" spans="1:42" customFormat="1" x14ac:dyDescent="0.15"/>
    <row r="86" spans="1:42" customFormat="1" x14ac:dyDescent="0.15"/>
    <row r="87" spans="1:42" customFormat="1" x14ac:dyDescent="0.15"/>
    <row r="88" spans="1:42" customFormat="1" x14ac:dyDescent="0.15"/>
    <row r="89" spans="1:42" customFormat="1" x14ac:dyDescent="0.15"/>
    <row r="90" spans="1:42" customFormat="1" x14ac:dyDescent="0.15"/>
    <row r="91" spans="1:42" customFormat="1" x14ac:dyDescent="0.15"/>
    <row r="92" spans="1:42" customFormat="1" x14ac:dyDescent="0.15"/>
    <row r="93" spans="1:42" customFormat="1" x14ac:dyDescent="0.15"/>
    <row r="94" spans="1:42" customFormat="1" x14ac:dyDescent="0.15"/>
    <row r="95" spans="1:42" customFormat="1" x14ac:dyDescent="0.15"/>
    <row r="96" spans="1:42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</sheetData>
  <sheetProtection algorithmName="SHA-512" hashValue="TNjq0jiGVHdiecrqihQXaP7hvJ46fWa4c8pBqcYvKnZYH7f4EqeRk+ODB4bv9BuwyT9Ay0FR1zr3N/gjK5FOeg==" saltValue="XEtsLrKJ+Zb+9s/JUQZ/w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518D1-85D3-B748-A4D8-0D8E2C53D6D2}">
  <sheetPr codeName="Sheet3"/>
  <dimension ref="A1:I26"/>
  <sheetViews>
    <sheetView zoomScale="113" zoomScaleNormal="113" workbookViewId="0">
      <selection activeCell="I15" sqref="I15:I16"/>
    </sheetView>
  </sheetViews>
  <sheetFormatPr baseColWidth="10" defaultRowHeight="13" x14ac:dyDescent="0.15"/>
  <cols>
    <col min="1" max="1" width="15.83203125" style="123" customWidth="1"/>
    <col min="2" max="2" width="14.5" style="123" customWidth="1"/>
    <col min="3" max="7" width="12.1640625" style="123" customWidth="1"/>
    <col min="8" max="8" width="10.6640625" style="123" customWidth="1"/>
    <col min="9" max="16384" width="10.83203125" style="123"/>
  </cols>
  <sheetData>
    <row r="1" spans="1:9" ht="14" x14ac:dyDescent="0.15">
      <c r="A1" s="122" t="s">
        <v>7</v>
      </c>
      <c r="B1" s="122"/>
      <c r="C1" s="122"/>
      <c r="D1" s="122"/>
      <c r="E1" s="122"/>
      <c r="F1" s="122"/>
      <c r="G1" s="122"/>
      <c r="H1" s="122"/>
      <c r="I1" s="122"/>
    </row>
    <row r="2" spans="1:9" ht="14" x14ac:dyDescent="0.15">
      <c r="A2" s="124" t="s">
        <v>0</v>
      </c>
      <c r="B2" s="122"/>
      <c r="C2" s="122"/>
      <c r="D2" s="122"/>
      <c r="E2" s="122"/>
      <c r="F2" s="122"/>
      <c r="G2" s="122"/>
      <c r="H2" s="122"/>
      <c r="I2" s="122"/>
    </row>
    <row r="3" spans="1:9" ht="15" thickBot="1" x14ac:dyDescent="0.2">
      <c r="A3" s="122"/>
      <c r="B3" s="122"/>
      <c r="C3" s="122"/>
      <c r="D3" s="122"/>
      <c r="E3" s="122"/>
      <c r="F3" s="122"/>
      <c r="G3" s="122"/>
      <c r="H3" s="122"/>
      <c r="I3" s="122"/>
    </row>
    <row r="4" spans="1:9" ht="14" x14ac:dyDescent="0.15">
      <c r="A4" s="94"/>
      <c r="B4" s="95"/>
      <c r="C4" s="95"/>
      <c r="D4" s="95"/>
      <c r="E4" s="95"/>
      <c r="F4" s="95"/>
      <c r="G4" s="95"/>
      <c r="H4" s="95"/>
      <c r="I4" s="96"/>
    </row>
    <row r="5" spans="1:9" ht="14" x14ac:dyDescent="0.15">
      <c r="A5" s="97" t="s">
        <v>183</v>
      </c>
      <c r="B5" s="57"/>
      <c r="C5" s="115">
        <v>2500</v>
      </c>
      <c r="D5" s="57"/>
      <c r="E5" s="57"/>
      <c r="F5" s="57"/>
      <c r="G5" s="57"/>
      <c r="H5" s="57"/>
      <c r="I5" s="98"/>
    </row>
    <row r="6" spans="1:9" ht="15" thickBot="1" x14ac:dyDescent="0.2">
      <c r="A6" s="99"/>
      <c r="B6" s="100"/>
      <c r="C6" s="100"/>
      <c r="D6" s="100"/>
      <c r="E6" s="100"/>
      <c r="F6" s="100"/>
      <c r="G6" s="100"/>
      <c r="H6" s="100"/>
      <c r="I6" s="101"/>
    </row>
    <row r="7" spans="1:9" ht="14" x14ac:dyDescent="0.15">
      <c r="A7" s="94" t="s">
        <v>1</v>
      </c>
      <c r="B7" s="95"/>
      <c r="C7" s="95"/>
      <c r="D7" s="95"/>
      <c r="E7" s="95"/>
      <c r="F7" s="95"/>
      <c r="G7" s="95"/>
      <c r="H7" s="102"/>
      <c r="I7" s="96"/>
    </row>
    <row r="8" spans="1:9" ht="41" customHeight="1" x14ac:dyDescent="0.15">
      <c r="A8" s="151" t="s">
        <v>94</v>
      </c>
      <c r="B8" s="152" t="s">
        <v>61</v>
      </c>
      <c r="C8" s="153" t="s">
        <v>55</v>
      </c>
      <c r="D8" s="153" t="s">
        <v>2</v>
      </c>
      <c r="E8" s="154" t="s">
        <v>3</v>
      </c>
      <c r="F8" s="154" t="s">
        <v>4</v>
      </c>
      <c r="G8" s="154" t="s">
        <v>216</v>
      </c>
      <c r="H8" s="155" t="s">
        <v>5</v>
      </c>
      <c r="I8" s="156" t="s">
        <v>6</v>
      </c>
    </row>
    <row r="9" spans="1:9" x14ac:dyDescent="0.15">
      <c r="A9" s="104" t="str">
        <f>'Tariffs 2019'!F2</f>
        <v>AGL</v>
      </c>
      <c r="B9" s="105">
        <f>'Tariffs 2019'!E2</f>
        <v>42187</v>
      </c>
      <c r="C9" s="106">
        <f>91*'Tariffs 2019'!H2/100</f>
        <v>104.54245454545455</v>
      </c>
      <c r="D9" s="106">
        <f>C5*'Tariffs 2019'!O2/100</f>
        <v>98.409090909090907</v>
      </c>
      <c r="E9" s="106">
        <v>0</v>
      </c>
      <c r="F9" s="106">
        <v>0</v>
      </c>
      <c r="G9" s="106">
        <f>SUM(C9:F9)</f>
        <v>202.95154545454545</v>
      </c>
      <c r="H9" s="107">
        <f>G9*4</f>
        <v>811.80618181818181</v>
      </c>
      <c r="I9" s="108">
        <f>H9*1.1</f>
        <v>892.98680000000002</v>
      </c>
    </row>
    <row r="10" spans="1:9" ht="14" thickBot="1" x14ac:dyDescent="0.2">
      <c r="A10" s="109" t="str">
        <f>'Tariffs 2019'!F3</f>
        <v>Origin Energy</v>
      </c>
      <c r="B10" s="110">
        <f>'Tariffs 2019'!E3</f>
        <v>42192</v>
      </c>
      <c r="C10" s="111">
        <f>91*'Tariffs 2019'!H3/100</f>
        <v>98.577818181818159</v>
      </c>
      <c r="D10" s="111">
        <f>IF($C$5&gt;='Tariffs 2019'!J3,('Tariffs 2019'!J3*'Tariffs 2019'!O3/100),($C$5*'Tariffs 2019'!O3/100))</f>
        <v>73.037454545454537</v>
      </c>
      <c r="E10" s="111">
        <v>0</v>
      </c>
      <c r="F10" s="111">
        <f>IF(($C$5&lt;'Tariffs 2019'!J3),(0),($C$5-'Tariffs 2019'!J3)*'Tariffs 2019'!P3/100)</f>
        <v>5.1798000000000002</v>
      </c>
      <c r="G10" s="111">
        <f>SUM(C10:F10)</f>
        <v>176.7950727272727</v>
      </c>
      <c r="H10" s="112">
        <f>G10*4</f>
        <v>707.18029090909079</v>
      </c>
      <c r="I10" s="113">
        <f>H10*1.1</f>
        <v>777.8983199999999</v>
      </c>
    </row>
    <row r="12" spans="1:9" ht="14" thickBot="1" x14ac:dyDescent="0.2"/>
    <row r="13" spans="1:9" ht="14" x14ac:dyDescent="0.15">
      <c r="A13" s="94" t="s">
        <v>8</v>
      </c>
      <c r="B13" s="95"/>
      <c r="C13" s="95"/>
      <c r="D13" s="95"/>
      <c r="E13" s="95"/>
      <c r="F13" s="95"/>
      <c r="G13" s="95"/>
      <c r="H13" s="102"/>
      <c r="I13" s="96"/>
    </row>
    <row r="14" spans="1:9" ht="30" x14ac:dyDescent="0.15">
      <c r="A14" s="151" t="s">
        <v>94</v>
      </c>
      <c r="B14" s="152" t="s">
        <v>61</v>
      </c>
      <c r="C14" s="153" t="s">
        <v>55</v>
      </c>
      <c r="D14" s="153" t="s">
        <v>2</v>
      </c>
      <c r="E14" s="154" t="s">
        <v>3</v>
      </c>
      <c r="F14" s="154" t="s">
        <v>4</v>
      </c>
      <c r="G14" s="154" t="s">
        <v>216</v>
      </c>
      <c r="H14" s="155" t="s">
        <v>5</v>
      </c>
      <c r="I14" s="156" t="s">
        <v>6</v>
      </c>
    </row>
    <row r="15" spans="1:9" x14ac:dyDescent="0.15">
      <c r="A15" s="104" t="str">
        <f>'Tariffs 2019'!F4</f>
        <v>AGL</v>
      </c>
      <c r="B15" s="105">
        <f>'Tariffs 2019'!E4</f>
        <v>42187</v>
      </c>
      <c r="C15" s="106">
        <f>91*'Tariffs 2019'!H4/100</f>
        <v>65.933636363636367</v>
      </c>
      <c r="D15" s="106">
        <f>C5*'Tariffs 2019'!O4/100</f>
        <v>121.59090909090908</v>
      </c>
      <c r="E15" s="106">
        <f>IF($C$5&lt;'Tariffs 2019'!J4,0,IF(($C$5-'Tariffs 2019'!J4)&lt;='Tariffs 2019'!K4,(($C$5-'Tariffs 2019'!J4)*'Tariffs 2019'!P4/100),(('Tariffs 2019'!K4-'Tariffs 2019'!J4)*'Tariffs 2019'!P4/100)))</f>
        <v>0</v>
      </c>
      <c r="F15" s="106">
        <f>IF(($C$5&lt;'Tariffs 2019'!K4),(0),($C$5-'Tariffs 2019'!K4)*'Tariffs 2019'!Q4/100)</f>
        <v>0</v>
      </c>
      <c r="G15" s="106">
        <f>SUM(C15:F15)</f>
        <v>187.52454545454543</v>
      </c>
      <c r="H15" s="107">
        <f>G15*4</f>
        <v>750.09818181818173</v>
      </c>
      <c r="I15" s="108">
        <f>H15*1.1</f>
        <v>825.10799999999995</v>
      </c>
    </row>
    <row r="16" spans="1:9" ht="14" thickBot="1" x14ac:dyDescent="0.2">
      <c r="A16" s="109" t="str">
        <f>'Tariffs 2019'!F5</f>
        <v>Origin Energy</v>
      </c>
      <c r="B16" s="110">
        <f>'Tariffs 2019'!E5</f>
        <v>42192</v>
      </c>
      <c r="C16" s="111">
        <f>91*'Tariffs 2019'!H5/100</f>
        <v>64.13845454545455</v>
      </c>
      <c r="D16" s="111">
        <f>IF($C$5&gt;='Tariffs 2019'!J5,('Tariffs 2019'!J5*'Tariffs 2019'!O5/100),($C$5*'Tariffs 2019'!O5/100))</f>
        <v>41.708181818181821</v>
      </c>
      <c r="E16" s="111">
        <f>IF($C$5&lt;'Tariffs 2019'!J5,0,IF(($C$5-'Tariffs 2019'!J5)&lt;='Tariffs 2019'!K5,(($C$5-'Tariffs 2019'!J5)*'Tariffs 2019'!P5/100),(('Tariffs 2019'!K5-'Tariffs 2019'!J5)*'Tariffs 2019'!P5/100)))</f>
        <v>69.362727272727255</v>
      </c>
      <c r="F16" s="111">
        <f>IF(($C$5&lt;'Tariffs 2019'!K5),(0),($C$5-'Tariffs 2019'!K5)*'Tariffs 2019'!Q5/100)</f>
        <v>0.17018181818181818</v>
      </c>
      <c r="G16" s="111">
        <f>SUM(C16:F16)</f>
        <v>175.37954545454545</v>
      </c>
      <c r="H16" s="112">
        <f>G16*4</f>
        <v>701.5181818181818</v>
      </c>
      <c r="I16" s="113">
        <f>H16*1.1</f>
        <v>771.67000000000007</v>
      </c>
    </row>
    <row r="18" spans="1:9" ht="14" thickBot="1" x14ac:dyDescent="0.2"/>
    <row r="19" spans="1:9" ht="14" x14ac:dyDescent="0.15">
      <c r="A19" s="94" t="s">
        <v>59</v>
      </c>
      <c r="B19" s="95"/>
      <c r="C19" s="95"/>
      <c r="D19" s="95"/>
      <c r="E19" s="95"/>
      <c r="F19" s="95"/>
      <c r="G19" s="95"/>
      <c r="H19" s="102"/>
      <c r="I19" s="96"/>
    </row>
    <row r="20" spans="1:9" ht="30" x14ac:dyDescent="0.15">
      <c r="A20" s="151" t="s">
        <v>94</v>
      </c>
      <c r="B20" s="152" t="s">
        <v>61</v>
      </c>
      <c r="C20" s="153" t="s">
        <v>55</v>
      </c>
      <c r="D20" s="153" t="s">
        <v>2</v>
      </c>
      <c r="E20" s="154" t="s">
        <v>3</v>
      </c>
      <c r="F20" s="154" t="s">
        <v>4</v>
      </c>
      <c r="G20" s="154" t="s">
        <v>216</v>
      </c>
      <c r="H20" s="155" t="s">
        <v>5</v>
      </c>
      <c r="I20" s="156" t="s">
        <v>6</v>
      </c>
    </row>
    <row r="21" spans="1:9" ht="14" thickBot="1" x14ac:dyDescent="0.2">
      <c r="A21" s="109" t="str">
        <f>'Tariffs 2019'!F6</f>
        <v>Origin Energy</v>
      </c>
      <c r="B21" s="110">
        <f>'Tariffs 2019'!E6</f>
        <v>42192</v>
      </c>
      <c r="C21" s="111">
        <f>91*'Tariffs 2019'!H6/100</f>
        <v>63.187090909090891</v>
      </c>
      <c r="D21" s="111">
        <f>IF($C$5&gt;='Tariffs 2019'!J6,('Tariffs 2019'!J6*'Tariffs 2019'!O6/100),($C$5*'Tariffs 2019'!O6/100))</f>
        <v>48.150909090909089</v>
      </c>
      <c r="E21" s="111">
        <f>IF($C$5&lt;'Tariffs 2019'!J6,0,IF(($C$5-'Tariffs 2019'!J6)&lt;='Tariffs 2019'!K6,(($C$5-'Tariffs 2019'!J6)*'Tariffs 2019'!P6/100),(('Tariffs 2019'!K6-'Tariffs 2019'!J6)*'Tariffs 2019'!P6/100)))</f>
        <v>75.772800000000004</v>
      </c>
      <c r="F21" s="111">
        <f>IF(($C$5&lt;'Tariffs 2019'!K6),(0),($C$5-'Tariffs 2019'!K6)*'Tariffs 2019'!Q6/100)</f>
        <v>0.1578</v>
      </c>
      <c r="G21" s="111">
        <f>SUM(C21:F21)</f>
        <v>187.26859999999999</v>
      </c>
      <c r="H21" s="112">
        <f>G21*4</f>
        <v>749.07439999999997</v>
      </c>
      <c r="I21" s="113">
        <f>H21*1.1</f>
        <v>823.98184000000003</v>
      </c>
    </row>
    <row r="23" spans="1:9" ht="14" thickBot="1" x14ac:dyDescent="0.2"/>
    <row r="24" spans="1:9" ht="14" x14ac:dyDescent="0.15">
      <c r="A24" s="94" t="s">
        <v>60</v>
      </c>
      <c r="B24" s="95"/>
      <c r="C24" s="95"/>
      <c r="D24" s="95"/>
      <c r="E24" s="95"/>
      <c r="F24" s="95"/>
      <c r="G24" s="95"/>
      <c r="H24" s="102"/>
      <c r="I24" s="96"/>
    </row>
    <row r="25" spans="1:9" ht="30" x14ac:dyDescent="0.15">
      <c r="A25" s="151" t="s">
        <v>94</v>
      </c>
      <c r="B25" s="152" t="s">
        <v>61</v>
      </c>
      <c r="C25" s="153" t="s">
        <v>55</v>
      </c>
      <c r="D25" s="153" t="s">
        <v>2</v>
      </c>
      <c r="E25" s="154" t="s">
        <v>3</v>
      </c>
      <c r="F25" s="154" t="s">
        <v>4</v>
      </c>
      <c r="G25" s="154" t="s">
        <v>216</v>
      </c>
      <c r="H25" s="155" t="s">
        <v>5</v>
      </c>
      <c r="I25" s="156" t="s">
        <v>6</v>
      </c>
    </row>
    <row r="26" spans="1:9" ht="14" thickBot="1" x14ac:dyDescent="0.2">
      <c r="A26" s="109" t="str">
        <f>'Tariffs 2019'!F7</f>
        <v>Origin Energy</v>
      </c>
      <c r="B26" s="110">
        <f>'Tariffs 2019'!E7</f>
        <v>42192</v>
      </c>
      <c r="C26" s="114">
        <f>91*'Tariffs 2019'!H7/100</f>
        <v>24.925727272727269</v>
      </c>
      <c r="D26" s="114">
        <f>IF($C$5&gt;='Tariffs 2019'!J7,('Tariffs 2019'!J7*'Tariffs 2019'!O7/100),($C$5*'Tariffs 2019'!O7/100))</f>
        <v>86.36363636363636</v>
      </c>
      <c r="E26" s="114">
        <v>0</v>
      </c>
      <c r="F26" s="114">
        <f>IF(($C$5&lt;'Tariffs 2019'!J7),(0),($C$5-'Tariffs 2019'!J7)*'Tariffs 2019'!P7/100)</f>
        <v>0</v>
      </c>
      <c r="G26" s="111">
        <f>SUM(C26:F26)</f>
        <v>111.28936363636363</v>
      </c>
      <c r="H26" s="112">
        <f>G26*4</f>
        <v>445.15745454545453</v>
      </c>
      <c r="I26" s="113">
        <f>H26*1.1</f>
        <v>489.67320000000001</v>
      </c>
    </row>
  </sheetData>
  <sheetProtection algorithmName="SHA-512" hashValue="q9eLyhkH5gRsyaRef94g8WI9R9UmmX6hdEnEJ1wBB/wNGFlMfLvLPsiMEi3aBXGROwJWkPPOTO5b2Qw6AOrNdA==" saltValue="FzaqrY8Lr/X4kmFxUV3s9g==" spinCount="100000" sheet="1" objects="1" scenarios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574BD-83A6-B348-81E0-006B01C920DB}">
  <sheetPr codeName="Sheet4"/>
  <dimension ref="A1:I26"/>
  <sheetViews>
    <sheetView zoomScale="110" zoomScaleNormal="110" workbookViewId="0">
      <selection activeCell="C5" sqref="C5"/>
    </sheetView>
  </sheetViews>
  <sheetFormatPr baseColWidth="10" defaultRowHeight="13" x14ac:dyDescent="0.15"/>
  <cols>
    <col min="1" max="1" width="16.1640625" style="120" customWidth="1"/>
    <col min="2" max="2" width="15.33203125" style="120" customWidth="1"/>
    <col min="3" max="7" width="12.1640625" style="120" customWidth="1"/>
    <col min="8" max="8" width="10.6640625" style="120" customWidth="1"/>
    <col min="9" max="16384" width="10.83203125" style="120"/>
  </cols>
  <sheetData>
    <row r="1" spans="1:9" ht="14" x14ac:dyDescent="0.15">
      <c r="A1" s="119" t="s">
        <v>7</v>
      </c>
      <c r="B1" s="119"/>
      <c r="C1" s="119"/>
      <c r="D1" s="119"/>
      <c r="E1" s="119"/>
      <c r="F1" s="119"/>
      <c r="G1" s="119"/>
      <c r="H1" s="119"/>
      <c r="I1" s="119"/>
    </row>
    <row r="2" spans="1:9" ht="14" x14ac:dyDescent="0.15">
      <c r="A2" s="121" t="s">
        <v>0</v>
      </c>
      <c r="B2" s="119"/>
      <c r="C2" s="119"/>
      <c r="D2" s="119"/>
      <c r="E2" s="119"/>
      <c r="F2" s="119"/>
      <c r="G2" s="119"/>
      <c r="H2" s="119"/>
      <c r="I2" s="119"/>
    </row>
    <row r="3" spans="1:9" ht="15" thickBot="1" x14ac:dyDescent="0.2">
      <c r="A3" s="119"/>
      <c r="B3" s="119"/>
      <c r="C3" s="119"/>
      <c r="D3" s="119"/>
      <c r="E3" s="119"/>
      <c r="F3" s="119"/>
      <c r="G3" s="119"/>
      <c r="H3" s="119"/>
      <c r="I3" s="119"/>
    </row>
    <row r="4" spans="1:9" ht="14" x14ac:dyDescent="0.15">
      <c r="A4" s="94"/>
      <c r="B4" s="95"/>
      <c r="C4" s="95"/>
      <c r="D4" s="95"/>
      <c r="E4" s="95"/>
      <c r="F4" s="95"/>
      <c r="G4" s="95"/>
      <c r="H4" s="95"/>
      <c r="I4" s="96"/>
    </row>
    <row r="5" spans="1:9" ht="14" x14ac:dyDescent="0.15">
      <c r="A5" s="97" t="s">
        <v>183</v>
      </c>
      <c r="B5" s="57"/>
      <c r="C5" s="115">
        <v>2500</v>
      </c>
      <c r="D5" s="57"/>
      <c r="E5" s="57"/>
      <c r="F5" s="57"/>
      <c r="G5" s="57"/>
      <c r="H5" s="57"/>
      <c r="I5" s="98"/>
    </row>
    <row r="6" spans="1:9" ht="15" thickBot="1" x14ac:dyDescent="0.2">
      <c r="A6" s="99"/>
      <c r="B6" s="100"/>
      <c r="C6" s="100"/>
      <c r="D6" s="100"/>
      <c r="E6" s="100"/>
      <c r="F6" s="100"/>
      <c r="G6" s="100"/>
      <c r="H6" s="100"/>
      <c r="I6" s="101"/>
    </row>
    <row r="7" spans="1:9" ht="14" x14ac:dyDescent="0.15">
      <c r="A7" s="94" t="s">
        <v>1</v>
      </c>
      <c r="B7" s="95"/>
      <c r="C7" s="95"/>
      <c r="D7" s="95"/>
      <c r="E7" s="95"/>
      <c r="F7" s="95"/>
      <c r="G7" s="95"/>
      <c r="H7" s="102"/>
      <c r="I7" s="103"/>
    </row>
    <row r="8" spans="1:9" ht="41" customHeight="1" x14ac:dyDescent="0.15">
      <c r="A8" s="151" t="s">
        <v>94</v>
      </c>
      <c r="B8" s="152" t="s">
        <v>61</v>
      </c>
      <c r="C8" s="153" t="s">
        <v>55</v>
      </c>
      <c r="D8" s="153" t="s">
        <v>2</v>
      </c>
      <c r="E8" s="154" t="s">
        <v>3</v>
      </c>
      <c r="F8" s="154" t="s">
        <v>4</v>
      </c>
      <c r="G8" s="154" t="s">
        <v>216</v>
      </c>
      <c r="H8" s="155" t="s">
        <v>5</v>
      </c>
      <c r="I8" s="156" t="s">
        <v>6</v>
      </c>
    </row>
    <row r="9" spans="1:9" x14ac:dyDescent="0.15">
      <c r="A9" s="104" t="str">
        <f>'Tariffs 2018'!F2</f>
        <v>AGL</v>
      </c>
      <c r="B9" s="105">
        <f>'Tariffs 2018'!E2</f>
        <v>41822</v>
      </c>
      <c r="C9" s="106">
        <f>91*'Tariffs 2018'!H2/100</f>
        <v>101.01</v>
      </c>
      <c r="D9" s="106">
        <f>C5*'Tariffs 2018'!O2/100</f>
        <v>95</v>
      </c>
      <c r="E9" s="106">
        <v>0</v>
      </c>
      <c r="F9" s="106">
        <v>0</v>
      </c>
      <c r="G9" s="106">
        <f>SUM(C9:F9)</f>
        <v>196.01</v>
      </c>
      <c r="H9" s="107">
        <f>G9*4</f>
        <v>784.04</v>
      </c>
      <c r="I9" s="108">
        <f>H9*1.1</f>
        <v>862.44400000000007</v>
      </c>
    </row>
    <row r="10" spans="1:9" ht="14" thickBot="1" x14ac:dyDescent="0.2">
      <c r="A10" s="109" t="str">
        <f>'Tariffs 2018'!F3</f>
        <v>Origin Energy</v>
      </c>
      <c r="B10" s="110">
        <f>'Tariffs 2018'!E3</f>
        <v>41820</v>
      </c>
      <c r="C10" s="111">
        <f>91*'Tariffs 2018'!H3/100</f>
        <v>98.580300000000008</v>
      </c>
      <c r="D10" s="111">
        <f>IF($C$5&gt;='Tariffs 2018'!J3,('Tariffs 2018'!J3*'Tariffs 2018'!O3/100),($C$5*'Tariffs 2018'!O3/100))</f>
        <v>71.679119999999998</v>
      </c>
      <c r="E10" s="111">
        <v>0</v>
      </c>
      <c r="F10" s="111">
        <f>IF(($C$5&lt;'Tariffs 2018'!J3),(0),($C$5-'Tariffs 2018'!J3)*'Tariffs 2018'!P3/100)</f>
        <v>4.8865200000000009</v>
      </c>
      <c r="G10" s="111">
        <f>SUM(C10:F10)</f>
        <v>175.14594</v>
      </c>
      <c r="H10" s="112">
        <f>G10*4</f>
        <v>700.58375999999998</v>
      </c>
      <c r="I10" s="113">
        <f>H10*1.1</f>
        <v>770.64213600000005</v>
      </c>
    </row>
    <row r="12" spans="1:9" ht="14" thickBot="1" x14ac:dyDescent="0.2"/>
    <row r="13" spans="1:9" ht="14" x14ac:dyDescent="0.15">
      <c r="A13" s="94" t="s">
        <v>8</v>
      </c>
      <c r="B13" s="95"/>
      <c r="C13" s="95"/>
      <c r="D13" s="95"/>
      <c r="E13" s="95"/>
      <c r="F13" s="95"/>
      <c r="G13" s="95"/>
      <c r="H13" s="102"/>
      <c r="I13" s="103"/>
    </row>
    <row r="14" spans="1:9" ht="30" x14ac:dyDescent="0.15">
      <c r="A14" s="151" t="s">
        <v>94</v>
      </c>
      <c r="B14" s="152" t="s">
        <v>61</v>
      </c>
      <c r="C14" s="153" t="s">
        <v>55</v>
      </c>
      <c r="D14" s="153" t="s">
        <v>2</v>
      </c>
      <c r="E14" s="154" t="s">
        <v>3</v>
      </c>
      <c r="F14" s="154" t="s">
        <v>4</v>
      </c>
      <c r="G14" s="154" t="s">
        <v>216</v>
      </c>
      <c r="H14" s="155" t="s">
        <v>5</v>
      </c>
      <c r="I14" s="156" t="s">
        <v>6</v>
      </c>
    </row>
    <row r="15" spans="1:9" x14ac:dyDescent="0.15">
      <c r="A15" s="104" t="str">
        <f>'Tariffs 2018'!F4</f>
        <v>AGL</v>
      </c>
      <c r="B15" s="105">
        <f>'Tariffs 2018'!E4</f>
        <v>41822</v>
      </c>
      <c r="C15" s="106">
        <f>91*'Tariffs 2018'!H4/100</f>
        <v>63.7</v>
      </c>
      <c r="D15" s="106">
        <f>C5*'Tariffs 2018'!O4/100</f>
        <v>117.5</v>
      </c>
      <c r="E15" s="106">
        <f>IF($C$5&lt;'Tariffs 2018'!J4,0,IF(($C$5-'Tariffs 2018'!J4)&lt;='Tariffs 2018'!K4,(($C$5-'Tariffs 2018'!J4)*'Tariffs 2018'!P4/100),(('Tariffs 2018'!K4-'Tariffs 2018'!J4)*'Tariffs 2018'!P4/100)))</f>
        <v>0</v>
      </c>
      <c r="F15" s="106">
        <f>IF(($C$5&lt;'Tariffs 2018'!K4),(0),($C$5-'Tariffs 2018'!K4)*'Tariffs 2018'!Q4/100)</f>
        <v>0</v>
      </c>
      <c r="G15" s="106">
        <f>SUM(C15:F15)</f>
        <v>181.2</v>
      </c>
      <c r="H15" s="107">
        <f>G15*4</f>
        <v>724.8</v>
      </c>
      <c r="I15" s="108">
        <f>H15*1.1</f>
        <v>797.28</v>
      </c>
    </row>
    <row r="16" spans="1:9" ht="14" thickBot="1" x14ac:dyDescent="0.2">
      <c r="A16" s="109" t="str">
        <f>'Tariffs 2018'!F5</f>
        <v>Origin Energy</v>
      </c>
      <c r="B16" s="110">
        <f>'Tariffs 2018'!E5</f>
        <v>41820</v>
      </c>
      <c r="C16" s="111">
        <f>91*'Tariffs 2018'!H5/100</f>
        <v>63.545299999999997</v>
      </c>
      <c r="D16" s="111">
        <f>IF($C$5&gt;='Tariffs 2018'!J5,('Tariffs 2018'!J5*'Tariffs 2018'!O5/100),($C$5*'Tariffs 2018'!O5/100))</f>
        <v>40.649539999999995</v>
      </c>
      <c r="E16" s="111">
        <f>IF($C$5&lt;'Tariffs 2018'!J5,0,IF(($C$5-'Tariffs 2018'!J5)&lt;='Tariffs 2018'!K5,(($C$5-'Tariffs 2018'!J5)*'Tariffs 2018'!P5/100),(('Tariffs 2018'!K5-'Tariffs 2018'!J5)*'Tariffs 2018'!P5/100)))</f>
        <v>67.406220000000005</v>
      </c>
      <c r="F16" s="111">
        <f>IF(($C$5&lt;'Tariffs 2018'!K5),(0),($C$5-'Tariffs 2018'!K5)*'Tariffs 2018'!Q5/100)</f>
        <v>0.16506000000000001</v>
      </c>
      <c r="G16" s="111">
        <f>SUM(C16:F16)</f>
        <v>171.76612000000003</v>
      </c>
      <c r="H16" s="112">
        <f>G16*4</f>
        <v>687.06448000000012</v>
      </c>
      <c r="I16" s="113">
        <f>H16*1.1</f>
        <v>755.77092800000014</v>
      </c>
    </row>
    <row r="18" spans="1:9" ht="14" thickBot="1" x14ac:dyDescent="0.2"/>
    <row r="19" spans="1:9" ht="14" x14ac:dyDescent="0.15">
      <c r="A19" s="94" t="s">
        <v>59</v>
      </c>
      <c r="B19" s="95"/>
      <c r="C19" s="95"/>
      <c r="D19" s="95"/>
      <c r="E19" s="95"/>
      <c r="F19" s="95"/>
      <c r="G19" s="95"/>
      <c r="H19" s="102"/>
      <c r="I19" s="103"/>
    </row>
    <row r="20" spans="1:9" ht="30" x14ac:dyDescent="0.15">
      <c r="A20" s="151" t="s">
        <v>94</v>
      </c>
      <c r="B20" s="152" t="s">
        <v>61</v>
      </c>
      <c r="C20" s="153" t="s">
        <v>55</v>
      </c>
      <c r="D20" s="153" t="s">
        <v>2</v>
      </c>
      <c r="E20" s="154" t="s">
        <v>3</v>
      </c>
      <c r="F20" s="154" t="s">
        <v>4</v>
      </c>
      <c r="G20" s="154" t="s">
        <v>216</v>
      </c>
      <c r="H20" s="155" t="s">
        <v>5</v>
      </c>
      <c r="I20" s="156" t="s">
        <v>6</v>
      </c>
    </row>
    <row r="21" spans="1:9" ht="14" thickBot="1" x14ac:dyDescent="0.2">
      <c r="A21" s="109" t="str">
        <f>'Tariffs 2018'!F6</f>
        <v>Origin Energy</v>
      </c>
      <c r="B21" s="110">
        <f>'Tariffs 2018'!E6</f>
        <v>41820</v>
      </c>
      <c r="C21" s="111">
        <f>91*'Tariffs 2018'!H6/100</f>
        <v>62.608000000000004</v>
      </c>
      <c r="D21" s="111">
        <f>IF($C$5&gt;='Tariffs 2018'!J6,('Tariffs 2018'!J6*'Tariffs 2018'!O6/100),($C$5*'Tariffs 2018'!O6/100))</f>
        <v>47.072599999999994</v>
      </c>
      <c r="E21" s="111">
        <f>IF($C$5&lt;'Tariffs 2018'!J6,0,IF(($C$5-'Tariffs 2018'!J6)&lt;='Tariffs 2018'!K6,(($C$5-'Tariffs 2018'!J6)*'Tariffs 2018'!P6/100),(('Tariffs 2018'!K6-'Tariffs 2018'!J6)*'Tariffs 2018'!P6/100)))</f>
        <v>73.790779999999998</v>
      </c>
      <c r="F21" s="111">
        <f>IF(($C$5&lt;'Tariffs 2018'!K6),(0),($C$5-'Tariffs 2018'!K6)*'Tariffs 2018'!Q6/100)</f>
        <v>0.15251999999999999</v>
      </c>
      <c r="G21" s="111">
        <f>SUM(C21:F21)</f>
        <v>183.62390000000002</v>
      </c>
      <c r="H21" s="112">
        <f>G21*4</f>
        <v>734.49560000000008</v>
      </c>
      <c r="I21" s="113">
        <f>H21*1.1</f>
        <v>807.9451600000001</v>
      </c>
    </row>
    <row r="23" spans="1:9" ht="14" thickBot="1" x14ac:dyDescent="0.2"/>
    <row r="24" spans="1:9" ht="14" x14ac:dyDescent="0.15">
      <c r="A24" s="94" t="s">
        <v>60</v>
      </c>
      <c r="B24" s="95"/>
      <c r="C24" s="95"/>
      <c r="D24" s="95"/>
      <c r="E24" s="95"/>
      <c r="F24" s="95"/>
      <c r="G24" s="95"/>
      <c r="H24" s="102"/>
      <c r="I24" s="103"/>
    </row>
    <row r="25" spans="1:9" ht="30" x14ac:dyDescent="0.15">
      <c r="A25" s="151" t="s">
        <v>94</v>
      </c>
      <c r="B25" s="152" t="s">
        <v>61</v>
      </c>
      <c r="C25" s="153" t="s">
        <v>55</v>
      </c>
      <c r="D25" s="153" t="s">
        <v>2</v>
      </c>
      <c r="E25" s="154" t="s">
        <v>3</v>
      </c>
      <c r="F25" s="154" t="s">
        <v>4</v>
      </c>
      <c r="G25" s="154" t="s">
        <v>216</v>
      </c>
      <c r="H25" s="155" t="s">
        <v>5</v>
      </c>
      <c r="I25" s="156" t="s">
        <v>6</v>
      </c>
    </row>
    <row r="26" spans="1:9" ht="14" thickBot="1" x14ac:dyDescent="0.2">
      <c r="A26" s="109" t="str">
        <f>'Tariffs 2018'!F7</f>
        <v>Origin Energy</v>
      </c>
      <c r="B26" s="110">
        <f>'Tariffs 2018'!E7</f>
        <v>41820</v>
      </c>
      <c r="C26" s="114">
        <f>91*'Tariffs 2018'!H7/100</f>
        <v>24.924900000000001</v>
      </c>
      <c r="D26" s="114">
        <f>IF($C$5&gt;='Tariffs 2018'!J7,('Tariffs 2018'!J7*'Tariffs 2018'!O7/100),($C$5*'Tariffs 2018'!O7/100))</f>
        <v>84.224999999999994</v>
      </c>
      <c r="E26" s="114">
        <v>0</v>
      </c>
      <c r="F26" s="114">
        <f>IF(($C$5&lt;'Tariffs 2018'!J7),(0),($C$5-'Tariffs 2018'!J7)*'Tariffs 2018'!P7/100)</f>
        <v>0</v>
      </c>
      <c r="G26" s="111">
        <f>SUM(C26:F26)</f>
        <v>109.1499</v>
      </c>
      <c r="H26" s="112">
        <f>G26*4</f>
        <v>436.59960000000001</v>
      </c>
      <c r="I26" s="113">
        <f>H26*1.1</f>
        <v>480.25956000000002</v>
      </c>
    </row>
  </sheetData>
  <sheetProtection algorithmName="SHA-512" hashValue="TMgB57XyGXCwQQlOB9Duu3Zxz7lWfosWKHrEvMojgXgyfFjGeXLvh3GfSQcOnO32rR+PZW9yOoP5UDUp2HxHgA==" saltValue="axztV7IMHLx7r/tSQcwMyg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I296"/>
  <sheetViews>
    <sheetView zoomScale="110" zoomScaleNormal="110" workbookViewId="0">
      <selection activeCell="H39" sqref="H39"/>
    </sheetView>
  </sheetViews>
  <sheetFormatPr baseColWidth="10" defaultRowHeight="13" x14ac:dyDescent="0.15"/>
  <cols>
    <col min="1" max="1" width="17.5" style="25" customWidth="1"/>
    <col min="2" max="2" width="12.83203125" style="25" customWidth="1"/>
    <col min="3" max="7" width="12.1640625" style="25" customWidth="1"/>
    <col min="8" max="8" width="10.6640625" style="25" customWidth="1"/>
    <col min="9" max="9" width="10.83203125" style="25"/>
    <col min="10" max="16384" width="10.83203125" style="92"/>
  </cols>
  <sheetData>
    <row r="1" spans="1:9" ht="14" x14ac:dyDescent="0.15">
      <c r="A1" s="91" t="s">
        <v>7</v>
      </c>
      <c r="B1" s="91"/>
      <c r="C1" s="91"/>
      <c r="D1" s="91"/>
      <c r="E1" s="91"/>
      <c r="F1" s="91"/>
      <c r="G1" s="91"/>
      <c r="H1" s="91"/>
      <c r="I1" s="91"/>
    </row>
    <row r="2" spans="1:9" ht="14" x14ac:dyDescent="0.15">
      <c r="A2" s="93" t="s">
        <v>0</v>
      </c>
      <c r="B2" s="91"/>
      <c r="C2" s="91"/>
      <c r="D2" s="91"/>
      <c r="E2" s="91"/>
      <c r="F2" s="91"/>
      <c r="G2" s="91"/>
      <c r="H2" s="91"/>
      <c r="I2" s="91"/>
    </row>
    <row r="3" spans="1:9" ht="15" thickBot="1" x14ac:dyDescent="0.2">
      <c r="A3" s="91"/>
      <c r="B3" s="91"/>
      <c r="C3" s="91"/>
      <c r="D3" s="91"/>
      <c r="E3" s="91"/>
      <c r="F3" s="91"/>
      <c r="G3" s="91"/>
      <c r="H3" s="91"/>
      <c r="I3" s="91"/>
    </row>
    <row r="4" spans="1:9" ht="14" x14ac:dyDescent="0.15">
      <c r="A4" s="94"/>
      <c r="B4" s="95"/>
      <c r="C4" s="95"/>
      <c r="D4" s="95"/>
      <c r="E4" s="95"/>
      <c r="F4" s="95"/>
      <c r="G4" s="95"/>
      <c r="H4" s="95"/>
      <c r="I4" s="96"/>
    </row>
    <row r="5" spans="1:9" ht="14" x14ac:dyDescent="0.15">
      <c r="A5" s="97" t="s">
        <v>183</v>
      </c>
      <c r="B5" s="57"/>
      <c r="C5" s="115">
        <v>2500</v>
      </c>
      <c r="D5" s="57"/>
      <c r="E5" s="57"/>
      <c r="F5" s="57"/>
      <c r="G5" s="57"/>
      <c r="H5" s="57"/>
      <c r="I5" s="98"/>
    </row>
    <row r="6" spans="1:9" ht="15" thickBot="1" x14ac:dyDescent="0.2">
      <c r="A6" s="99"/>
      <c r="B6" s="100"/>
      <c r="C6" s="100"/>
      <c r="D6" s="100"/>
      <c r="E6" s="100"/>
      <c r="F6" s="100"/>
      <c r="G6" s="100"/>
      <c r="H6" s="100"/>
      <c r="I6" s="101"/>
    </row>
    <row r="7" spans="1:9" ht="14" x14ac:dyDescent="0.15">
      <c r="A7" s="94" t="s">
        <v>1</v>
      </c>
      <c r="B7" s="95"/>
      <c r="C7" s="95"/>
      <c r="D7" s="95"/>
      <c r="E7" s="95"/>
      <c r="F7" s="95"/>
      <c r="G7" s="95"/>
      <c r="H7" s="102"/>
      <c r="I7" s="103"/>
    </row>
    <row r="8" spans="1:9" ht="41" customHeight="1" x14ac:dyDescent="0.15">
      <c r="A8" s="151" t="s">
        <v>94</v>
      </c>
      <c r="B8" s="152" t="s">
        <v>61</v>
      </c>
      <c r="C8" s="153" t="s">
        <v>55</v>
      </c>
      <c r="D8" s="153" t="s">
        <v>2</v>
      </c>
      <c r="E8" s="154" t="s">
        <v>3</v>
      </c>
      <c r="F8" s="154" t="s">
        <v>4</v>
      </c>
      <c r="G8" s="154" t="s">
        <v>216</v>
      </c>
      <c r="H8" s="155" t="s">
        <v>5</v>
      </c>
      <c r="I8" s="156" t="s">
        <v>6</v>
      </c>
    </row>
    <row r="9" spans="1:9" x14ac:dyDescent="0.15">
      <c r="A9" s="104" t="str">
        <f>'Tariffs 2017'!F2</f>
        <v>AGL</v>
      </c>
      <c r="B9" s="105">
        <f>'Tariffs 2017'!E2</f>
        <v>41457</v>
      </c>
      <c r="C9" s="106">
        <f>91*'Tariffs 2017'!H2/100</f>
        <v>101.01</v>
      </c>
      <c r="D9" s="106">
        <f>C5*'Tariffs 2017'!O2/100</f>
        <v>95</v>
      </c>
      <c r="E9" s="106">
        <v>0</v>
      </c>
      <c r="F9" s="106">
        <v>0</v>
      </c>
      <c r="G9" s="106">
        <f>SUM(C9:F9)</f>
        <v>196.01</v>
      </c>
      <c r="H9" s="107">
        <f>G9*4</f>
        <v>784.04</v>
      </c>
      <c r="I9" s="108">
        <f>H9*1.1</f>
        <v>862.44400000000007</v>
      </c>
    </row>
    <row r="10" spans="1:9" ht="14" thickBot="1" x14ac:dyDescent="0.2">
      <c r="A10" s="109" t="str">
        <f>'Tariffs 2017'!F3</f>
        <v>Origin Energy</v>
      </c>
      <c r="B10" s="110">
        <f>'Tariffs 2017'!E3</f>
        <v>41455</v>
      </c>
      <c r="C10" s="111">
        <f>91*'Tariffs 2017'!H3/100</f>
        <v>98.580300000000008</v>
      </c>
      <c r="D10" s="111">
        <f>IF($C$5&gt;='Tariffs 2017'!J3,('Tariffs 2017'!J3*'Tariffs 2017'!O3/100),($C$5*'Tariffs 2017'!O3/100))</f>
        <v>71.679119999999998</v>
      </c>
      <c r="E10" s="111">
        <v>0</v>
      </c>
      <c r="F10" s="111">
        <f>IF(($C$5&lt;'Tariffs 2017'!J3),(0),($C$5-'Tariffs 2017'!J3)*'Tariffs 2017'!P3/100)</f>
        <v>4.8865200000000009</v>
      </c>
      <c r="G10" s="111">
        <f>SUM(C10:F10)</f>
        <v>175.14594</v>
      </c>
      <c r="H10" s="112">
        <f>G10*4</f>
        <v>700.58375999999998</v>
      </c>
      <c r="I10" s="113">
        <f>H10*1.1</f>
        <v>770.64213600000005</v>
      </c>
    </row>
    <row r="11" spans="1:9" x14ac:dyDescent="0.15">
      <c r="A11" s="92"/>
      <c r="B11" s="92"/>
      <c r="C11" s="92"/>
      <c r="D11" s="92"/>
      <c r="E11" s="92"/>
      <c r="F11" s="92"/>
      <c r="G11" s="92"/>
      <c r="H11" s="92"/>
      <c r="I11" s="92"/>
    </row>
    <row r="12" spans="1:9" ht="14" thickBot="1" x14ac:dyDescent="0.2">
      <c r="A12" s="92"/>
      <c r="B12" s="92"/>
      <c r="C12" s="92"/>
      <c r="D12" s="92"/>
      <c r="E12" s="92"/>
      <c r="F12" s="92"/>
      <c r="G12" s="92"/>
      <c r="H12" s="92"/>
      <c r="I12" s="92"/>
    </row>
    <row r="13" spans="1:9" ht="14" x14ac:dyDescent="0.15">
      <c r="A13" s="94" t="s">
        <v>8</v>
      </c>
      <c r="B13" s="95"/>
      <c r="C13" s="95"/>
      <c r="D13" s="95"/>
      <c r="E13" s="95"/>
      <c r="F13" s="95"/>
      <c r="G13" s="95"/>
      <c r="H13" s="102"/>
      <c r="I13" s="103"/>
    </row>
    <row r="14" spans="1:9" ht="30" x14ac:dyDescent="0.15">
      <c r="A14" s="151" t="s">
        <v>94</v>
      </c>
      <c r="B14" s="152" t="s">
        <v>61</v>
      </c>
      <c r="C14" s="153" t="s">
        <v>55</v>
      </c>
      <c r="D14" s="153" t="s">
        <v>2</v>
      </c>
      <c r="E14" s="154" t="s">
        <v>3</v>
      </c>
      <c r="F14" s="154" t="s">
        <v>4</v>
      </c>
      <c r="G14" s="154" t="s">
        <v>216</v>
      </c>
      <c r="H14" s="155" t="s">
        <v>5</v>
      </c>
      <c r="I14" s="156" t="s">
        <v>6</v>
      </c>
    </row>
    <row r="15" spans="1:9" x14ac:dyDescent="0.15">
      <c r="A15" s="104" t="str">
        <f>'Tariffs 2017'!F4</f>
        <v>AGL</v>
      </c>
      <c r="B15" s="105">
        <f>'Tariffs 2017'!E4</f>
        <v>41457</v>
      </c>
      <c r="C15" s="106">
        <f>91*'Tariffs 2017'!H4/100</f>
        <v>63.7</v>
      </c>
      <c r="D15" s="106">
        <f>C5*'Tariffs 2017'!O4/100</f>
        <v>117.5</v>
      </c>
      <c r="E15" s="106">
        <f>IF($C$5&lt;'Tariffs 2017'!J4,0,IF(($C$5-'Tariffs 2017'!J4)&lt;='Tariffs 2017'!K4,(($C$5-'Tariffs 2017'!J4)*'Tariffs 2017'!P4/100),(('Tariffs 2017'!K4-'Tariffs 2017'!J4)*'Tariffs 2017'!P4/100)))</f>
        <v>0</v>
      </c>
      <c r="F15" s="106">
        <f>IF(($C$5&lt;'Tariffs 2017'!K4),(0),($C$5-'Tariffs 2017'!K4)*'Tariffs 2017'!Q4/100)</f>
        <v>0</v>
      </c>
      <c r="G15" s="106">
        <f>SUM(C15:F15)</f>
        <v>181.2</v>
      </c>
      <c r="H15" s="107">
        <f>G15*4</f>
        <v>724.8</v>
      </c>
      <c r="I15" s="108">
        <f>H15*1.1</f>
        <v>797.28</v>
      </c>
    </row>
    <row r="16" spans="1:9" ht="14" thickBot="1" x14ac:dyDescent="0.2">
      <c r="A16" s="109" t="str">
        <f>'Tariffs 2017'!F5</f>
        <v>Origin Energy</v>
      </c>
      <c r="B16" s="110">
        <f>'Tariffs 2017'!E5</f>
        <v>41455</v>
      </c>
      <c r="C16" s="111">
        <f>91*'Tariffs 2017'!H5/100</f>
        <v>63.545299999999997</v>
      </c>
      <c r="D16" s="111">
        <f>IF($C$5&gt;='Tariffs 2017'!J5,('Tariffs 2017'!J5*'Tariffs 2017'!O5/100),($C$5*'Tariffs 2017'!O5/100))</f>
        <v>40.758519999999997</v>
      </c>
      <c r="E16" s="111">
        <f>IF($C$5&lt;'Tariffs 2017'!J5,0,IF(($C$5-'Tariffs 2017'!J5)&lt;='Tariffs 2017'!K5,(($C$5-'Tariffs 2017'!J5)*'Tariffs 2017'!P5/100),(('Tariffs 2017'!K5-'Tariffs 2017'!J5)*'Tariffs 2017'!P5/100)))</f>
        <v>67.329359999999994</v>
      </c>
      <c r="F16" s="111">
        <f>IF(($C$5&lt;'Tariffs 2017'!K5),(0),($C$5-'Tariffs 2017'!K5)*'Tariffs 2017'!Q5/100)</f>
        <v>0</v>
      </c>
      <c r="G16" s="111">
        <f>SUM(C16:F16)</f>
        <v>171.63317999999998</v>
      </c>
      <c r="H16" s="112">
        <f>G16*4</f>
        <v>686.53271999999993</v>
      </c>
      <c r="I16" s="113">
        <f>H16*1.1</f>
        <v>755.18599199999994</v>
      </c>
    </row>
    <row r="17" spans="1:9" x14ac:dyDescent="0.15">
      <c r="A17" s="92"/>
      <c r="B17" s="92"/>
      <c r="C17" s="92"/>
      <c r="D17" s="92"/>
      <c r="E17" s="92"/>
      <c r="F17" s="92"/>
      <c r="G17" s="92"/>
      <c r="H17" s="92"/>
      <c r="I17" s="92"/>
    </row>
    <row r="18" spans="1:9" ht="14" thickBot="1" x14ac:dyDescent="0.2">
      <c r="A18" s="92"/>
      <c r="B18" s="92"/>
      <c r="C18" s="92"/>
      <c r="D18" s="92"/>
      <c r="E18" s="92"/>
      <c r="F18" s="92"/>
      <c r="G18" s="92"/>
      <c r="H18" s="92"/>
      <c r="I18" s="92"/>
    </row>
    <row r="19" spans="1:9" ht="14" x14ac:dyDescent="0.15">
      <c r="A19" s="94" t="s">
        <v>59</v>
      </c>
      <c r="B19" s="95"/>
      <c r="C19" s="95"/>
      <c r="D19" s="95"/>
      <c r="E19" s="95"/>
      <c r="F19" s="95"/>
      <c r="G19" s="95"/>
      <c r="H19" s="102"/>
      <c r="I19" s="103"/>
    </row>
    <row r="20" spans="1:9" ht="30" x14ac:dyDescent="0.15">
      <c r="A20" s="151" t="s">
        <v>94</v>
      </c>
      <c r="B20" s="152" t="s">
        <v>61</v>
      </c>
      <c r="C20" s="153" t="s">
        <v>55</v>
      </c>
      <c r="D20" s="153" t="s">
        <v>2</v>
      </c>
      <c r="E20" s="154" t="s">
        <v>3</v>
      </c>
      <c r="F20" s="154" t="s">
        <v>4</v>
      </c>
      <c r="G20" s="154" t="s">
        <v>216</v>
      </c>
      <c r="H20" s="155" t="s">
        <v>5</v>
      </c>
      <c r="I20" s="156" t="s">
        <v>6</v>
      </c>
    </row>
    <row r="21" spans="1:9" ht="14" thickBot="1" x14ac:dyDescent="0.2">
      <c r="A21" s="109" t="str">
        <f>'Tariffs 2017'!F6</f>
        <v>Origin Energy</v>
      </c>
      <c r="B21" s="110">
        <f>'Tariffs 2017'!E6</f>
        <v>41455</v>
      </c>
      <c r="C21" s="111">
        <f>91*'Tariffs 2017'!H6/100</f>
        <v>62.608000000000004</v>
      </c>
      <c r="D21" s="111">
        <f>IF($C$5&gt;='Tariffs 2017'!J6,('Tariffs 2017'!J6*'Tariffs 2017'!O6/100),($C$5*'Tariffs 2017'!O6/100))</f>
        <v>47.198799999999999</v>
      </c>
      <c r="E21" s="111">
        <f>IF($C$5&lt;'Tariffs 2017'!J6,0,IF(($C$5-'Tariffs 2017'!J6)&lt;='Tariffs 2017'!K6,(($C$5-'Tariffs 2017'!J6)*'Tariffs 2017'!P6/100),(('Tariffs 2017'!K6-'Tariffs 2017'!J6)*'Tariffs 2017'!P6/100)))</f>
        <v>73.706639999999993</v>
      </c>
      <c r="F21" s="111">
        <f>IF(($C$5&lt;'Tariffs 2017'!K6),(0),($C$5-'Tariffs 2017'!K6)*'Tariffs 2017'!Q6/100)</f>
        <v>0</v>
      </c>
      <c r="G21" s="111">
        <f>SUM(C21:F21)</f>
        <v>183.51344</v>
      </c>
      <c r="H21" s="112">
        <f>G21*4</f>
        <v>734.05376000000001</v>
      </c>
      <c r="I21" s="113">
        <f>H21*1.1</f>
        <v>807.45913600000006</v>
      </c>
    </row>
    <row r="22" spans="1:9" x14ac:dyDescent="0.15">
      <c r="A22" s="92"/>
      <c r="B22" s="92"/>
      <c r="C22" s="92"/>
      <c r="D22" s="92"/>
      <c r="E22" s="92"/>
      <c r="F22" s="92"/>
      <c r="G22" s="92"/>
      <c r="H22" s="92"/>
      <c r="I22" s="92"/>
    </row>
    <row r="23" spans="1:9" ht="14" thickBot="1" x14ac:dyDescent="0.2">
      <c r="A23" s="92"/>
      <c r="B23" s="92"/>
      <c r="C23" s="92"/>
      <c r="D23" s="92"/>
      <c r="E23" s="92"/>
      <c r="F23" s="92"/>
      <c r="G23" s="92"/>
      <c r="H23" s="92"/>
      <c r="I23" s="92"/>
    </row>
    <row r="24" spans="1:9" ht="14" x14ac:dyDescent="0.15">
      <c r="A24" s="94" t="s">
        <v>60</v>
      </c>
      <c r="B24" s="95"/>
      <c r="C24" s="95"/>
      <c r="D24" s="95"/>
      <c r="E24" s="95"/>
      <c r="F24" s="95"/>
      <c r="G24" s="95"/>
      <c r="H24" s="102"/>
      <c r="I24" s="103"/>
    </row>
    <row r="25" spans="1:9" ht="30" x14ac:dyDescent="0.15">
      <c r="A25" s="151" t="s">
        <v>94</v>
      </c>
      <c r="B25" s="152" t="s">
        <v>61</v>
      </c>
      <c r="C25" s="153" t="s">
        <v>55</v>
      </c>
      <c r="D25" s="153" t="s">
        <v>2</v>
      </c>
      <c r="E25" s="154" t="s">
        <v>3</v>
      </c>
      <c r="F25" s="154" t="s">
        <v>4</v>
      </c>
      <c r="G25" s="154" t="s">
        <v>216</v>
      </c>
      <c r="H25" s="155" t="s">
        <v>5</v>
      </c>
      <c r="I25" s="156" t="s">
        <v>6</v>
      </c>
    </row>
    <row r="26" spans="1:9" ht="14" thickBot="1" x14ac:dyDescent="0.2">
      <c r="A26" s="109" t="str">
        <f>'Tariffs 2017'!F7</f>
        <v>Origin Energy</v>
      </c>
      <c r="B26" s="110">
        <f>'Tariffs 2017'!E7</f>
        <v>41455</v>
      </c>
      <c r="C26" s="114">
        <f>91*'Tariffs 2017'!H7/100</f>
        <v>24.924900000000001</v>
      </c>
      <c r="D26" s="114">
        <f>IF($C$5&gt;='Tariffs 2017'!J7,('Tariffs 2017'!J7*'Tariffs 2017'!O7/100),($C$5*'Tariffs 2017'!O7/100))</f>
        <v>84.224999999999994</v>
      </c>
      <c r="E26" s="114">
        <v>0</v>
      </c>
      <c r="F26" s="114">
        <f>IF(($C$5&lt;'Tariffs 2017'!J7),(0),($C$5-'Tariffs 2017'!J7)*'Tariffs 2017'!P7/100)</f>
        <v>0</v>
      </c>
      <c r="G26" s="111">
        <f>SUM(C26:F26)</f>
        <v>109.1499</v>
      </c>
      <c r="H26" s="112">
        <f>G26*4</f>
        <v>436.59960000000001</v>
      </c>
      <c r="I26" s="113">
        <f>H26*1.1</f>
        <v>480.25956000000002</v>
      </c>
    </row>
    <row r="27" spans="1:9" x14ac:dyDescent="0.15">
      <c r="A27" s="92"/>
      <c r="B27" s="92"/>
      <c r="C27" s="92"/>
      <c r="D27" s="92"/>
      <c r="E27" s="92"/>
      <c r="F27" s="92"/>
      <c r="G27" s="92"/>
      <c r="H27" s="92"/>
      <c r="I27" s="92"/>
    </row>
    <row r="28" spans="1:9" x14ac:dyDescent="0.15">
      <c r="A28" s="92"/>
      <c r="B28" s="92"/>
      <c r="C28" s="92"/>
      <c r="D28" s="92"/>
      <c r="E28" s="92"/>
      <c r="F28" s="92"/>
      <c r="G28" s="92"/>
      <c r="H28" s="92"/>
      <c r="I28" s="92"/>
    </row>
    <row r="29" spans="1:9" x14ac:dyDescent="0.15">
      <c r="A29" s="92"/>
      <c r="B29" s="92"/>
      <c r="C29" s="92"/>
      <c r="D29" s="92"/>
      <c r="E29" s="92"/>
      <c r="F29" s="92"/>
      <c r="G29" s="92"/>
      <c r="H29" s="92"/>
      <c r="I29" s="92"/>
    </row>
    <row r="30" spans="1:9" x14ac:dyDescent="0.15">
      <c r="A30" s="92"/>
      <c r="B30" s="92"/>
      <c r="C30" s="92"/>
      <c r="D30" s="92"/>
      <c r="E30" s="92"/>
      <c r="F30" s="92"/>
      <c r="G30" s="92"/>
      <c r="H30" s="92"/>
      <c r="I30" s="92"/>
    </row>
    <row r="31" spans="1:9" x14ac:dyDescent="0.15">
      <c r="A31" s="92"/>
      <c r="B31" s="92"/>
      <c r="C31" s="92"/>
      <c r="D31" s="92"/>
      <c r="E31" s="92"/>
      <c r="F31" s="92"/>
      <c r="G31" s="92"/>
      <c r="H31" s="92"/>
      <c r="I31" s="92"/>
    </row>
    <row r="32" spans="1:9" x14ac:dyDescent="0.15">
      <c r="A32" s="92"/>
      <c r="B32" s="92"/>
      <c r="C32" s="92"/>
      <c r="D32" s="92"/>
      <c r="E32" s="92"/>
      <c r="F32" s="92"/>
      <c r="G32" s="92"/>
      <c r="H32" s="92"/>
      <c r="I32" s="92"/>
    </row>
    <row r="33" s="92" customFormat="1" x14ac:dyDescent="0.15"/>
    <row r="34" s="92" customFormat="1" x14ac:dyDescent="0.15"/>
    <row r="35" s="92" customFormat="1" x14ac:dyDescent="0.15"/>
    <row r="36" s="92" customFormat="1" x14ac:dyDescent="0.15"/>
    <row r="37" s="92" customFormat="1" x14ac:dyDescent="0.15"/>
    <row r="38" s="92" customFormat="1" x14ac:dyDescent="0.15"/>
    <row r="39" s="92" customFormat="1" x14ac:dyDescent="0.15"/>
    <row r="40" s="92" customFormat="1" x14ac:dyDescent="0.15"/>
    <row r="41" s="92" customFormat="1" x14ac:dyDescent="0.15"/>
    <row r="42" s="92" customFormat="1" x14ac:dyDescent="0.15"/>
    <row r="43" s="92" customFormat="1" x14ac:dyDescent="0.15"/>
    <row r="44" s="92" customFormat="1" x14ac:dyDescent="0.15"/>
    <row r="45" s="92" customFormat="1" x14ac:dyDescent="0.15"/>
    <row r="46" s="92" customFormat="1" x14ac:dyDescent="0.15"/>
    <row r="47" s="92" customFormat="1" x14ac:dyDescent="0.15"/>
    <row r="48" s="92" customFormat="1" x14ac:dyDescent="0.15"/>
    <row r="49" s="92" customFormat="1" x14ac:dyDescent="0.15"/>
    <row r="50" s="92" customFormat="1" x14ac:dyDescent="0.15"/>
    <row r="51" s="92" customFormat="1" x14ac:dyDescent="0.15"/>
    <row r="52" s="92" customFormat="1" x14ac:dyDescent="0.15"/>
    <row r="53" s="92" customFormat="1" x14ac:dyDescent="0.15"/>
    <row r="54" s="92" customFormat="1" x14ac:dyDescent="0.15"/>
    <row r="55" s="92" customFormat="1" x14ac:dyDescent="0.15"/>
    <row r="56" s="92" customFormat="1" x14ac:dyDescent="0.15"/>
    <row r="57" s="92" customFormat="1" x14ac:dyDescent="0.15"/>
    <row r="58" s="92" customFormat="1" x14ac:dyDescent="0.15"/>
    <row r="59" s="92" customFormat="1" x14ac:dyDescent="0.15"/>
    <row r="60" s="92" customFormat="1" x14ac:dyDescent="0.15"/>
    <row r="61" s="92" customFormat="1" x14ac:dyDescent="0.15"/>
    <row r="62" s="92" customFormat="1" x14ac:dyDescent="0.15"/>
    <row r="63" s="92" customFormat="1" x14ac:dyDescent="0.15"/>
    <row r="64" s="92" customFormat="1" x14ac:dyDescent="0.15"/>
    <row r="65" s="92" customFormat="1" x14ac:dyDescent="0.15"/>
    <row r="66" s="92" customFormat="1" x14ac:dyDescent="0.15"/>
    <row r="67" s="92" customFormat="1" x14ac:dyDescent="0.15"/>
    <row r="68" s="92" customFormat="1" x14ac:dyDescent="0.15"/>
    <row r="69" s="92" customFormat="1" x14ac:dyDescent="0.15"/>
    <row r="70" s="92" customFormat="1" x14ac:dyDescent="0.15"/>
    <row r="71" s="92" customFormat="1" x14ac:dyDescent="0.15"/>
    <row r="72" s="92" customFormat="1" x14ac:dyDescent="0.15"/>
    <row r="73" s="92" customFormat="1" x14ac:dyDescent="0.15"/>
    <row r="74" s="92" customFormat="1" x14ac:dyDescent="0.15"/>
    <row r="75" s="92" customFormat="1" x14ac:dyDescent="0.15"/>
    <row r="76" s="92" customFormat="1" x14ac:dyDescent="0.15"/>
    <row r="77" s="92" customFormat="1" x14ac:dyDescent="0.15"/>
    <row r="78" s="92" customFormat="1" x14ac:dyDescent="0.15"/>
    <row r="79" s="92" customFormat="1" x14ac:dyDescent="0.15"/>
    <row r="80" s="92" customFormat="1" x14ac:dyDescent="0.15"/>
    <row r="81" s="92" customFormat="1" x14ac:dyDescent="0.15"/>
    <row r="82" s="92" customFormat="1" x14ac:dyDescent="0.15"/>
    <row r="83" s="92" customFormat="1" x14ac:dyDescent="0.15"/>
    <row r="84" s="92" customFormat="1" x14ac:dyDescent="0.15"/>
    <row r="85" s="92" customFormat="1" x14ac:dyDescent="0.15"/>
    <row r="86" s="92" customFormat="1" x14ac:dyDescent="0.15"/>
    <row r="87" s="92" customFormat="1" x14ac:dyDescent="0.15"/>
    <row r="88" s="92" customFormat="1" x14ac:dyDescent="0.15"/>
    <row r="89" s="92" customFormat="1" x14ac:dyDescent="0.15"/>
    <row r="90" s="92" customFormat="1" x14ac:dyDescent="0.15"/>
    <row r="91" s="92" customFormat="1" x14ac:dyDescent="0.15"/>
    <row r="92" s="92" customFormat="1" x14ac:dyDescent="0.15"/>
    <row r="93" s="92" customFormat="1" x14ac:dyDescent="0.15"/>
    <row r="94" s="92" customFormat="1" x14ac:dyDescent="0.15"/>
    <row r="95" s="92" customFormat="1" x14ac:dyDescent="0.15"/>
    <row r="96" s="92" customFormat="1" x14ac:dyDescent="0.15"/>
    <row r="97" s="92" customFormat="1" x14ac:dyDescent="0.15"/>
    <row r="98" s="92" customFormat="1" x14ac:dyDescent="0.15"/>
    <row r="99" s="92" customFormat="1" x14ac:dyDescent="0.15"/>
    <row r="100" s="92" customFormat="1" x14ac:dyDescent="0.15"/>
    <row r="101" s="92" customFormat="1" x14ac:dyDescent="0.15"/>
    <row r="102" s="92" customFormat="1" x14ac:dyDescent="0.15"/>
    <row r="103" s="92" customFormat="1" x14ac:dyDescent="0.15"/>
    <row r="104" s="92" customFormat="1" x14ac:dyDescent="0.15"/>
    <row r="105" s="92" customFormat="1" x14ac:dyDescent="0.15"/>
    <row r="106" s="92" customFormat="1" x14ac:dyDescent="0.15"/>
    <row r="107" s="92" customFormat="1" x14ac:dyDescent="0.15"/>
    <row r="108" s="92" customFormat="1" x14ac:dyDescent="0.15"/>
    <row r="109" s="92" customFormat="1" x14ac:dyDescent="0.15"/>
    <row r="110" s="92" customFormat="1" x14ac:dyDescent="0.15"/>
    <row r="111" s="92" customFormat="1" x14ac:dyDescent="0.15"/>
    <row r="112" s="92" customFormat="1" x14ac:dyDescent="0.15"/>
    <row r="113" s="92" customFormat="1" x14ac:dyDescent="0.15"/>
    <row r="114" s="92" customFormat="1" x14ac:dyDescent="0.15"/>
    <row r="115" s="92" customFormat="1" x14ac:dyDescent="0.15"/>
    <row r="116" s="92" customFormat="1" x14ac:dyDescent="0.15"/>
    <row r="117" s="92" customFormat="1" x14ac:dyDescent="0.15"/>
    <row r="118" s="92" customFormat="1" x14ac:dyDescent="0.15"/>
    <row r="119" s="92" customFormat="1" x14ac:dyDescent="0.15"/>
    <row r="120" s="92" customFormat="1" x14ac:dyDescent="0.15"/>
    <row r="121" s="92" customFormat="1" x14ac:dyDescent="0.15"/>
    <row r="122" s="92" customFormat="1" x14ac:dyDescent="0.15"/>
    <row r="123" s="92" customFormat="1" x14ac:dyDescent="0.15"/>
    <row r="124" s="92" customFormat="1" x14ac:dyDescent="0.15"/>
    <row r="125" s="92" customFormat="1" x14ac:dyDescent="0.15"/>
    <row r="126" s="92" customFormat="1" x14ac:dyDescent="0.15"/>
    <row r="127" s="92" customFormat="1" x14ac:dyDescent="0.15"/>
    <row r="128" s="92" customFormat="1" x14ac:dyDescent="0.15"/>
    <row r="129" s="92" customFormat="1" x14ac:dyDescent="0.15"/>
    <row r="130" s="92" customFormat="1" x14ac:dyDescent="0.15"/>
    <row r="131" s="92" customFormat="1" x14ac:dyDescent="0.15"/>
    <row r="132" s="92" customFormat="1" x14ac:dyDescent="0.15"/>
    <row r="133" s="92" customFormat="1" x14ac:dyDescent="0.15"/>
    <row r="134" s="92" customFormat="1" x14ac:dyDescent="0.15"/>
    <row r="135" s="92" customFormat="1" x14ac:dyDescent="0.15"/>
    <row r="136" s="92" customFormat="1" x14ac:dyDescent="0.15"/>
    <row r="137" s="92" customFormat="1" x14ac:dyDescent="0.15"/>
    <row r="138" s="92" customFormat="1" x14ac:dyDescent="0.15"/>
    <row r="139" s="92" customFormat="1" x14ac:dyDescent="0.15"/>
    <row r="140" s="92" customFormat="1" x14ac:dyDescent="0.15"/>
    <row r="141" s="92" customFormat="1" x14ac:dyDescent="0.15"/>
    <row r="142" s="92" customFormat="1" x14ac:dyDescent="0.15"/>
    <row r="143" s="92" customFormat="1" x14ac:dyDescent="0.15"/>
    <row r="144" s="92" customFormat="1" x14ac:dyDescent="0.15"/>
    <row r="145" s="92" customFormat="1" x14ac:dyDescent="0.15"/>
    <row r="146" s="92" customFormat="1" x14ac:dyDescent="0.15"/>
    <row r="147" s="92" customFormat="1" x14ac:dyDescent="0.15"/>
    <row r="148" s="92" customFormat="1" x14ac:dyDescent="0.15"/>
    <row r="149" s="92" customFormat="1" x14ac:dyDescent="0.15"/>
    <row r="150" s="92" customFormat="1" x14ac:dyDescent="0.15"/>
    <row r="151" s="92" customFormat="1" x14ac:dyDescent="0.15"/>
    <row r="152" s="92" customFormat="1" x14ac:dyDescent="0.15"/>
    <row r="153" s="92" customFormat="1" x14ac:dyDescent="0.15"/>
    <row r="154" s="92" customFormat="1" x14ac:dyDescent="0.15"/>
    <row r="155" s="92" customFormat="1" x14ac:dyDescent="0.15"/>
    <row r="156" s="92" customFormat="1" x14ac:dyDescent="0.15"/>
    <row r="157" s="92" customFormat="1" x14ac:dyDescent="0.15"/>
    <row r="158" s="92" customFormat="1" x14ac:dyDescent="0.15"/>
    <row r="159" s="92" customFormat="1" x14ac:dyDescent="0.15"/>
    <row r="160" s="92" customFormat="1" x14ac:dyDescent="0.15"/>
    <row r="161" s="92" customFormat="1" x14ac:dyDescent="0.15"/>
    <row r="162" s="92" customFormat="1" x14ac:dyDescent="0.15"/>
    <row r="163" s="92" customFormat="1" x14ac:dyDescent="0.15"/>
    <row r="164" s="92" customFormat="1" x14ac:dyDescent="0.15"/>
    <row r="165" s="92" customFormat="1" x14ac:dyDescent="0.15"/>
    <row r="166" s="92" customFormat="1" x14ac:dyDescent="0.15"/>
    <row r="167" s="92" customFormat="1" x14ac:dyDescent="0.15"/>
    <row r="168" s="92" customFormat="1" x14ac:dyDescent="0.15"/>
    <row r="169" s="92" customFormat="1" x14ac:dyDescent="0.15"/>
    <row r="170" s="92" customFormat="1" x14ac:dyDescent="0.15"/>
    <row r="171" s="92" customFormat="1" x14ac:dyDescent="0.15"/>
    <row r="172" s="92" customFormat="1" x14ac:dyDescent="0.15"/>
    <row r="173" s="92" customFormat="1" x14ac:dyDescent="0.15"/>
    <row r="174" s="92" customFormat="1" x14ac:dyDescent="0.15"/>
    <row r="175" s="92" customFormat="1" x14ac:dyDescent="0.15"/>
    <row r="176" s="92" customFormat="1" x14ac:dyDescent="0.15"/>
    <row r="177" s="92" customFormat="1" x14ac:dyDescent="0.15"/>
    <row r="178" s="92" customFormat="1" x14ac:dyDescent="0.15"/>
    <row r="179" s="92" customFormat="1" x14ac:dyDescent="0.15"/>
    <row r="180" s="92" customFormat="1" x14ac:dyDescent="0.15"/>
    <row r="181" s="92" customFormat="1" x14ac:dyDescent="0.15"/>
    <row r="182" s="92" customFormat="1" x14ac:dyDescent="0.15"/>
    <row r="183" s="92" customFormat="1" x14ac:dyDescent="0.15"/>
    <row r="184" s="92" customFormat="1" x14ac:dyDescent="0.15"/>
    <row r="185" s="92" customFormat="1" x14ac:dyDescent="0.15"/>
    <row r="186" s="92" customFormat="1" x14ac:dyDescent="0.15"/>
    <row r="187" s="92" customFormat="1" x14ac:dyDescent="0.15"/>
    <row r="188" s="92" customFormat="1" x14ac:dyDescent="0.15"/>
    <row r="189" s="92" customFormat="1" x14ac:dyDescent="0.15"/>
    <row r="190" s="92" customFormat="1" x14ac:dyDescent="0.15"/>
    <row r="191" s="92" customFormat="1" x14ac:dyDescent="0.15"/>
    <row r="192" s="92" customFormat="1" x14ac:dyDescent="0.15"/>
    <row r="193" s="92" customFormat="1" x14ac:dyDescent="0.15"/>
    <row r="194" s="92" customFormat="1" x14ac:dyDescent="0.15"/>
    <row r="195" s="92" customFormat="1" x14ac:dyDescent="0.15"/>
    <row r="196" s="92" customFormat="1" x14ac:dyDescent="0.15"/>
    <row r="197" s="92" customFormat="1" x14ac:dyDescent="0.15"/>
    <row r="198" s="92" customFormat="1" x14ac:dyDescent="0.15"/>
    <row r="199" s="92" customFormat="1" x14ac:dyDescent="0.15"/>
    <row r="200" s="92" customFormat="1" x14ac:dyDescent="0.15"/>
    <row r="201" s="92" customFormat="1" x14ac:dyDescent="0.15"/>
    <row r="202" s="92" customFormat="1" x14ac:dyDescent="0.15"/>
    <row r="203" s="92" customFormat="1" x14ac:dyDescent="0.15"/>
    <row r="204" s="92" customFormat="1" x14ac:dyDescent="0.15"/>
    <row r="205" s="92" customFormat="1" x14ac:dyDescent="0.15"/>
    <row r="206" s="92" customFormat="1" x14ac:dyDescent="0.15"/>
    <row r="207" s="92" customFormat="1" x14ac:dyDescent="0.15"/>
    <row r="208" s="92" customFormat="1" x14ac:dyDescent="0.15"/>
    <row r="209" s="92" customFormat="1" x14ac:dyDescent="0.15"/>
    <row r="210" s="92" customFormat="1" x14ac:dyDescent="0.15"/>
    <row r="211" s="92" customFormat="1" x14ac:dyDescent="0.15"/>
    <row r="212" s="92" customFormat="1" x14ac:dyDescent="0.15"/>
    <row r="213" s="92" customFormat="1" x14ac:dyDescent="0.15"/>
    <row r="214" s="92" customFormat="1" x14ac:dyDescent="0.15"/>
    <row r="215" s="92" customFormat="1" x14ac:dyDescent="0.15"/>
    <row r="216" s="92" customFormat="1" x14ac:dyDescent="0.15"/>
    <row r="217" s="92" customFormat="1" x14ac:dyDescent="0.15"/>
    <row r="218" s="92" customFormat="1" x14ac:dyDescent="0.15"/>
    <row r="219" s="92" customFormat="1" x14ac:dyDescent="0.15"/>
    <row r="220" s="92" customFormat="1" x14ac:dyDescent="0.15"/>
    <row r="221" s="92" customFormat="1" x14ac:dyDescent="0.15"/>
    <row r="222" s="92" customFormat="1" x14ac:dyDescent="0.15"/>
    <row r="223" s="92" customFormat="1" x14ac:dyDescent="0.15"/>
    <row r="224" s="92" customFormat="1" x14ac:dyDescent="0.15"/>
    <row r="225" s="92" customFormat="1" x14ac:dyDescent="0.15"/>
    <row r="226" s="92" customFormat="1" x14ac:dyDescent="0.15"/>
    <row r="227" s="92" customFormat="1" x14ac:dyDescent="0.15"/>
    <row r="228" s="92" customFormat="1" x14ac:dyDescent="0.15"/>
    <row r="229" s="92" customFormat="1" x14ac:dyDescent="0.15"/>
    <row r="230" s="92" customFormat="1" x14ac:dyDescent="0.15"/>
    <row r="231" s="92" customFormat="1" x14ac:dyDescent="0.15"/>
    <row r="232" s="92" customFormat="1" x14ac:dyDescent="0.15"/>
    <row r="233" s="92" customFormat="1" x14ac:dyDescent="0.15"/>
    <row r="234" s="92" customFormat="1" x14ac:dyDescent="0.15"/>
    <row r="235" s="92" customFormat="1" x14ac:dyDescent="0.15"/>
    <row r="236" s="92" customFormat="1" x14ac:dyDescent="0.15"/>
    <row r="237" s="92" customFormat="1" x14ac:dyDescent="0.15"/>
    <row r="238" s="92" customFormat="1" x14ac:dyDescent="0.15"/>
    <row r="239" s="92" customFormat="1" x14ac:dyDescent="0.15"/>
    <row r="240" s="92" customFormat="1" x14ac:dyDescent="0.15"/>
    <row r="241" s="92" customFormat="1" x14ac:dyDescent="0.15"/>
    <row r="242" s="92" customFormat="1" x14ac:dyDescent="0.15"/>
    <row r="243" s="92" customFormat="1" x14ac:dyDescent="0.15"/>
    <row r="244" s="92" customFormat="1" x14ac:dyDescent="0.15"/>
    <row r="245" s="92" customFormat="1" x14ac:dyDescent="0.15"/>
    <row r="246" s="92" customFormat="1" x14ac:dyDescent="0.15"/>
    <row r="247" s="92" customFormat="1" x14ac:dyDescent="0.15"/>
    <row r="248" s="92" customFormat="1" x14ac:dyDescent="0.15"/>
    <row r="249" s="92" customFormat="1" x14ac:dyDescent="0.15"/>
    <row r="250" s="92" customFormat="1" x14ac:dyDescent="0.15"/>
    <row r="251" s="92" customFormat="1" x14ac:dyDescent="0.15"/>
    <row r="252" s="92" customFormat="1" x14ac:dyDescent="0.15"/>
    <row r="253" s="92" customFormat="1" x14ac:dyDescent="0.15"/>
    <row r="254" s="92" customFormat="1" x14ac:dyDescent="0.15"/>
    <row r="255" s="92" customFormat="1" x14ac:dyDescent="0.15"/>
    <row r="256" s="92" customFormat="1" x14ac:dyDescent="0.15"/>
    <row r="257" s="92" customFormat="1" x14ac:dyDescent="0.15"/>
    <row r="258" s="92" customFormat="1" x14ac:dyDescent="0.15"/>
    <row r="259" s="92" customFormat="1" x14ac:dyDescent="0.15"/>
    <row r="260" s="92" customFormat="1" x14ac:dyDescent="0.15"/>
    <row r="261" s="92" customFormat="1" x14ac:dyDescent="0.15"/>
    <row r="262" s="92" customFormat="1" x14ac:dyDescent="0.15"/>
    <row r="263" s="92" customFormat="1" x14ac:dyDescent="0.15"/>
    <row r="264" s="92" customFormat="1" x14ac:dyDescent="0.15"/>
    <row r="265" s="92" customFormat="1" x14ac:dyDescent="0.15"/>
    <row r="266" s="92" customFormat="1" x14ac:dyDescent="0.15"/>
    <row r="267" s="92" customFormat="1" x14ac:dyDescent="0.15"/>
    <row r="268" s="92" customFormat="1" x14ac:dyDescent="0.15"/>
    <row r="269" s="92" customFormat="1" x14ac:dyDescent="0.15"/>
    <row r="270" s="92" customFormat="1" x14ac:dyDescent="0.15"/>
    <row r="271" s="92" customFormat="1" x14ac:dyDescent="0.15"/>
    <row r="272" s="92" customFormat="1" x14ac:dyDescent="0.15"/>
    <row r="273" s="92" customFormat="1" x14ac:dyDescent="0.15"/>
    <row r="274" s="92" customFormat="1" x14ac:dyDescent="0.15"/>
    <row r="275" s="92" customFormat="1" x14ac:dyDescent="0.15"/>
    <row r="276" s="92" customFormat="1" x14ac:dyDescent="0.15"/>
    <row r="277" s="92" customFormat="1" x14ac:dyDescent="0.15"/>
    <row r="278" s="92" customFormat="1" x14ac:dyDescent="0.15"/>
    <row r="279" s="92" customFormat="1" x14ac:dyDescent="0.15"/>
    <row r="280" s="92" customFormat="1" x14ac:dyDescent="0.15"/>
    <row r="281" s="92" customFormat="1" x14ac:dyDescent="0.15"/>
    <row r="282" s="92" customFormat="1" x14ac:dyDescent="0.15"/>
    <row r="283" s="92" customFormat="1" x14ac:dyDescent="0.15"/>
    <row r="284" s="92" customFormat="1" x14ac:dyDescent="0.15"/>
    <row r="285" s="92" customFormat="1" x14ac:dyDescent="0.15"/>
    <row r="286" s="92" customFormat="1" x14ac:dyDescent="0.15"/>
    <row r="287" s="92" customFormat="1" x14ac:dyDescent="0.15"/>
    <row r="288" s="92" customFormat="1" x14ac:dyDescent="0.15"/>
    <row r="289" s="92" customFormat="1" x14ac:dyDescent="0.15"/>
    <row r="290" s="92" customFormat="1" x14ac:dyDescent="0.15"/>
    <row r="291" s="92" customFormat="1" x14ac:dyDescent="0.15"/>
    <row r="292" s="92" customFormat="1" x14ac:dyDescent="0.15"/>
    <row r="293" s="92" customFormat="1" x14ac:dyDescent="0.15"/>
    <row r="294" s="92" customFormat="1" x14ac:dyDescent="0.15"/>
    <row r="295" s="92" customFormat="1" x14ac:dyDescent="0.15"/>
    <row r="296" s="92" customFormat="1" x14ac:dyDescent="0.15"/>
  </sheetData>
  <sheetProtection algorithmName="SHA-512" hashValue="CaxyKuKCUghbVNCChpooLo7XreRGgPX0jKWYM5rPMukXLaftJ+XK3Tis4pBt/ZxNvOue2mEVMHPFM+4NjZeTlQ==" saltValue="kXqqHK355B+DrsblMTsKWw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CF191"/>
  <sheetViews>
    <sheetView zoomScale="110" zoomScaleNormal="110" workbookViewId="0">
      <selection activeCell="C5" sqref="C5"/>
    </sheetView>
  </sheetViews>
  <sheetFormatPr baseColWidth="10" defaultRowHeight="13" x14ac:dyDescent="0.15"/>
  <cols>
    <col min="1" max="1" width="16.5" style="25" customWidth="1"/>
    <col min="2" max="2" width="14.1640625" style="25" customWidth="1"/>
    <col min="3" max="7" width="12.1640625" style="25" customWidth="1"/>
    <col min="8" max="8" width="10.6640625" style="25" customWidth="1"/>
    <col min="9" max="16384" width="10.83203125" style="25"/>
  </cols>
  <sheetData>
    <row r="1" spans="1:84" ht="14" x14ac:dyDescent="0.15">
      <c r="A1" s="116" t="s">
        <v>7</v>
      </c>
      <c r="B1" s="116"/>
      <c r="C1" s="116"/>
      <c r="D1" s="116"/>
      <c r="E1" s="116"/>
      <c r="F1" s="116"/>
      <c r="G1" s="116"/>
      <c r="H1" s="116"/>
      <c r="I1" s="116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</row>
    <row r="2" spans="1:84" ht="14" x14ac:dyDescent="0.15">
      <c r="A2" s="118" t="s">
        <v>0</v>
      </c>
      <c r="B2" s="116"/>
      <c r="C2" s="116"/>
      <c r="D2" s="116"/>
      <c r="E2" s="116"/>
      <c r="F2" s="116"/>
      <c r="G2" s="116"/>
      <c r="H2" s="116"/>
      <c r="I2" s="116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</row>
    <row r="3" spans="1:84" ht="15" thickBot="1" x14ac:dyDescent="0.2">
      <c r="A3" s="116"/>
      <c r="B3" s="116"/>
      <c r="C3" s="116"/>
      <c r="D3" s="116"/>
      <c r="E3" s="116"/>
      <c r="F3" s="116"/>
      <c r="G3" s="116"/>
      <c r="H3" s="116"/>
      <c r="I3" s="116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</row>
    <row r="4" spans="1:84" ht="14" x14ac:dyDescent="0.15">
      <c r="A4" s="94"/>
      <c r="B4" s="95"/>
      <c r="C4" s="95"/>
      <c r="D4" s="95"/>
      <c r="E4" s="95"/>
      <c r="F4" s="95"/>
      <c r="G4" s="95"/>
      <c r="H4" s="95"/>
      <c r="I4" s="96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</row>
    <row r="5" spans="1:84" ht="14" x14ac:dyDescent="0.15">
      <c r="A5" s="97" t="s">
        <v>183</v>
      </c>
      <c r="B5" s="57"/>
      <c r="C5" s="115">
        <v>2500</v>
      </c>
      <c r="D5" s="57"/>
      <c r="E5" s="57"/>
      <c r="F5" s="57"/>
      <c r="G5" s="57"/>
      <c r="H5" s="57"/>
      <c r="I5" s="98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</row>
    <row r="6" spans="1:84" ht="15" thickBot="1" x14ac:dyDescent="0.2">
      <c r="A6" s="99"/>
      <c r="B6" s="100"/>
      <c r="C6" s="100"/>
      <c r="D6" s="100"/>
      <c r="E6" s="100"/>
      <c r="F6" s="100"/>
      <c r="G6" s="100"/>
      <c r="H6" s="100"/>
      <c r="I6" s="101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</row>
    <row r="7" spans="1:84" ht="14" x14ac:dyDescent="0.15">
      <c r="A7" s="94" t="s">
        <v>1</v>
      </c>
      <c r="B7" s="95"/>
      <c r="C7" s="95"/>
      <c r="D7" s="95"/>
      <c r="E7" s="95"/>
      <c r="F7" s="95"/>
      <c r="G7" s="95"/>
      <c r="H7" s="102"/>
      <c r="I7" s="103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</row>
    <row r="8" spans="1:84" ht="41" customHeight="1" x14ac:dyDescent="0.15">
      <c r="A8" s="151" t="s">
        <v>94</v>
      </c>
      <c r="B8" s="152" t="s">
        <v>61</v>
      </c>
      <c r="C8" s="153" t="s">
        <v>55</v>
      </c>
      <c r="D8" s="153" t="s">
        <v>2</v>
      </c>
      <c r="E8" s="154" t="s">
        <v>3</v>
      </c>
      <c r="F8" s="154" t="s">
        <v>4</v>
      </c>
      <c r="G8" s="154" t="s">
        <v>216</v>
      </c>
      <c r="H8" s="155" t="s">
        <v>5</v>
      </c>
      <c r="I8" s="156" t="s">
        <v>6</v>
      </c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</row>
    <row r="9" spans="1:84" x14ac:dyDescent="0.15">
      <c r="A9" s="104" t="str">
        <f>'Tariffs 2016'!F2</f>
        <v>AGL</v>
      </c>
      <c r="B9" s="105">
        <f>'Tariffs 2016'!E2</f>
        <v>41090</v>
      </c>
      <c r="C9" s="106">
        <f>91*'Tariffs 2016'!H2/100</f>
        <v>97.524699999999996</v>
      </c>
      <c r="D9" s="106">
        <f>IF($C$5&gt;='Tariffs 2016'!J2,('Tariffs 2016'!J2*'Tariffs 2016'!O2/100),($C$5*'Tariffs 2016'!O2/100))</f>
        <v>32.294249999999998</v>
      </c>
      <c r="E9" s="106">
        <f>IF($C$5&lt;'Tariffs 2016'!J2,0,IF(($C$5-'Tariffs 2016'!J2)&lt;='Tariffs 2016'!K2,(($C$5-'Tariffs 2016'!J2)*'Tariffs 2016'!P2/100),(('Tariffs 2016'!K2-'Tariffs 2016'!J2)*'Tariffs 2016'!P2/100)))</f>
        <v>52.146750000000004</v>
      </c>
      <c r="F9" s="106">
        <f>IF(($C$5&lt;'Tariffs 2016'!K2),(0),($C$5-'Tariffs 2016'!K2)*'Tariffs 2016'!Q2/100)</f>
        <v>0</v>
      </c>
      <c r="G9" s="106">
        <f>SUM(C9:F9)</f>
        <v>181.9657</v>
      </c>
      <c r="H9" s="107">
        <f>G9*4</f>
        <v>727.86279999999999</v>
      </c>
      <c r="I9" s="108">
        <f>H9*1.1</f>
        <v>800.64908000000003</v>
      </c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</row>
    <row r="10" spans="1:84" ht="14" thickBot="1" x14ac:dyDescent="0.2">
      <c r="A10" s="109" t="str">
        <f>'Tariffs 2016'!F3</f>
        <v>Origin Energy</v>
      </c>
      <c r="B10" s="110">
        <f>'Tariffs 2016'!E3</f>
        <v>41104</v>
      </c>
      <c r="C10" s="111">
        <f>91*'Tariffs 2016'!H3/100</f>
        <v>97.133399999999995</v>
      </c>
      <c r="D10" s="111">
        <f>IF($C$5&gt;='Tariffs 2016'!J3,('Tariffs 2016'!J3*'Tariffs 2016'!O3/100),($C$5*'Tariffs 2016'!O3/100))</f>
        <v>68.83896</v>
      </c>
      <c r="E10" s="111">
        <v>0</v>
      </c>
      <c r="F10" s="111">
        <f>IF(($C$5&lt;'Tariffs 2016'!J3),(0),($C$5-'Tariffs 2016'!J3)*'Tariffs 2016'!P3/100)</f>
        <v>4.7833200000000007</v>
      </c>
      <c r="G10" s="111">
        <f>SUM(C10:F10)</f>
        <v>170.75567999999998</v>
      </c>
      <c r="H10" s="112">
        <f>G10*4</f>
        <v>683.02271999999994</v>
      </c>
      <c r="I10" s="113">
        <f>H10*1.1</f>
        <v>751.32499199999995</v>
      </c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</row>
    <row r="11" spans="1:84" x14ac:dyDescent="0.15">
      <c r="A11" s="117"/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</row>
    <row r="12" spans="1:84" ht="14" thickBot="1" x14ac:dyDescent="0.2">
      <c r="A12" s="117"/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</row>
    <row r="13" spans="1:84" ht="14" x14ac:dyDescent="0.15">
      <c r="A13" s="94" t="s">
        <v>8</v>
      </c>
      <c r="B13" s="95"/>
      <c r="C13" s="95"/>
      <c r="D13" s="95"/>
      <c r="E13" s="95"/>
      <c r="F13" s="95"/>
      <c r="G13" s="95"/>
      <c r="H13" s="102"/>
      <c r="I13" s="103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</row>
    <row r="14" spans="1:84" ht="30" x14ac:dyDescent="0.15">
      <c r="A14" s="151" t="s">
        <v>94</v>
      </c>
      <c r="B14" s="152" t="s">
        <v>61</v>
      </c>
      <c r="C14" s="153" t="s">
        <v>55</v>
      </c>
      <c r="D14" s="153" t="s">
        <v>2</v>
      </c>
      <c r="E14" s="154" t="s">
        <v>3</v>
      </c>
      <c r="F14" s="154" t="s">
        <v>4</v>
      </c>
      <c r="G14" s="154" t="s">
        <v>216</v>
      </c>
      <c r="H14" s="155" t="s">
        <v>5</v>
      </c>
      <c r="I14" s="156" t="s">
        <v>6</v>
      </c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</row>
    <row r="15" spans="1:84" x14ac:dyDescent="0.15">
      <c r="A15" s="104" t="str">
        <f>'Tariffs 2016'!F4</f>
        <v>AGL</v>
      </c>
      <c r="B15" s="105">
        <f>'Tariffs 2016'!E4</f>
        <v>41090</v>
      </c>
      <c r="C15" s="106">
        <f>91*'Tariffs 2016'!H4/100</f>
        <v>62.407799999999995</v>
      </c>
      <c r="D15" s="106">
        <f>IF($C$5&gt;='Tariffs 2016'!J4,('Tariffs 2016'!J4*'Tariffs 2016'!O4/100),($C$5*'Tariffs 2016'!O4/100))</f>
        <v>38.02084</v>
      </c>
      <c r="E15" s="106">
        <f>IF($C$5&lt;'Tariffs 2016'!J4,0,IF(($C$5-'Tariffs 2016'!J4)&lt;='Tariffs 2016'!K4,(($C$5-'Tariffs 2016'!J4)*'Tariffs 2016'!P4/100),(('Tariffs 2016'!K4-'Tariffs 2016'!J4)*'Tariffs 2016'!P4/100)))</f>
        <v>66.453360000000004</v>
      </c>
      <c r="F15" s="106">
        <f>IF(($C$5&lt;'Tariffs 2016'!K4),(0),($C$5-'Tariffs 2016'!K4)*'Tariffs 2016'!Q4/100)</f>
        <v>0</v>
      </c>
      <c r="G15" s="106">
        <f>SUM(C15:F15)</f>
        <v>166.88200000000001</v>
      </c>
      <c r="H15" s="107">
        <f>G15*4</f>
        <v>667.52800000000002</v>
      </c>
      <c r="I15" s="108">
        <f>H15*1.1</f>
        <v>734.28080000000011</v>
      </c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</row>
    <row r="16" spans="1:84" ht="14" thickBot="1" x14ac:dyDescent="0.2">
      <c r="A16" s="109" t="str">
        <f>'Tariffs 2016'!F5</f>
        <v>Origin Energy</v>
      </c>
      <c r="B16" s="110">
        <f>'Tariffs 2016'!E5</f>
        <v>41090</v>
      </c>
      <c r="C16" s="111">
        <f>91*'Tariffs 2016'!H5/100</f>
        <v>63.072099999999999</v>
      </c>
      <c r="D16" s="111">
        <f>IF($C$5&gt;='Tariffs 2016'!J5,('Tariffs 2016'!J5*'Tariffs 2016'!O5/100),($C$5*'Tariffs 2016'!O5/100))</f>
        <v>40.018000000000001</v>
      </c>
      <c r="E16" s="111">
        <f>IF($C$5&lt;'Tariffs 2016'!J5,0,IF(($C$5-'Tariffs 2016'!J5)&lt;='Tariffs 2016'!K5,(($C$5-'Tariffs 2016'!J5)*'Tariffs 2016'!P5/100),(('Tariffs 2016'!K5-'Tariffs 2016'!J5)*'Tariffs 2016'!P5/100)))</f>
        <v>66.050399999999996</v>
      </c>
      <c r="F16" s="111">
        <f>IF(($C$5&lt;'Tariffs 2016'!K5),(0),($C$5-'Tariffs 2016'!K5)*'Tariffs 2016'!Q5/100)</f>
        <v>0</v>
      </c>
      <c r="G16" s="111">
        <f>SUM(C16:F16)</f>
        <v>169.1405</v>
      </c>
      <c r="H16" s="112">
        <f>G16*4</f>
        <v>676.56200000000001</v>
      </c>
      <c r="I16" s="113">
        <f>H16*1.1</f>
        <v>744.21820000000002</v>
      </c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</row>
    <row r="17" spans="1:84" x14ac:dyDescent="0.15">
      <c r="A17" s="117"/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</row>
    <row r="18" spans="1:84" ht="14" thickBot="1" x14ac:dyDescent="0.2">
      <c r="A18" s="117"/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</row>
    <row r="19" spans="1:84" ht="14" x14ac:dyDescent="0.15">
      <c r="A19" s="94" t="s">
        <v>59</v>
      </c>
      <c r="B19" s="95"/>
      <c r="C19" s="95"/>
      <c r="D19" s="95"/>
      <c r="E19" s="95"/>
      <c r="F19" s="95"/>
      <c r="G19" s="95"/>
      <c r="H19" s="102"/>
      <c r="I19" s="103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</row>
    <row r="20" spans="1:84" ht="30" x14ac:dyDescent="0.15">
      <c r="A20" s="151" t="s">
        <v>94</v>
      </c>
      <c r="B20" s="152" t="s">
        <v>61</v>
      </c>
      <c r="C20" s="153" t="s">
        <v>55</v>
      </c>
      <c r="D20" s="153" t="s">
        <v>2</v>
      </c>
      <c r="E20" s="154" t="s">
        <v>3</v>
      </c>
      <c r="F20" s="154" t="s">
        <v>4</v>
      </c>
      <c r="G20" s="154" t="s">
        <v>216</v>
      </c>
      <c r="H20" s="155" t="s">
        <v>5</v>
      </c>
      <c r="I20" s="156" t="s">
        <v>6</v>
      </c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</row>
    <row r="21" spans="1:84" ht="14" thickBot="1" x14ac:dyDescent="0.2">
      <c r="A21" s="109" t="str">
        <f>'Tariffs 2016'!F6</f>
        <v>Origin Energy</v>
      </c>
      <c r="B21" s="110">
        <f>'Tariffs 2016'!E6</f>
        <v>41090</v>
      </c>
      <c r="C21" s="111">
        <f>91*'Tariffs 2016'!H6/100</f>
        <v>62.134800000000006</v>
      </c>
      <c r="D21" s="111">
        <f>IF($C$5&gt;='Tariffs 2016'!J6,('Tariffs 2016'!J6*'Tariffs 2016'!O6/100),($C$5*'Tariffs 2016'!O6/100))</f>
        <v>46.413400000000003</v>
      </c>
      <c r="E21" s="111">
        <f>IF($C$5&lt;'Tariffs 2016'!J6,0,IF(($C$5-'Tariffs 2016'!J6)&lt;='Tariffs 2016'!K6,(($C$5-'Tariffs 2016'!J6)*'Tariffs 2016'!P6/100),(('Tariffs 2016'!K6-'Tariffs 2016'!J6)*'Tariffs 2016'!P6/100)))</f>
        <v>72.37512000000001</v>
      </c>
      <c r="F21" s="111">
        <f>IF(($C$5&lt;'Tariffs 2016'!K6),(0),($C$5-'Tariffs 2016'!K6)*'Tariffs 2016'!Q6/100)</f>
        <v>0</v>
      </c>
      <c r="G21" s="111">
        <f>SUM(C21:F21)</f>
        <v>180.92332000000002</v>
      </c>
      <c r="H21" s="112">
        <f>G21*4</f>
        <v>723.69328000000007</v>
      </c>
      <c r="I21" s="113">
        <f>H21*1.1</f>
        <v>796.06260800000018</v>
      </c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</row>
    <row r="22" spans="1:84" x14ac:dyDescent="0.15">
      <c r="A22" s="117"/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</row>
    <row r="23" spans="1:84" ht="14" thickBot="1" x14ac:dyDescent="0.2">
      <c r="A23" s="117"/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</row>
    <row r="24" spans="1:84" ht="14" x14ac:dyDescent="0.15">
      <c r="A24" s="94" t="s">
        <v>60</v>
      </c>
      <c r="B24" s="95"/>
      <c r="C24" s="95"/>
      <c r="D24" s="95"/>
      <c r="E24" s="95"/>
      <c r="F24" s="95"/>
      <c r="G24" s="95"/>
      <c r="H24" s="102"/>
      <c r="I24" s="103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</row>
    <row r="25" spans="1:84" ht="30" x14ac:dyDescent="0.15">
      <c r="A25" s="151" t="s">
        <v>94</v>
      </c>
      <c r="B25" s="152" t="s">
        <v>61</v>
      </c>
      <c r="C25" s="153" t="s">
        <v>55</v>
      </c>
      <c r="D25" s="153" t="s">
        <v>2</v>
      </c>
      <c r="E25" s="154" t="s">
        <v>3</v>
      </c>
      <c r="F25" s="154" t="s">
        <v>4</v>
      </c>
      <c r="G25" s="154" t="s">
        <v>216</v>
      </c>
      <c r="H25" s="155" t="s">
        <v>5</v>
      </c>
      <c r="I25" s="156" t="s">
        <v>6</v>
      </c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</row>
    <row r="26" spans="1:84" ht="14" thickBot="1" x14ac:dyDescent="0.2">
      <c r="A26" s="109" t="str">
        <f>'Tariffs 2016'!F7</f>
        <v>Origin Energy</v>
      </c>
      <c r="B26" s="110">
        <f>'Tariffs 2016'!E7</f>
        <v>41090</v>
      </c>
      <c r="C26" s="114">
        <f>91*'Tariffs 2016'!H7/100</f>
        <v>24.924900000000001</v>
      </c>
      <c r="D26" s="114">
        <f>IF($C$5&gt;='Tariffs 2016'!J7,('Tariffs 2016'!J7*'Tariffs 2016'!O7/100),($C$5*'Tariffs 2016'!O7/100))</f>
        <v>82.9</v>
      </c>
      <c r="E26" s="114">
        <v>0</v>
      </c>
      <c r="F26" s="114">
        <f>IF(($C$5&lt;'Tariffs 2016'!J7),(0),($C$5-'Tariffs 2016'!J7)*'Tariffs 2016'!P7/100)</f>
        <v>0</v>
      </c>
      <c r="G26" s="111">
        <f>SUM(C26:F26)</f>
        <v>107.82490000000001</v>
      </c>
      <c r="H26" s="112">
        <f>G26*4</f>
        <v>431.29960000000005</v>
      </c>
      <c r="I26" s="113">
        <f>H26*1.1</f>
        <v>474.42956000000009</v>
      </c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</row>
    <row r="27" spans="1:84" x14ac:dyDescent="0.15">
      <c r="A27" s="117"/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</row>
    <row r="28" spans="1:84" x14ac:dyDescent="0.15">
      <c r="A28" s="117"/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</row>
    <row r="29" spans="1:84" x14ac:dyDescent="0.15">
      <c r="A29" s="117"/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</row>
    <row r="30" spans="1:84" x14ac:dyDescent="0.15">
      <c r="A30" s="117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</row>
    <row r="31" spans="1:84" x14ac:dyDescent="0.15">
      <c r="A31" s="117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</row>
    <row r="32" spans="1:84" x14ac:dyDescent="0.15">
      <c r="A32" s="117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</row>
    <row r="33" spans="1:84" x14ac:dyDescent="0.15">
      <c r="A33" s="117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</row>
    <row r="34" spans="1:84" x14ac:dyDescent="0.15">
      <c r="A34" s="117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</row>
    <row r="35" spans="1:84" x14ac:dyDescent="0.15">
      <c r="A35" s="117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</row>
    <row r="36" spans="1:84" x14ac:dyDescent="0.15">
      <c r="A36" s="117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</row>
    <row r="37" spans="1:84" x14ac:dyDescent="0.15">
      <c r="A37" s="117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</row>
    <row r="38" spans="1:84" x14ac:dyDescent="0.15">
      <c r="A38" s="117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</row>
    <row r="39" spans="1:84" x14ac:dyDescent="0.15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</row>
    <row r="40" spans="1:84" x14ac:dyDescent="0.15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</row>
    <row r="41" spans="1:84" x14ac:dyDescent="0.15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</row>
    <row r="42" spans="1:84" x14ac:dyDescent="0.15">
      <c r="A42" s="117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</row>
    <row r="43" spans="1:84" x14ac:dyDescent="0.15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</row>
    <row r="44" spans="1:84" x14ac:dyDescent="0.15">
      <c r="A44" s="117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</row>
    <row r="45" spans="1:84" x14ac:dyDescent="0.15">
      <c r="A45" s="117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</row>
    <row r="46" spans="1:84" x14ac:dyDescent="0.15">
      <c r="A46" s="117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</row>
    <row r="47" spans="1:84" x14ac:dyDescent="0.15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</row>
    <row r="48" spans="1:84" x14ac:dyDescent="0.15">
      <c r="A48" s="117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</row>
    <row r="49" spans="1:84" x14ac:dyDescent="0.15">
      <c r="A49" s="117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</row>
    <row r="50" spans="1:84" x14ac:dyDescent="0.15">
      <c r="A50" s="117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</row>
    <row r="51" spans="1:84" x14ac:dyDescent="0.15">
      <c r="A51" s="117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</row>
    <row r="52" spans="1:84" x14ac:dyDescent="0.15">
      <c r="A52" s="117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</row>
    <row r="53" spans="1:84" x14ac:dyDescent="0.15">
      <c r="A53" s="117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</row>
    <row r="54" spans="1:84" x14ac:dyDescent="0.15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</row>
    <row r="55" spans="1:84" x14ac:dyDescent="0.15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</row>
    <row r="56" spans="1:84" x14ac:dyDescent="0.15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</row>
    <row r="57" spans="1:84" x14ac:dyDescent="0.15">
      <c r="A57" s="117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</row>
    <row r="58" spans="1:84" x14ac:dyDescent="0.15">
      <c r="A58" s="117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</row>
    <row r="59" spans="1:84" x14ac:dyDescent="0.15">
      <c r="A59" s="117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</row>
    <row r="60" spans="1:84" x14ac:dyDescent="0.15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</row>
    <row r="61" spans="1:84" x14ac:dyDescent="0.15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</row>
    <row r="62" spans="1:84" x14ac:dyDescent="0.15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</row>
    <row r="63" spans="1:84" x14ac:dyDescent="0.15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</row>
    <row r="64" spans="1:84" x14ac:dyDescent="0.15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</row>
    <row r="65" spans="1:84" x14ac:dyDescent="0.15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</row>
    <row r="66" spans="1:84" x14ac:dyDescent="0.15">
      <c r="A66" s="117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</row>
    <row r="67" spans="1:84" x14ac:dyDescent="0.15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</row>
    <row r="68" spans="1:84" x14ac:dyDescent="0.15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</row>
    <row r="69" spans="1:84" x14ac:dyDescent="0.15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</row>
    <row r="70" spans="1:84" x14ac:dyDescent="0.15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</row>
    <row r="71" spans="1:84" x14ac:dyDescent="0.15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</row>
    <row r="72" spans="1:84" x14ac:dyDescent="0.15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</row>
    <row r="73" spans="1:84" x14ac:dyDescent="0.15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</row>
    <row r="74" spans="1:84" x14ac:dyDescent="0.15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</row>
    <row r="75" spans="1:84" x14ac:dyDescent="0.15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</row>
    <row r="76" spans="1:84" x14ac:dyDescent="0.15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</row>
    <row r="77" spans="1:84" x14ac:dyDescent="0.15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</row>
    <row r="78" spans="1:84" x14ac:dyDescent="0.15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</row>
    <row r="79" spans="1:84" x14ac:dyDescent="0.15">
      <c r="A79" s="117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</row>
    <row r="80" spans="1:84" x14ac:dyDescent="0.15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</row>
    <row r="81" spans="1:84" x14ac:dyDescent="0.15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</row>
    <row r="82" spans="1:84" x14ac:dyDescent="0.15">
      <c r="A82" s="117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</row>
    <row r="83" spans="1:84" x14ac:dyDescent="0.15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</row>
    <row r="84" spans="1:84" x14ac:dyDescent="0.15">
      <c r="A84" s="117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</row>
    <row r="85" spans="1:84" x14ac:dyDescent="0.15">
      <c r="A85" s="117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</row>
    <row r="86" spans="1:84" x14ac:dyDescent="0.15">
      <c r="A86" s="117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</row>
    <row r="87" spans="1:84" x14ac:dyDescent="0.15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</row>
    <row r="88" spans="1:84" x14ac:dyDescent="0.15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</row>
    <row r="89" spans="1:84" x14ac:dyDescent="0.15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</row>
    <row r="90" spans="1:84" x14ac:dyDescent="0.15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</row>
    <row r="91" spans="1:84" x14ac:dyDescent="0.15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</row>
    <row r="92" spans="1:84" x14ac:dyDescent="0.15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</row>
    <row r="93" spans="1:84" x14ac:dyDescent="0.15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</row>
    <row r="94" spans="1:84" x14ac:dyDescent="0.15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</row>
    <row r="95" spans="1:84" x14ac:dyDescent="0.15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</row>
    <row r="96" spans="1:84" x14ac:dyDescent="0.15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</row>
    <row r="97" spans="1:84" x14ac:dyDescent="0.15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</row>
    <row r="98" spans="1:84" x14ac:dyDescent="0.15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</row>
    <row r="99" spans="1:84" x14ac:dyDescent="0.15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</row>
    <row r="100" spans="1:84" x14ac:dyDescent="0.15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</row>
    <row r="101" spans="1:84" x14ac:dyDescent="0.15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</row>
    <row r="102" spans="1:84" x14ac:dyDescent="0.15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</row>
    <row r="103" spans="1:84" x14ac:dyDescent="0.15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</row>
    <row r="104" spans="1:84" x14ac:dyDescent="0.15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</row>
    <row r="105" spans="1:84" x14ac:dyDescent="0.15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</row>
    <row r="106" spans="1:84" x14ac:dyDescent="0.15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</row>
    <row r="107" spans="1:84" x14ac:dyDescent="0.1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</row>
    <row r="108" spans="1:84" x14ac:dyDescent="0.1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</row>
    <row r="109" spans="1:84" x14ac:dyDescent="0.1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</row>
    <row r="110" spans="1:84" x14ac:dyDescent="0.15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</row>
    <row r="111" spans="1:84" x14ac:dyDescent="0.15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</row>
    <row r="112" spans="1:84" x14ac:dyDescent="0.15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</row>
    <row r="113" spans="1:84" x14ac:dyDescent="0.15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</row>
    <row r="114" spans="1:84" x14ac:dyDescent="0.15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</row>
    <row r="115" spans="1:84" x14ac:dyDescent="0.15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</row>
    <row r="116" spans="1:84" x14ac:dyDescent="0.15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</row>
    <row r="117" spans="1:84" x14ac:dyDescent="0.15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</row>
    <row r="118" spans="1:84" x14ac:dyDescent="0.15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</row>
    <row r="119" spans="1:84" x14ac:dyDescent="0.15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</row>
    <row r="120" spans="1:84" x14ac:dyDescent="0.15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</row>
    <row r="121" spans="1:84" x14ac:dyDescent="0.15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</row>
    <row r="122" spans="1:84" x14ac:dyDescent="0.15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</row>
    <row r="123" spans="1:84" x14ac:dyDescent="0.15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</row>
    <row r="124" spans="1:84" x14ac:dyDescent="0.15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</row>
    <row r="125" spans="1:84" x14ac:dyDescent="0.15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</row>
    <row r="126" spans="1:84" x14ac:dyDescent="0.15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</row>
    <row r="127" spans="1:84" x14ac:dyDescent="0.15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</row>
    <row r="128" spans="1:84" x14ac:dyDescent="0.15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</row>
    <row r="129" spans="1:84" x14ac:dyDescent="0.15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</row>
    <row r="130" spans="1:84" x14ac:dyDescent="0.15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</row>
    <row r="131" spans="1:84" x14ac:dyDescent="0.15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</row>
    <row r="132" spans="1:84" x14ac:dyDescent="0.15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</row>
    <row r="133" spans="1:84" x14ac:dyDescent="0.15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</row>
    <row r="134" spans="1:84" x14ac:dyDescent="0.15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</row>
    <row r="135" spans="1:84" x14ac:dyDescent="0.15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</row>
    <row r="136" spans="1:84" x14ac:dyDescent="0.15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</row>
    <row r="137" spans="1:84" x14ac:dyDescent="0.15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</row>
    <row r="138" spans="1:84" x14ac:dyDescent="0.15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</row>
    <row r="139" spans="1:84" x14ac:dyDescent="0.15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</row>
    <row r="140" spans="1:84" x14ac:dyDescent="0.15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</row>
    <row r="141" spans="1:84" x14ac:dyDescent="0.15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</row>
    <row r="142" spans="1:84" x14ac:dyDescent="0.15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</row>
    <row r="143" spans="1:84" x14ac:dyDescent="0.15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</row>
    <row r="144" spans="1:84" x14ac:dyDescent="0.15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</row>
    <row r="145" spans="1:84" x14ac:dyDescent="0.15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</row>
    <row r="146" spans="1:84" x14ac:dyDescent="0.15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</row>
    <row r="147" spans="1:84" x14ac:dyDescent="0.15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</row>
    <row r="148" spans="1:84" x14ac:dyDescent="0.15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</row>
    <row r="149" spans="1:84" x14ac:dyDescent="0.15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</row>
    <row r="150" spans="1:84" x14ac:dyDescent="0.15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</row>
    <row r="151" spans="1:84" x14ac:dyDescent="0.15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</row>
    <row r="152" spans="1:84" x14ac:dyDescent="0.15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</row>
    <row r="153" spans="1:84" x14ac:dyDescent="0.15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</row>
    <row r="154" spans="1:84" x14ac:dyDescent="0.15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</row>
    <row r="155" spans="1:84" x14ac:dyDescent="0.15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</row>
    <row r="156" spans="1:84" x14ac:dyDescent="0.15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</row>
    <row r="157" spans="1:84" x14ac:dyDescent="0.15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</row>
    <row r="158" spans="1:84" x14ac:dyDescent="0.15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</row>
    <row r="159" spans="1:84" x14ac:dyDescent="0.15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</row>
    <row r="160" spans="1:84" x14ac:dyDescent="0.15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</row>
    <row r="161" spans="1:84" x14ac:dyDescent="0.15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</row>
    <row r="162" spans="1:84" x14ac:dyDescent="0.15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</row>
    <row r="163" spans="1:84" x14ac:dyDescent="0.15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</row>
    <row r="164" spans="1:84" x14ac:dyDescent="0.15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</row>
    <row r="165" spans="1:84" x14ac:dyDescent="0.15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</row>
    <row r="166" spans="1:84" x14ac:dyDescent="0.15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</row>
    <row r="167" spans="1:84" x14ac:dyDescent="0.15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</row>
    <row r="168" spans="1:84" x14ac:dyDescent="0.15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</row>
    <row r="169" spans="1:84" x14ac:dyDescent="0.15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</row>
    <row r="170" spans="1:84" x14ac:dyDescent="0.15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</row>
    <row r="171" spans="1:84" x14ac:dyDescent="0.15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</row>
    <row r="172" spans="1:84" x14ac:dyDescent="0.15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</row>
    <row r="173" spans="1:84" x14ac:dyDescent="0.15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</row>
    <row r="174" spans="1:84" x14ac:dyDescent="0.15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</row>
    <row r="175" spans="1:84" x14ac:dyDescent="0.15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</row>
    <row r="176" spans="1:84" x14ac:dyDescent="0.15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117"/>
      <c r="BV176" s="117"/>
      <c r="BW176" s="117"/>
      <c r="BX176" s="117"/>
      <c r="BY176" s="117"/>
      <c r="BZ176" s="117"/>
      <c r="CA176" s="117"/>
      <c r="CB176" s="117"/>
      <c r="CC176" s="117"/>
      <c r="CD176" s="117"/>
      <c r="CE176" s="117"/>
      <c r="CF176" s="117"/>
    </row>
    <row r="177" spans="1:84" x14ac:dyDescent="0.15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117"/>
      <c r="BV177" s="117"/>
      <c r="BW177" s="117"/>
      <c r="BX177" s="117"/>
      <c r="BY177" s="117"/>
      <c r="BZ177" s="117"/>
      <c r="CA177" s="117"/>
      <c r="CB177" s="117"/>
      <c r="CC177" s="117"/>
      <c r="CD177" s="117"/>
      <c r="CE177" s="117"/>
      <c r="CF177" s="117"/>
    </row>
    <row r="178" spans="1:84" x14ac:dyDescent="0.15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117"/>
      <c r="BV178" s="117"/>
      <c r="BW178" s="117"/>
      <c r="BX178" s="117"/>
      <c r="BY178" s="117"/>
      <c r="BZ178" s="117"/>
      <c r="CA178" s="117"/>
      <c r="CB178" s="117"/>
      <c r="CC178" s="117"/>
      <c r="CD178" s="117"/>
      <c r="CE178" s="117"/>
      <c r="CF178" s="117"/>
    </row>
    <row r="179" spans="1:84" x14ac:dyDescent="0.15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117"/>
      <c r="BV179" s="117"/>
      <c r="BW179" s="117"/>
      <c r="BX179" s="117"/>
      <c r="BY179" s="117"/>
      <c r="BZ179" s="117"/>
      <c r="CA179" s="117"/>
      <c r="CB179" s="117"/>
      <c r="CC179" s="117"/>
      <c r="CD179" s="117"/>
      <c r="CE179" s="117"/>
      <c r="CF179" s="117"/>
    </row>
    <row r="180" spans="1:84" x14ac:dyDescent="0.15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117"/>
      <c r="BV180" s="117"/>
      <c r="BW180" s="117"/>
      <c r="BX180" s="117"/>
      <c r="BY180" s="117"/>
      <c r="BZ180" s="117"/>
      <c r="CA180" s="117"/>
      <c r="CB180" s="117"/>
      <c r="CC180" s="117"/>
      <c r="CD180" s="117"/>
      <c r="CE180" s="117"/>
      <c r="CF180" s="117"/>
    </row>
    <row r="181" spans="1:84" x14ac:dyDescent="0.15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117"/>
      <c r="BV181" s="117"/>
      <c r="BW181" s="117"/>
      <c r="BX181" s="117"/>
      <c r="BY181" s="117"/>
      <c r="BZ181" s="117"/>
      <c r="CA181" s="117"/>
      <c r="CB181" s="117"/>
      <c r="CC181" s="117"/>
      <c r="CD181" s="117"/>
      <c r="CE181" s="117"/>
      <c r="CF181" s="117"/>
    </row>
    <row r="182" spans="1:84" x14ac:dyDescent="0.15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117"/>
      <c r="BV182" s="117"/>
      <c r="BW182" s="117"/>
      <c r="BX182" s="117"/>
      <c r="BY182" s="117"/>
      <c r="BZ182" s="117"/>
      <c r="CA182" s="117"/>
      <c r="CB182" s="117"/>
      <c r="CC182" s="117"/>
      <c r="CD182" s="117"/>
      <c r="CE182" s="117"/>
      <c r="CF182" s="117"/>
    </row>
    <row r="183" spans="1:84" x14ac:dyDescent="0.15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117"/>
      <c r="BV183" s="117"/>
      <c r="BW183" s="117"/>
      <c r="BX183" s="117"/>
      <c r="BY183" s="117"/>
      <c r="BZ183" s="117"/>
      <c r="CA183" s="117"/>
      <c r="CB183" s="117"/>
      <c r="CC183" s="117"/>
      <c r="CD183" s="117"/>
      <c r="CE183" s="117"/>
      <c r="CF183" s="117"/>
    </row>
    <row r="184" spans="1:84" x14ac:dyDescent="0.15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117"/>
      <c r="BV184" s="117"/>
      <c r="BW184" s="117"/>
      <c r="BX184" s="117"/>
      <c r="BY184" s="117"/>
      <c r="BZ184" s="117"/>
      <c r="CA184" s="117"/>
      <c r="CB184" s="117"/>
      <c r="CC184" s="117"/>
      <c r="CD184" s="117"/>
      <c r="CE184" s="117"/>
      <c r="CF184" s="117"/>
    </row>
    <row r="185" spans="1:84" x14ac:dyDescent="0.15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117"/>
      <c r="BV185" s="117"/>
      <c r="BW185" s="117"/>
      <c r="BX185" s="117"/>
      <c r="BY185" s="117"/>
      <c r="BZ185" s="117"/>
      <c r="CA185" s="117"/>
      <c r="CB185" s="117"/>
      <c r="CC185" s="117"/>
      <c r="CD185" s="117"/>
      <c r="CE185" s="117"/>
      <c r="CF185" s="117"/>
    </row>
    <row r="186" spans="1:84" x14ac:dyDescent="0.15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117"/>
      <c r="BV186" s="117"/>
      <c r="BW186" s="117"/>
      <c r="BX186" s="117"/>
      <c r="BY186" s="117"/>
      <c r="BZ186" s="117"/>
      <c r="CA186" s="117"/>
      <c r="CB186" s="117"/>
      <c r="CC186" s="117"/>
      <c r="CD186" s="117"/>
      <c r="CE186" s="117"/>
      <c r="CF186" s="117"/>
    </row>
    <row r="187" spans="1:84" x14ac:dyDescent="0.15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117"/>
      <c r="BV187" s="117"/>
      <c r="BW187" s="117"/>
      <c r="BX187" s="117"/>
      <c r="BY187" s="117"/>
      <c r="BZ187" s="117"/>
      <c r="CA187" s="117"/>
      <c r="CB187" s="117"/>
      <c r="CC187" s="117"/>
      <c r="CD187" s="117"/>
      <c r="CE187" s="117"/>
      <c r="CF187" s="117"/>
    </row>
    <row r="188" spans="1:84" x14ac:dyDescent="0.15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117"/>
      <c r="BV188" s="117"/>
      <c r="BW188" s="117"/>
      <c r="BX188" s="117"/>
      <c r="BY188" s="117"/>
      <c r="BZ188" s="117"/>
      <c r="CA188" s="117"/>
      <c r="CB188" s="117"/>
      <c r="CC188" s="117"/>
      <c r="CD188" s="117"/>
      <c r="CE188" s="117"/>
      <c r="CF188" s="117"/>
    </row>
    <row r="189" spans="1:84" x14ac:dyDescent="0.15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117"/>
      <c r="BV189" s="117"/>
      <c r="BW189" s="117"/>
      <c r="BX189" s="117"/>
      <c r="BY189" s="117"/>
      <c r="BZ189" s="117"/>
      <c r="CA189" s="117"/>
      <c r="CB189" s="117"/>
      <c r="CC189" s="117"/>
      <c r="CD189" s="117"/>
      <c r="CE189" s="117"/>
      <c r="CF189" s="117"/>
    </row>
    <row r="190" spans="1:84" x14ac:dyDescent="0.15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117"/>
      <c r="BV190" s="117"/>
      <c r="BW190" s="117"/>
      <c r="BX190" s="117"/>
      <c r="BY190" s="117"/>
      <c r="BZ190" s="117"/>
      <c r="CA190" s="117"/>
      <c r="CB190" s="117"/>
      <c r="CC190" s="117"/>
      <c r="CD190" s="117"/>
      <c r="CE190" s="117"/>
      <c r="CF190" s="117"/>
    </row>
    <row r="191" spans="1:84" x14ac:dyDescent="0.15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117"/>
      <c r="BV191" s="117"/>
      <c r="BW191" s="117"/>
      <c r="BX191" s="117"/>
      <c r="BY191" s="117"/>
      <c r="BZ191" s="117"/>
      <c r="CA191" s="117"/>
      <c r="CB191" s="117"/>
      <c r="CC191" s="117"/>
      <c r="CD191" s="117"/>
      <c r="CE191" s="117"/>
      <c r="CF191" s="117"/>
    </row>
  </sheetData>
  <sheetProtection algorithmName="SHA-512" hashValue="OFFVT/nBecW0SEvl5RpEtSQL2RecZr/rOAqDivc8KIxVpc9jMln2Xt0v9lZt4Q1uO7uGOuzqN984dH+g01/2AQ==" saltValue="VZVlbqILNzL3NtTcGWQXIg==" spinCount="100000" sheet="1" objects="1" scenarios="1"/>
  <phoneticPr fontId="10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998025-569A-4563-99E0-45DE182E7C9E}"/>
</file>

<file path=customXml/itemProps2.xml><?xml version="1.0" encoding="utf-8"?>
<ds:datastoreItem xmlns:ds="http://schemas.openxmlformats.org/officeDocument/2006/customXml" ds:itemID="{3D907CAF-6986-4D84-8196-02A1FBF1FB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Summary</vt:lpstr>
      <vt:lpstr>Bills Jul'23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Jul'12</vt:lpstr>
      <vt:lpstr>Bills Jul'11</vt:lpstr>
      <vt:lpstr>Bills Jul'10</vt:lpstr>
      <vt:lpstr>Bills Jul'09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APT Jul'15</vt:lpstr>
      <vt:lpstr>Envestra Jul'15</vt:lpstr>
      <vt:lpstr>APT Jul'14</vt:lpstr>
      <vt:lpstr>Envestra Jul'14</vt:lpstr>
      <vt:lpstr>APT Jul'13</vt:lpstr>
      <vt:lpstr>Envestra Jul'13</vt:lpstr>
      <vt:lpstr>APT Jul'12</vt:lpstr>
      <vt:lpstr>Envestra Jul'12</vt:lpstr>
      <vt:lpstr>APT Jul'11</vt:lpstr>
      <vt:lpstr>Envestra Jul'11</vt:lpstr>
      <vt:lpstr>APT Jul'10</vt:lpstr>
      <vt:lpstr>Envestra Jul'10</vt:lpstr>
      <vt:lpstr>APT Jul'09</vt:lpstr>
      <vt:lpstr>Envestra Jul'09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May Mauseth</cp:lastModifiedBy>
  <dcterms:created xsi:type="dcterms:W3CDTF">2012-05-25T01:36:50Z</dcterms:created>
  <dcterms:modified xsi:type="dcterms:W3CDTF">2023-09-04T04:09:40Z</dcterms:modified>
</cp:coreProperties>
</file>